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Sophie PITHON/La Salvetat sur Agout/Dossier LBC/"/>
    </mc:Choice>
  </mc:AlternateContent>
  <xr:revisionPtr revIDLastSave="3" documentId="8_{DFADE152-0E8F-419E-9155-A97CA73D298E}" xr6:coauthVersionLast="47" xr6:coauthVersionMax="47" xr10:uidLastSave="{88929979-E70E-43D4-A271-1E3CB56F1B6B}"/>
  <bookViews>
    <workbookView xWindow="-110" yWindow="-110" windowWidth="19420" windowHeight="11500" tabRatio="866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6" l="1"/>
  <c r="E141" i="6"/>
  <c r="E110" i="6"/>
  <c r="E79" i="6"/>
  <c r="E48" i="6"/>
  <c r="E17" i="6"/>
  <c r="I20" i="6"/>
  <c r="C11" i="1"/>
  <c r="C12" i="1"/>
  <c r="C13" i="1"/>
  <c r="C10" i="1"/>
  <c r="C9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A4" i="2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G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H21" i="2"/>
  <c r="EV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FS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FQ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W78" i="2"/>
  <c r="EB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EB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FR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EB156" i="2" l="1"/>
  <c r="AB156" i="2"/>
  <c r="FS156" i="2"/>
  <c r="HI156" i="2"/>
  <c r="DH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HH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I160" i="2"/>
  <c r="HH160" i="2"/>
  <c r="FS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B161" i="2"/>
  <c r="HG161" i="2"/>
  <c r="EX161" i="2"/>
  <c r="A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EW162" i="2"/>
  <c r="HG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DI163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D165" i="2" s="1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DG168" i="2"/>
  <c r="EC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EA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HI185" i="2"/>
  <c r="EV185" i="2"/>
  <c r="EW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B192" i="2"/>
  <c r="HH192" i="2"/>
  <c r="HI192" i="2"/>
  <c r="EW192" i="2"/>
  <c r="EV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DI192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A201" i="2"/>
  <c r="ED201" i="2" s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S202" i="2" l="1"/>
  <c r="HI202" i="2"/>
  <c r="EW202" i="2"/>
  <c r="FZ6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14" i="2" a="1"/>
  <c r="BC11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105" i="2" l="1" a="1"/>
  <c r="CS105" i="2" s="1"/>
  <c r="CS114" i="2" a="1"/>
  <c r="CS114" i="2" s="1"/>
  <c r="CS56" i="2" a="1"/>
  <c r="CS56" i="2" s="1"/>
  <c r="CS72" i="2" a="1"/>
  <c r="CS72" i="2" s="1"/>
  <c r="BC126" i="2" a="1"/>
  <c r="BC126" i="2" s="1"/>
  <c r="BC117" i="2" a="1"/>
  <c r="BC117" i="2" s="1"/>
  <c r="BC181" i="2" a="1"/>
  <c r="BC181" i="2" s="1"/>
  <c r="BC65" i="2" a="1"/>
  <c r="BC65" i="2" s="1"/>
  <c r="CS77" i="2" a="1"/>
  <c r="CS77" i="2" s="1"/>
  <c r="CS38" i="2" a="1"/>
  <c r="CS38" i="2" s="1"/>
  <c r="CS137" i="2" a="1"/>
  <c r="CS137" i="2" s="1"/>
  <c r="CS161" i="2" a="1"/>
  <c r="CS161" i="2" s="1"/>
  <c r="CS129" i="2" a="1"/>
  <c r="CS129" i="2" s="1"/>
  <c r="CS52" i="2" a="1"/>
  <c r="CS52" i="2" s="1"/>
  <c r="CS120" i="2" a="1"/>
  <c r="CS120" i="2" s="1"/>
  <c r="CS66" i="2" a="1"/>
  <c r="CS66" i="2" s="1"/>
  <c r="CS116" i="2" a="1"/>
  <c r="CS116" i="2" s="1"/>
  <c r="CS185" i="2" a="1"/>
  <c r="CS185" i="2" s="1"/>
  <c r="CS24" i="2" a="1"/>
  <c r="CS24" i="2" s="1"/>
  <c r="CS134" i="2" a="1"/>
  <c r="CS134" i="2" s="1"/>
  <c r="BP203" i="2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D109" i="2" l="1"/>
  <c r="CD12" i="2"/>
  <c r="CD25" i="2"/>
  <c r="CD145" i="2"/>
  <c r="CD11" i="2"/>
  <c r="CD189" i="2"/>
  <c r="CD200" i="2"/>
  <c r="CD9" i="2"/>
  <c r="CD110" i="2"/>
  <c r="CD122" i="2"/>
  <c r="CD118" i="2"/>
  <c r="CD71" i="2"/>
  <c r="CD160" i="2"/>
  <c r="CD154" i="2"/>
  <c r="CD144" i="2"/>
  <c r="CD59" i="2"/>
  <c r="CD45" i="2"/>
  <c r="CD151" i="2"/>
  <c r="CD140" i="2"/>
  <c r="CD166" i="2"/>
  <c r="CD76" i="2"/>
  <c r="CD23" i="2"/>
  <c r="CD78" i="2"/>
  <c r="CD14" i="2"/>
  <c r="CD203" i="2"/>
  <c r="CD173" i="2"/>
  <c r="CD69" i="2"/>
  <c r="CD91" i="2"/>
  <c r="CD92" i="2"/>
  <c r="CD171" i="2"/>
  <c r="CD136" i="2"/>
  <c r="CD44" i="2"/>
  <c r="CD85" i="2"/>
  <c r="CD42" i="2"/>
  <c r="CD180" i="2"/>
  <c r="CD195" i="2"/>
  <c r="CD98" i="2"/>
  <c r="CD113" i="2"/>
  <c r="CD38" i="2"/>
  <c r="CD135" i="2"/>
  <c r="CD141" i="2"/>
  <c r="CD93" i="2"/>
  <c r="CD123" i="2"/>
  <c r="CD128" i="2"/>
  <c r="CD68" i="2"/>
  <c r="CD5" i="2"/>
  <c r="CD57" i="2"/>
  <c r="CD10" i="2"/>
  <c r="CD131" i="2"/>
  <c r="CD126" i="2"/>
  <c r="CD147" i="2"/>
  <c r="CD106" i="2"/>
  <c r="CD181" i="2"/>
  <c r="CD87" i="2"/>
  <c r="CD58" i="2"/>
  <c r="CD108" i="2"/>
  <c r="CD8" i="2"/>
  <c r="CD37" i="2"/>
  <c r="CD15" i="2"/>
  <c r="CD198" i="2"/>
  <c r="CD134" i="2"/>
  <c r="CD146" i="2"/>
  <c r="CD72" i="2"/>
  <c r="CD56" i="2"/>
  <c r="CD51" i="2"/>
  <c r="CD138" i="2"/>
  <c r="CD4" i="2"/>
  <c r="CD70" i="2"/>
  <c r="CD33" i="2"/>
  <c r="CD201" i="2"/>
  <c r="CD186" i="2"/>
  <c r="CD130" i="2"/>
  <c r="CD127" i="2"/>
  <c r="CD162" i="2"/>
  <c r="CD46" i="2"/>
  <c r="CD79" i="2"/>
  <c r="CD90" i="2"/>
  <c r="CD165" i="2"/>
  <c r="CD120" i="2"/>
  <c r="CD137" i="2"/>
  <c r="CD114" i="2"/>
  <c r="CD73" i="2"/>
  <c r="CD172" i="2"/>
  <c r="CD194" i="2"/>
  <c r="CD102" i="2"/>
  <c r="CD179" i="2"/>
  <c r="CD97" i="2"/>
  <c r="CD196" i="2"/>
  <c r="CD49" i="2"/>
  <c r="CD63" i="2"/>
  <c r="CD199" i="2"/>
  <c r="CD192" i="2"/>
  <c r="CD27" i="2"/>
  <c r="CD101" i="2"/>
  <c r="CD157" i="2"/>
  <c r="CD60" i="2"/>
  <c r="CD170" i="2"/>
  <c r="CD41" i="2"/>
  <c r="CD125" i="2"/>
  <c r="CD193" i="2"/>
  <c r="CD30" i="2"/>
  <c r="CD167" i="2"/>
  <c r="CD29" i="2"/>
  <c r="CD43" i="2"/>
  <c r="CD188" i="2"/>
  <c r="CD133" i="2"/>
  <c r="CD32" i="2"/>
  <c r="CD52" i="2"/>
  <c r="CD187" i="2"/>
  <c r="CD82" i="2"/>
  <c r="CD185" i="2"/>
  <c r="CD65" i="2"/>
  <c r="CD36" i="2"/>
  <c r="CD20" i="2"/>
  <c r="CD75" i="2"/>
  <c r="CD163" i="2"/>
  <c r="CD21" i="2"/>
  <c r="CD19" i="2"/>
  <c r="CD26" i="2"/>
  <c r="CD40" i="2"/>
  <c r="CD34" i="2"/>
  <c r="CD176" i="2"/>
  <c r="CD50" i="2"/>
  <c r="CD53" i="2"/>
  <c r="CD47" i="2"/>
  <c r="CD202" i="2"/>
  <c r="CD3" i="2"/>
  <c r="C9" i="4" s="1"/>
  <c r="E9" i="4" s="1"/>
  <c r="F9" i="4" s="1"/>
  <c r="G9" i="4" s="1"/>
  <c r="L9" i="4" s="1"/>
  <c r="CD115" i="2"/>
  <c r="CD152" i="2"/>
  <c r="CD99" i="2"/>
  <c r="CD168" i="2"/>
  <c r="CD88" i="2"/>
  <c r="CD182" i="2"/>
  <c r="CD143" i="2"/>
  <c r="CD62" i="2"/>
  <c r="CD155" i="2"/>
  <c r="CD64" i="2"/>
  <c r="CD104" i="2"/>
  <c r="CD177" i="2"/>
  <c r="CD35" i="2"/>
  <c r="CD80" i="2"/>
  <c r="CD112" i="2"/>
  <c r="CD117" i="2"/>
  <c r="CD139" i="2"/>
  <c r="CD124" i="2"/>
  <c r="CD150" i="2"/>
  <c r="CD16" i="2"/>
  <c r="CD95" i="2"/>
  <c r="CD18" i="2"/>
  <c r="CD83" i="2"/>
  <c r="CD190" i="2"/>
  <c r="CD111" i="2"/>
  <c r="CD28" i="2"/>
  <c r="CD184" i="2"/>
  <c r="CD103" i="2"/>
  <c r="CD6" i="2"/>
  <c r="CD61" i="2"/>
  <c r="CD94" i="2"/>
  <c r="CD105" i="2"/>
  <c r="CD178" i="2"/>
  <c r="CD22" i="2"/>
  <c r="CD66" i="2"/>
  <c r="CD86" i="2"/>
  <c r="CD100" i="2"/>
  <c r="CD81" i="2"/>
  <c r="CD89" i="2"/>
  <c r="CD39" i="2"/>
  <c r="CD159" i="2"/>
  <c r="CD191" i="2"/>
  <c r="CD116" i="2"/>
  <c r="CD96" i="2"/>
  <c r="CD119" i="2"/>
  <c r="CD161" i="2"/>
  <c r="CD54" i="2"/>
  <c r="CD148" i="2"/>
  <c r="CD129" i="2"/>
  <c r="CD74" i="2"/>
  <c r="CD132" i="2"/>
  <c r="CD121" i="2"/>
  <c r="CD13" i="2"/>
  <c r="CD77" i="2"/>
  <c r="CD84" i="2"/>
  <c r="CD107" i="2"/>
  <c r="CD67" i="2"/>
  <c r="CD17" i="2"/>
  <c r="CD55" i="2"/>
  <c r="CD164" i="2"/>
  <c r="CD153" i="2"/>
  <c r="CD48" i="2"/>
  <c r="CD156" i="2"/>
  <c r="CD142" i="2"/>
  <c r="CD197" i="2"/>
  <c r="CD24" i="2"/>
  <c r="CD7" i="2"/>
  <c r="CD158" i="2"/>
  <c r="CD149" i="2"/>
  <c r="CD174" i="2"/>
  <c r="CD169" i="2"/>
  <c r="CD183" i="2"/>
  <c r="CD31" i="2"/>
  <c r="CD175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tc={C172EE74-C355-4682-9E4F-249B2BCA9051}</author>
    <author>tc={9BA9FB1A-4DD7-4804-9E62-519137C1A348}</author>
    <author>tc={DF18DF78-8CF5-4F1F-9944-7CF52EF3E30C}</author>
    <author>tc={23490E3B-3134-4B57-8341-367093CA4D86}</author>
    <author>tc={81D4EFD9-EA80-48A6-8F03-DF8B105B55E5}</author>
  </authors>
  <commentList>
    <comment ref="I20" authorId="0" shapeId="0" xr:uid="{C172EE74-C355-4682-9E4F-249B2BCA905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Préparation du sol</t>
      </text>
    </comment>
    <comment ref="I21" authorId="1" shapeId="0" xr:uid="{9BA9FB1A-4DD7-4804-9E62-519137C1A34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Protection feullus</t>
      </text>
    </comment>
    <comment ref="I22" authorId="2" shapeId="0" xr:uid="{DF18DF78-8CF5-4F1F-9944-7CF52EF3E30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Piquet  trico réésineux</t>
      </text>
    </comment>
    <comment ref="I23" authorId="3" shapeId="0" xr:uid="{23490E3B-3134-4B57-8341-367093CA4D8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Maitrise d'oeuvre</t>
      </text>
    </comment>
    <comment ref="I24" authorId="4" shapeId="0" xr:uid="{81D4EFD9-EA80-48A6-8F03-DF8B105B55E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Entretiens</t>
      </text>
    </comment>
  </commentList>
</comments>
</file>

<file path=xl/sharedStrings.xml><?xml version="1.0" encoding="utf-8"?>
<sst xmlns="http://schemas.openxmlformats.org/spreadsheetml/2006/main" count="1194" uniqueCount="338">
  <si>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</si>
  <si>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</si>
  <si>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</si>
  <si>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</si>
  <si>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</si>
  <si>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</si>
  <si>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</si>
  <si>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</si>
  <si>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</si>
  <si>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</si>
  <si>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</si>
  <si>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</si>
  <si>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</si>
  <si>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</si>
  <si>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</si>
  <si>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</si>
  <si>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laricio</t>
  </si>
  <si>
    <t>NB : La durée de révolution doit être identique à la dernière année indiquée dans la table de production renseignée en dessous</t>
  </si>
  <si>
    <t>Essence 2</t>
  </si>
  <si>
    <t>Cèdre de l'Atlas</t>
  </si>
  <si>
    <t>Essence 3</t>
  </si>
  <si>
    <t>Mélèze hybride</t>
  </si>
  <si>
    <t>Essence 4</t>
  </si>
  <si>
    <t>Chêne sessile</t>
  </si>
  <si>
    <t>Essence 5</t>
  </si>
  <si>
    <t>Chêne chevelu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</si>
  <si>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</si>
  <si>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</si>
  <si>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</si>
  <si>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</si>
  <si>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</si>
  <si>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</si>
  <si>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</si>
  <si>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</si>
  <si>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</si>
  <si>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</si>
  <si>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</si>
  <si>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</si>
  <si>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</si>
  <si>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</si>
  <si>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</si>
  <si>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</si>
  <si>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</si>
  <si>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</si>
  <si>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</si>
  <si>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</si>
  <si>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</si>
  <si>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</si>
  <si>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</si>
  <si>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</si>
  <si>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</si>
  <si>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</si>
  <si>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</si>
  <si>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</si>
  <si>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</si>
  <si>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</si>
  <si>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</si>
  <si>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</si>
  <si>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</si>
  <si>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t>CR</t>
  </si>
  <si>
    <t>54</t>
  </si>
  <si>
    <t>26</t>
  </si>
  <si>
    <t>27</t>
  </si>
  <si>
    <t>24</t>
  </si>
  <si>
    <t>23</t>
  </si>
  <si>
    <t>21</t>
  </si>
  <si>
    <t>20</t>
  </si>
  <si>
    <t>18</t>
  </si>
  <si>
    <t>16</t>
  </si>
  <si>
    <t>15</t>
  </si>
  <si>
    <t>14</t>
  </si>
  <si>
    <t>12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</si>
  <si>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</si>
  <si>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</si>
  <si>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</si>
  <si>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</si>
  <si>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</si>
  <si>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</si>
  <si>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</si>
  <si>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</si>
  <si>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</si>
  <si>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</si>
  <si>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</si>
  <si>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</si>
  <si>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</si>
  <si>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</si>
  <si>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commun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</si>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</sst>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3.6730282214288827</c:v>
                </c:pt>
                <c:pt idx="2">
                  <c:v>5.0830721403463937</c:v>
                </c:pt>
                <c:pt idx="3">
                  <c:v>7.036679533704671</c:v>
                </c:pt>
                <c:pt idx="4">
                  <c:v>9.7442075368743222</c:v>
                </c:pt>
                <c:pt idx="5">
                  <c:v>13.497714670318894</c:v>
                </c:pt>
                <c:pt idx="6">
                  <c:v>18.702798513212141</c:v>
                </c:pt>
                <c:pt idx="7">
                  <c:v>25.92287762963684</c:v>
                </c:pt>
                <c:pt idx="8">
                  <c:v>35.940795178890447</c:v>
                </c:pt>
                <c:pt idx="9">
                  <c:v>49.844538070800986</c:v>
                </c:pt>
                <c:pt idx="10">
                  <c:v>69.146536639181463</c:v>
                </c:pt>
                <c:pt idx="11">
                  <c:v>89.481359471532414</c:v>
                </c:pt>
                <c:pt idx="12">
                  <c:v>109.69969907041973</c:v>
                </c:pt>
                <c:pt idx="13">
                  <c:v>129.82617251251659</c:v>
                </c:pt>
                <c:pt idx="14">
                  <c:v>149.87707112836947</c:v>
                </c:pt>
                <c:pt idx="15">
                  <c:v>169.8639461155727</c:v>
                </c:pt>
                <c:pt idx="16">
                  <c:v>195.22253928938787</c:v>
                </c:pt>
                <c:pt idx="17">
                  <c:v>220.50453226750395</c:v>
                </c:pt>
                <c:pt idx="18">
                  <c:v>245.71994542966834</c:v>
                </c:pt>
                <c:pt idx="19">
                  <c:v>270.87657100003173</c:v>
                </c:pt>
                <c:pt idx="20">
                  <c:v>295.98063417932605</c:v>
                </c:pt>
                <c:pt idx="21">
                  <c:v>197.48280714753739</c:v>
                </c:pt>
                <c:pt idx="22">
                  <c:v>220.50453226750395</c:v>
                </c:pt>
                <c:pt idx="23">
                  <c:v>243.47106182824413</c:v>
                </c:pt>
                <c:pt idx="24">
                  <c:v>266.38833386373528</c:v>
                </c:pt>
                <c:pt idx="25">
                  <c:v>289.26118046969754</c:v>
                </c:pt>
                <c:pt idx="26">
                  <c:v>252.91325418581559</c:v>
                </c:pt>
                <c:pt idx="27">
                  <c:v>274.91455293818166</c:v>
                </c:pt>
                <c:pt idx="28">
                  <c:v>296.87630238617862</c:v>
                </c:pt>
                <c:pt idx="29">
                  <c:v>318.80183833443067</c:v>
                </c:pt>
                <c:pt idx="30">
                  <c:v>340.6940002860228</c:v>
                </c:pt>
                <c:pt idx="31">
                  <c:v>300.90606654813729</c:v>
                </c:pt>
                <c:pt idx="32">
                  <c:v>321.48425180635394</c:v>
                </c:pt>
                <c:pt idx="33">
                  <c:v>342.03330890235503</c:v>
                </c:pt>
                <c:pt idx="34">
                  <c:v>362.55523309892413</c:v>
                </c:pt>
                <c:pt idx="35">
                  <c:v>383.05177541071208</c:v>
                </c:pt>
                <c:pt idx="36">
                  <c:v>342.4797194558883</c:v>
                </c:pt>
                <c:pt idx="37">
                  <c:v>362.10938015631001</c:v>
                </c:pt>
                <c:pt idx="38">
                  <c:v>381.71578669021255</c:v>
                </c:pt>
                <c:pt idx="39">
                  <c:v>401.30030091052237</c:v>
                </c:pt>
                <c:pt idx="40">
                  <c:v>420.864140955106</c:v>
                </c:pt>
                <c:pt idx="41">
                  <c:v>378.59808340312696</c:v>
                </c:pt>
                <c:pt idx="42">
                  <c:v>396.40615590256056</c:v>
                </c:pt>
                <c:pt idx="43">
                  <c:v>414.19690225230175</c:v>
                </c:pt>
                <c:pt idx="44">
                  <c:v>431.97117107689922</c:v>
                </c:pt>
                <c:pt idx="45">
                  <c:v>449.72973549516246</c:v>
                </c:pt>
                <c:pt idx="46">
                  <c:v>408.416756548705</c:v>
                </c:pt>
                <c:pt idx="47">
                  <c:v>424.86338979756653</c:v>
                </c:pt>
                <c:pt idx="48">
                  <c:v>441.29632927906988</c:v>
                </c:pt>
                <c:pt idx="49">
                  <c:v>457.71615652908685</c:v>
                </c:pt>
                <c:pt idx="50">
                  <c:v>474.12340797215165</c:v>
                </c:pt>
                <c:pt idx="51">
                  <c:v>435.52411678963432</c:v>
                </c:pt>
                <c:pt idx="52">
                  <c:v>450.17350463671522</c:v>
                </c:pt>
                <c:pt idx="53">
                  <c:v>464.81269749872439</c:v>
                </c:pt>
                <c:pt idx="54">
                  <c:v>479.44206160972567</c:v>
                </c:pt>
                <c:pt idx="55">
                  <c:v>494.06193903689768</c:v>
                </c:pt>
                <c:pt idx="56">
                  <c:v>456.38529460741091</c:v>
                </c:pt>
                <c:pt idx="57">
                  <c:v>469.69022691951341</c:v>
                </c:pt>
                <c:pt idx="58">
                  <c:v>482.98713293042402</c:v>
                </c:pt>
                <c:pt idx="59">
                  <c:v>496.27626470453976</c:v>
                </c:pt>
                <c:pt idx="60">
                  <c:v>509.55785970842743</c:v>
                </c:pt>
                <c:pt idx="61">
                  <c:v>475.45318983876706</c:v>
                </c:pt>
                <c:pt idx="62">
                  <c:v>487.86070439311379</c:v>
                </c:pt>
                <c:pt idx="63">
                  <c:v>500.26152412217448</c:v>
                </c:pt>
                <c:pt idx="64">
                  <c:v>512.65583834806694</c:v>
                </c:pt>
                <c:pt idx="65">
                  <c:v>525.04382649327351</c:v>
                </c:pt>
                <c:pt idx="66">
                  <c:v>491.84740297234742</c:v>
                </c:pt>
                <c:pt idx="67">
                  <c:v>502.91798999726456</c:v>
                </c:pt>
                <c:pt idx="68">
                  <c:v>513.98342229938953</c:v>
                </c:pt>
                <c:pt idx="69">
                  <c:v>525.04382649327351</c:v>
                </c:pt>
                <c:pt idx="70">
                  <c:v>536.099323424212</c:v>
                </c:pt>
                <c:pt idx="71">
                  <c:v>506.01682508175622</c:v>
                </c:pt>
                <c:pt idx="72">
                  <c:v>515.75342165232314</c:v>
                </c:pt>
                <c:pt idx="73">
                  <c:v>525.48613980439268</c:v>
                </c:pt>
                <c:pt idx="74">
                  <c:v>535.21506150486687</c:v>
                </c:pt>
                <c:pt idx="75">
                  <c:v>544.94026549750731</c:v>
                </c:pt>
                <c:pt idx="76">
                  <c:v>518.4081804575975</c:v>
                </c:pt>
                <c:pt idx="77">
                  <c:v>527.25531469060445</c:v>
                </c:pt>
                <c:pt idx="78">
                  <c:v>536.099323424212</c:v>
                </c:pt>
                <c:pt idx="79">
                  <c:v>544.94026549750731</c:v>
                </c:pt>
                <c:pt idx="80">
                  <c:v>553.77819768444851</c:v>
                </c:pt>
                <c:pt idx="81">
                  <c:v>528.58211378930434</c:v>
                </c:pt>
                <c:pt idx="82">
                  <c:v>536.54144288093755</c:v>
                </c:pt>
                <c:pt idx="83">
                  <c:v>544.49829034246511</c:v>
                </c:pt>
                <c:pt idx="84">
                  <c:v>552.45269756028677</c:v>
                </c:pt>
                <c:pt idx="85">
                  <c:v>560.40470463156919</c:v>
                </c:pt>
                <c:pt idx="86">
                  <c:v>536.099323424212</c:v>
                </c:pt>
                <c:pt idx="87">
                  <c:v>542.7303143394812</c:v>
                </c:pt>
                <c:pt idx="88">
                  <c:v>549.35960435614891</c:v>
                </c:pt>
                <c:pt idx="89">
                  <c:v>555.98721690157754</c:v>
                </c:pt>
                <c:pt idx="90">
                  <c:v>562.61317479886077</c:v>
                </c:pt>
                <c:pt idx="91">
                  <c:v>542.7303143394812</c:v>
                </c:pt>
                <c:pt idx="92">
                  <c:v>549.35960435614891</c:v>
                </c:pt>
                <c:pt idx="93">
                  <c:v>555.98721690157754</c:v>
                </c:pt>
                <c:pt idx="94">
                  <c:v>562.61317479886077</c:v>
                </c:pt>
                <c:pt idx="95">
                  <c:v>569.23750028949542</c:v>
                </c:pt>
                <c:pt idx="96">
                  <c:v>549.35960435614891</c:v>
                </c:pt>
                <c:pt idx="97">
                  <c:v>555.98721690157754</c:v>
                </c:pt>
                <c:pt idx="98">
                  <c:v>562.61317479886077</c:v>
                </c:pt>
                <c:pt idx="99">
                  <c:v>569.23750028949542</c:v>
                </c:pt>
                <c:pt idx="100">
                  <c:v>575.86021505494898</c:v>
                </c:pt>
                <c:pt idx="101">
                  <c:v>549.35960435614891</c:v>
                </c:pt>
                <c:pt idx="102">
                  <c:v>549.35960435614891</c:v>
                </c:pt>
                <c:pt idx="103">
                  <c:v>549.35960435614891</c:v>
                </c:pt>
                <c:pt idx="104">
                  <c:v>549.35960435614891</c:v>
                </c:pt>
                <c:pt idx="105">
                  <c:v>549.35960435614891</c:v>
                </c:pt>
                <c:pt idx="106">
                  <c:v>549.35960435614891</c:v>
                </c:pt>
                <c:pt idx="107">
                  <c:v>549.35960435614891</c:v>
                </c:pt>
                <c:pt idx="108">
                  <c:v>549.35960435614891</c:v>
                </c:pt>
                <c:pt idx="109">
                  <c:v>549.35960435614891</c:v>
                </c:pt>
                <c:pt idx="110">
                  <c:v>549.35960435614891</c:v>
                </c:pt>
                <c:pt idx="111">
                  <c:v>549.35960435614891</c:v>
                </c:pt>
                <c:pt idx="112">
                  <c:v>549.35960435614891</c:v>
                </c:pt>
                <c:pt idx="113">
                  <c:v>549.35960435614891</c:v>
                </c:pt>
                <c:pt idx="114">
                  <c:v>549.35960435614891</c:v>
                </c:pt>
                <c:pt idx="115">
                  <c:v>549.35960435614891</c:v>
                </c:pt>
                <c:pt idx="116">
                  <c:v>549.35960435614891</c:v>
                </c:pt>
                <c:pt idx="117">
                  <c:v>549.35960435614891</c:v>
                </c:pt>
                <c:pt idx="118">
                  <c:v>549.35960435614891</c:v>
                </c:pt>
                <c:pt idx="119">
                  <c:v>549.35960435614891</c:v>
                </c:pt>
                <c:pt idx="120">
                  <c:v>549.35960435614891</c:v>
                </c:pt>
                <c:pt idx="121">
                  <c:v>549.35960435614891</c:v>
                </c:pt>
                <c:pt idx="122">
                  <c:v>549.35960435614891</c:v>
                </c:pt>
                <c:pt idx="123">
                  <c:v>549.35960435614891</c:v>
                </c:pt>
                <c:pt idx="124">
                  <c:v>549.35960435614891</c:v>
                </c:pt>
                <c:pt idx="125">
                  <c:v>549.35960435614891</c:v>
                </c:pt>
                <c:pt idx="126">
                  <c:v>549.35960435614891</c:v>
                </c:pt>
                <c:pt idx="127">
                  <c:v>549.35960435614891</c:v>
                </c:pt>
                <c:pt idx="128">
                  <c:v>549.35960435614891</c:v>
                </c:pt>
                <c:pt idx="129">
                  <c:v>549.35960435614891</c:v>
                </c:pt>
                <c:pt idx="130">
                  <c:v>549.35960435614891</c:v>
                </c:pt>
                <c:pt idx="131">
                  <c:v>549.35960435614891</c:v>
                </c:pt>
                <c:pt idx="132">
                  <c:v>549.35960435614891</c:v>
                </c:pt>
                <c:pt idx="133">
                  <c:v>549.35960435614891</c:v>
                </c:pt>
                <c:pt idx="134">
                  <c:v>549.35960435614891</c:v>
                </c:pt>
                <c:pt idx="135">
                  <c:v>549.35960435614891</c:v>
                </c:pt>
                <c:pt idx="136">
                  <c:v>549.35960435614891</c:v>
                </c:pt>
                <c:pt idx="137">
                  <c:v>549.35960435614891</c:v>
                </c:pt>
                <c:pt idx="138">
                  <c:v>549.35960435614891</c:v>
                </c:pt>
                <c:pt idx="139">
                  <c:v>549.35960435614891</c:v>
                </c:pt>
                <c:pt idx="140">
                  <c:v>549.35960435614891</c:v>
                </c:pt>
                <c:pt idx="141">
                  <c:v>549.35960435614891</c:v>
                </c:pt>
                <c:pt idx="142">
                  <c:v>549.35960435614891</c:v>
                </c:pt>
                <c:pt idx="143">
                  <c:v>549.35960435614891</c:v>
                </c:pt>
                <c:pt idx="144">
                  <c:v>549.35960435614891</c:v>
                </c:pt>
                <c:pt idx="145">
                  <c:v>549.35960435614891</c:v>
                </c:pt>
                <c:pt idx="146">
                  <c:v>549.35960435614891</c:v>
                </c:pt>
                <c:pt idx="147">
                  <c:v>549.35960435614891</c:v>
                </c:pt>
                <c:pt idx="148">
                  <c:v>549.35960435614891</c:v>
                </c:pt>
                <c:pt idx="149">
                  <c:v>549.35960435614891</c:v>
                </c:pt>
                <c:pt idx="150">
                  <c:v>549.35960435614891</c:v>
                </c:pt>
                <c:pt idx="151">
                  <c:v>549.35960435614891</c:v>
                </c:pt>
                <c:pt idx="152">
                  <c:v>549.35960435614891</c:v>
                </c:pt>
                <c:pt idx="153">
                  <c:v>549.35960435614891</c:v>
                </c:pt>
                <c:pt idx="154">
                  <c:v>549.35960435614891</c:v>
                </c:pt>
                <c:pt idx="155">
                  <c:v>549.35960435614891</c:v>
                </c:pt>
                <c:pt idx="156">
                  <c:v>549.35960435614891</c:v>
                </c:pt>
                <c:pt idx="157">
                  <c:v>549.35960435614891</c:v>
                </c:pt>
                <c:pt idx="158">
                  <c:v>549.35960435614891</c:v>
                </c:pt>
                <c:pt idx="159">
                  <c:v>549.35960435614891</c:v>
                </c:pt>
                <c:pt idx="160">
                  <c:v>549.35960435614891</c:v>
                </c:pt>
                <c:pt idx="161">
                  <c:v>549.35960435614891</c:v>
                </c:pt>
                <c:pt idx="162">
                  <c:v>549.35960435614891</c:v>
                </c:pt>
                <c:pt idx="163">
                  <c:v>549.35960435614891</c:v>
                </c:pt>
                <c:pt idx="164">
                  <c:v>549.35960435614891</c:v>
                </c:pt>
                <c:pt idx="165">
                  <c:v>549.35960435614891</c:v>
                </c:pt>
                <c:pt idx="166">
                  <c:v>549.35960435614891</c:v>
                </c:pt>
                <c:pt idx="167">
                  <c:v>549.35960435614891</c:v>
                </c:pt>
                <c:pt idx="168">
                  <c:v>549.35960435614891</c:v>
                </c:pt>
                <c:pt idx="169">
                  <c:v>549.35960435614891</c:v>
                </c:pt>
                <c:pt idx="170">
                  <c:v>549.35960435614891</c:v>
                </c:pt>
                <c:pt idx="171">
                  <c:v>549.35960435614891</c:v>
                </c:pt>
                <c:pt idx="172">
                  <c:v>549.35960435614891</c:v>
                </c:pt>
                <c:pt idx="173">
                  <c:v>549.35960435614891</c:v>
                </c:pt>
                <c:pt idx="174">
                  <c:v>549.35960435614891</c:v>
                </c:pt>
                <c:pt idx="175">
                  <c:v>549.35960435614891</c:v>
                </c:pt>
                <c:pt idx="176">
                  <c:v>549.35960435614891</c:v>
                </c:pt>
                <c:pt idx="177">
                  <c:v>549.35960435614891</c:v>
                </c:pt>
                <c:pt idx="178">
                  <c:v>549.35960435614891</c:v>
                </c:pt>
                <c:pt idx="179">
                  <c:v>549.35960435614891</c:v>
                </c:pt>
                <c:pt idx="180">
                  <c:v>549.35960435614891</c:v>
                </c:pt>
                <c:pt idx="181">
                  <c:v>549.35960435614891</c:v>
                </c:pt>
                <c:pt idx="182">
                  <c:v>549.35960435614891</c:v>
                </c:pt>
                <c:pt idx="183">
                  <c:v>549.35960435614891</c:v>
                </c:pt>
                <c:pt idx="184">
                  <c:v>549.35960435614891</c:v>
                </c:pt>
                <c:pt idx="185">
                  <c:v>549.35960435614891</c:v>
                </c:pt>
                <c:pt idx="186">
                  <c:v>549.35960435614891</c:v>
                </c:pt>
                <c:pt idx="187">
                  <c:v>549.35960435614891</c:v>
                </c:pt>
                <c:pt idx="188">
                  <c:v>549.35960435614891</c:v>
                </c:pt>
                <c:pt idx="189">
                  <c:v>549.35960435614891</c:v>
                </c:pt>
                <c:pt idx="190">
                  <c:v>549.35960435614891</c:v>
                </c:pt>
                <c:pt idx="191">
                  <c:v>549.35960435614891</c:v>
                </c:pt>
                <c:pt idx="192">
                  <c:v>549.35960435614891</c:v>
                </c:pt>
                <c:pt idx="193">
                  <c:v>549.35960435614891</c:v>
                </c:pt>
                <c:pt idx="194">
                  <c:v>549.35960435614891</c:v>
                </c:pt>
                <c:pt idx="195">
                  <c:v>549.35960435614891</c:v>
                </c:pt>
                <c:pt idx="196">
                  <c:v>549.35960435614891</c:v>
                </c:pt>
                <c:pt idx="197">
                  <c:v>549.35960435614891</c:v>
                </c:pt>
                <c:pt idx="198">
                  <c:v>549.35960435614891</c:v>
                </c:pt>
                <c:pt idx="199">
                  <c:v>549.35960435614891</c:v>
                </c:pt>
                <c:pt idx="200">
                  <c:v>549.35960435614891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homas EVEN" id="{FE1C5B0A-5393-4A96-9625-FEBAD6A07D3A}" userId="thomas EVEN" providerId="Non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20" dT="2024-02-29T11:02:57.14" personId="{FE1C5B0A-5393-4A96-9625-FEBAD6A07D3A}" id="{C172EE74-C355-4682-9E4F-249B2BCA9051}">
    <text>Préparation du sol</text>
  </threadedComment>
  <threadedComment ref="I21" dT="2024-02-29T12:57:50.92" personId="{FE1C5B0A-5393-4A96-9625-FEBAD6A07D3A}" id="{9BA9FB1A-4DD7-4804-9E62-519137C1A348}">
    <text>Protection feullus</text>
  </threadedComment>
  <threadedComment ref="I22" dT="2024-02-29T13:00:10.83" personId="{FE1C5B0A-5393-4A96-9625-FEBAD6A07D3A}" id="{DF18DF78-8CF5-4F1F-9944-7CF52EF3E30C}">
    <text>Piquet  trico réésineux</text>
  </threadedComment>
  <threadedComment ref="I23" dT="2024-02-29T13:02:34.61" personId="{FE1C5B0A-5393-4A96-9625-FEBAD6A07D3A}" id="{23490E3B-3134-4B57-8341-367093CA4D86}">
    <text>Maitrise d'oeuvre</text>
  </threadedComment>
  <threadedComment ref="I24" dT="2024-02-29T13:02:41.93" personId="{FE1C5B0A-5393-4A96-9625-FEBAD6A07D3A}" id="{81D4EFD9-EA80-48A6-8F03-DF8B105B55E5}">
    <text>Entretiens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110" zoomScaleNormal="55" workbookViewId="0">
      <selection activeCell="C27" sqref="C27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11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f>5.65/11</f>
        <v>0.51363636363636367</v>
      </c>
      <c r="D9" s="33">
        <f t="shared" ref="D9:D18" si="0">C9*$C$5</f>
        <v>5.65</v>
      </c>
      <c r="E9" s="34">
        <v>76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f>2.65/11</f>
        <v>0.24090909090909091</v>
      </c>
      <c r="D10" s="33">
        <f t="shared" si="0"/>
        <v>2.65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f>0.4/11</f>
        <v>3.6363636363636369E-2</v>
      </c>
      <c r="D11" s="33">
        <f t="shared" si="0"/>
        <v>0.40000000000000008</v>
      </c>
      <c r="E11" s="34">
        <v>42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23</v>
      </c>
      <c r="C12" s="32">
        <f>1.3/11</f>
        <v>0.11818181818181818</v>
      </c>
      <c r="D12" s="33">
        <f t="shared" si="0"/>
        <v>1.3</v>
      </c>
      <c r="E12" s="34">
        <v>131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 t="s">
        <v>25</v>
      </c>
      <c r="C13" s="32">
        <f>1/11</f>
        <v>9.0909090909090912E-2</v>
      </c>
      <c r="D13" s="33">
        <f t="shared" si="0"/>
        <v>1</v>
      </c>
      <c r="E13" s="34">
        <v>100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26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27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28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29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30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31</v>
      </c>
      <c r="C19" s="37">
        <f>SUM(C9:C18)</f>
        <v>1</v>
      </c>
      <c r="D19" s="38">
        <f>SUM(D9:D18)</f>
        <v>11.000000000000002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33</v>
      </c>
      <c r="B24" s="42" t="s">
        <v>34</v>
      </c>
      <c r="C24" s="43">
        <v>0</v>
      </c>
      <c r="D24" s="44" t="s">
        <v>35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36</v>
      </c>
      <c r="B25" s="42" t="s">
        <v>37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38</v>
      </c>
      <c r="B26" s="42" t="s">
        <v>39</v>
      </c>
      <c r="C26" s="43">
        <v>0.05</v>
      </c>
      <c r="D26" s="44" t="s">
        <v>40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41</v>
      </c>
      <c r="B27" s="42" t="s">
        <v>42</v>
      </c>
      <c r="C27" s="43">
        <v>0</v>
      </c>
      <c r="D27" s="44" t="s">
        <v>43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44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laricio</v>
      </c>
      <c r="D32" s="229" t="s">
        <v>45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46</v>
      </c>
      <c r="C34" s="259" t="s">
        <v>47</v>
      </c>
      <c r="D34" s="259"/>
      <c r="E34" s="260" t="s">
        <v>48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49</v>
      </c>
      <c r="B35" s="36" t="s">
        <v>50</v>
      </c>
      <c r="C35" s="48" t="s">
        <v>51</v>
      </c>
      <c r="D35" s="48" t="s">
        <v>52</v>
      </c>
      <c r="E35" s="36" t="s">
        <v>53</v>
      </c>
      <c r="F35" s="36" t="s">
        <v>54</v>
      </c>
      <c r="G35" s="36" t="s">
        <v>55</v>
      </c>
      <c r="H35" s="36" t="s">
        <v>56</v>
      </c>
      <c r="I35" s="48" t="s">
        <v>57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19</v>
      </c>
      <c r="B36" s="60">
        <v>127.98461538461538</v>
      </c>
      <c r="C36" s="60">
        <v>1</v>
      </c>
      <c r="D36" s="60">
        <v>46.53846153846154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6.7360323886639675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159.94615384615383</v>
      </c>
      <c r="C37" s="60">
        <v>2</v>
      </c>
      <c r="D37" s="60">
        <v>40.41538461538461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15.7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215.65384615384616</v>
      </c>
      <c r="C38" s="60">
        <v>3</v>
      </c>
      <c r="D38" s="60">
        <v>55.869230769230761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16.020512820512824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37</v>
      </c>
      <c r="B39" s="60">
        <v>268.16923076923075</v>
      </c>
      <c r="C39" s="60">
        <v>4</v>
      </c>
      <c r="D39" s="60">
        <v>43.623076923076923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15.48351648351648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46</v>
      </c>
      <c r="B40" s="60">
        <v>362.82307692307688</v>
      </c>
      <c r="C40" s="60">
        <v>5</v>
      </c>
      <c r="D40" s="60">
        <v>72.561538461538461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15.364102564102561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56</v>
      </c>
      <c r="B41" s="60">
        <v>428.20000000000005</v>
      </c>
      <c r="C41" s="60">
        <v>6</v>
      </c>
      <c r="D41" s="60">
        <v>60.092307692307692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13.793846153846165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66</v>
      </c>
      <c r="B42" s="60">
        <v>488.65384615384613</v>
      </c>
      <c r="C42" s="60">
        <v>7</v>
      </c>
      <c r="D42" s="60">
        <v>68.146153846153851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12.05461538461538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76</v>
      </c>
      <c r="B43" s="60">
        <v>520.22307692307686</v>
      </c>
      <c r="C43" s="60">
        <v>8</v>
      </c>
      <c r="D43" s="60">
        <v>520.22307692307686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9.9715384615384544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Cèdre de l'Atlas</v>
      </c>
      <c r="D58" s="229" t="s">
        <v>45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46</v>
      </c>
      <c r="C60" s="259" t="s">
        <v>47</v>
      </c>
      <c r="D60" s="259"/>
      <c r="E60" s="260" t="s">
        <v>48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49</v>
      </c>
      <c r="B61" s="36" t="s">
        <v>50</v>
      </c>
      <c r="C61" s="48" t="s">
        <v>51</v>
      </c>
      <c r="D61" s="48" t="s">
        <v>52</v>
      </c>
      <c r="E61" s="36" t="s">
        <v>53</v>
      </c>
      <c r="F61" s="36" t="s">
        <v>54</v>
      </c>
      <c r="G61" s="36" t="s">
        <v>55</v>
      </c>
      <c r="H61" s="36" t="s">
        <v>56</v>
      </c>
      <c r="I61" s="48" t="s">
        <v>57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216.79230769230767</v>
      </c>
      <c r="C62" s="60" t="s">
        <v>58</v>
      </c>
      <c r="D62" s="60">
        <v>0</v>
      </c>
      <c r="E62" s="51">
        <v>0.7</v>
      </c>
      <c r="F62" s="51">
        <v>0.16800000000000001</v>
      </c>
      <c r="G62" s="51">
        <v>0.13200000000000001</v>
      </c>
      <c r="H62" s="51">
        <v>0</v>
      </c>
      <c r="I62" s="53">
        <f>IFERROR(B62/A62,"")</f>
        <v>7.2264102564102561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42</v>
      </c>
      <c r="B63" s="60">
        <v>410.3692307692308</v>
      </c>
      <c r="C63" s="60">
        <v>1</v>
      </c>
      <c r="D63" s="60">
        <v>179.84615384615384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>IF(A63&lt;&gt;0,(B63-(B62-D62))/(A63-A62),"")</f>
        <v>16.131410256410259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49</v>
      </c>
      <c r="B64" s="60">
        <v>339.85384615384612</v>
      </c>
      <c r="C64" s="60">
        <v>2</v>
      </c>
      <c r="D64" s="60">
        <v>94.476923076923072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15.618681318681309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56</v>
      </c>
      <c r="B65" s="60">
        <v>348.05384615384617</v>
      </c>
      <c r="C65" s="60">
        <v>3</v>
      </c>
      <c r="D65" s="60">
        <v>72.769230769230759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14.668131868131875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63</v>
      </c>
      <c r="B66" s="60">
        <v>375.17692307692306</v>
      </c>
      <c r="C66" s="60">
        <v>4</v>
      </c>
      <c r="D66" s="60">
        <v>71.123076923076923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14.270329670329668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71</v>
      </c>
      <c r="B67" s="60">
        <v>413.95384615384614</v>
      </c>
      <c r="C67" s="60">
        <v>5</v>
      </c>
      <c r="D67" s="60">
        <v>80.399999999999991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13.737499999999997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79</v>
      </c>
      <c r="B68" s="60">
        <v>436.86153846153843</v>
      </c>
      <c r="C68" s="60">
        <v>6</v>
      </c>
      <c r="D68" s="60">
        <v>77.338461538461544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12.913461538461533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87</v>
      </c>
      <c r="B69" s="50">
        <v>456.51538461538462</v>
      </c>
      <c r="C69" s="50">
        <v>7</v>
      </c>
      <c r="D69" s="50">
        <v>77.330769230769235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12.124038461538468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95</v>
      </c>
      <c r="B70" s="50">
        <v>469.12307692307689</v>
      </c>
      <c r="C70" s="50">
        <v>8</v>
      </c>
      <c r="D70" s="50">
        <v>234.42307692307691</v>
      </c>
      <c r="E70" s="51">
        <v>0.7</v>
      </c>
      <c r="F70" s="51">
        <v>0.16800000000000001</v>
      </c>
      <c r="G70" s="51">
        <v>0.13200000000000001</v>
      </c>
      <c r="H70" s="51">
        <v>0</v>
      </c>
      <c r="I70" s="49">
        <f t="shared" si="2"/>
        <v>11.242307692307691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105</v>
      </c>
      <c r="B71" s="50">
        <v>309.71538461538461</v>
      </c>
      <c r="C71" s="50">
        <v>9</v>
      </c>
      <c r="D71" s="50">
        <v>309.71538461538461</v>
      </c>
      <c r="E71" s="51">
        <v>0.7</v>
      </c>
      <c r="F71" s="51">
        <v>0.16800000000000001</v>
      </c>
      <c r="G71" s="51">
        <v>0.13200000000000001</v>
      </c>
      <c r="H71" s="51">
        <v>0</v>
      </c>
      <c r="I71" s="49">
        <f t="shared" si="2"/>
        <v>7.5015384615384617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Mélèze hybride</v>
      </c>
      <c r="D84" s="229" t="s">
        <v>45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46</v>
      </c>
      <c r="C86" s="259" t="s">
        <v>47</v>
      </c>
      <c r="D86" s="259"/>
      <c r="E86" s="260" t="s">
        <v>48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49</v>
      </c>
      <c r="B87" s="36" t="s">
        <v>50</v>
      </c>
      <c r="C87" s="48" t="s">
        <v>51</v>
      </c>
      <c r="D87" s="48" t="s">
        <v>52</v>
      </c>
      <c r="E87" s="36" t="s">
        <v>53</v>
      </c>
      <c r="F87" s="36" t="s">
        <v>54</v>
      </c>
      <c r="G87" s="36" t="s">
        <v>55</v>
      </c>
      <c r="H87" s="36" t="s">
        <v>56</v>
      </c>
      <c r="I87" s="48" t="s">
        <v>57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12</v>
      </c>
      <c r="B88" s="60">
        <v>116</v>
      </c>
      <c r="C88" s="60">
        <v>1</v>
      </c>
      <c r="D88" s="60">
        <v>21</v>
      </c>
      <c r="E88" s="51">
        <v>0</v>
      </c>
      <c r="F88" s="51">
        <v>0.7</v>
      </c>
      <c r="G88" s="51">
        <v>0</v>
      </c>
      <c r="H88" s="87">
        <v>0.3</v>
      </c>
      <c r="I88" s="53">
        <f>IFERROR(B88/A88,"")</f>
        <v>9.6666666666666661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15</v>
      </c>
      <c r="B89" s="60">
        <v>168</v>
      </c>
      <c r="C89" s="60">
        <v>2</v>
      </c>
      <c r="D89" s="60">
        <v>47</v>
      </c>
      <c r="E89" s="51">
        <v>0</v>
      </c>
      <c r="F89" s="51">
        <v>0.8</v>
      </c>
      <c r="G89" s="51">
        <v>0</v>
      </c>
      <c r="H89" s="87">
        <v>0.2</v>
      </c>
      <c r="I89" s="53">
        <f t="shared" ref="I89:I107" si="3">IF(A89&lt;&gt;0,(B89-(B88-D88))/(A89-A88),"")</f>
        <v>24.333333333333332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18</v>
      </c>
      <c r="B90" s="60">
        <v>185</v>
      </c>
      <c r="C90" s="60">
        <v>3</v>
      </c>
      <c r="D90" s="60">
        <v>61</v>
      </c>
      <c r="E90" s="87">
        <v>0</v>
      </c>
      <c r="F90" s="87">
        <v>0.8</v>
      </c>
      <c r="G90" s="87">
        <v>0</v>
      </c>
      <c r="H90" s="87">
        <v>0.2</v>
      </c>
      <c r="I90" s="53">
        <f t="shared" si="3"/>
        <v>21.333333333333332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24</v>
      </c>
      <c r="B91" s="60">
        <v>239</v>
      </c>
      <c r="C91" s="60">
        <v>4</v>
      </c>
      <c r="D91" s="60">
        <v>84</v>
      </c>
      <c r="E91" s="87">
        <v>0</v>
      </c>
      <c r="F91" s="87">
        <v>0.8</v>
      </c>
      <c r="G91" s="87">
        <v>0</v>
      </c>
      <c r="H91" s="87">
        <v>0.2</v>
      </c>
      <c r="I91" s="53">
        <f t="shared" si="3"/>
        <v>19.166666666666668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30</v>
      </c>
      <c r="B92" s="60">
        <v>255</v>
      </c>
      <c r="C92" s="60">
        <v>5</v>
      </c>
      <c r="D92" s="60">
        <v>76</v>
      </c>
      <c r="E92" s="87">
        <v>0.3</v>
      </c>
      <c r="F92" s="87">
        <v>0.6</v>
      </c>
      <c r="G92" s="87">
        <v>0</v>
      </c>
      <c r="H92" s="87">
        <v>0.1</v>
      </c>
      <c r="I92" s="53">
        <f t="shared" si="3"/>
        <v>16.666666666666668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36</v>
      </c>
      <c r="B93" s="60">
        <v>269</v>
      </c>
      <c r="C93" s="60">
        <v>6</v>
      </c>
      <c r="D93" s="60">
        <v>75</v>
      </c>
      <c r="E93" s="87">
        <v>0.3</v>
      </c>
      <c r="F93" s="87">
        <v>0.6</v>
      </c>
      <c r="G93" s="87">
        <v>0</v>
      </c>
      <c r="H93" s="87">
        <v>0.1</v>
      </c>
      <c r="I93" s="53">
        <f t="shared" si="3"/>
        <v>15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42</v>
      </c>
      <c r="B94" s="60">
        <v>278</v>
      </c>
      <c r="C94" s="60" t="s">
        <v>59</v>
      </c>
      <c r="D94" s="60">
        <v>278</v>
      </c>
      <c r="E94" s="87">
        <v>0.4</v>
      </c>
      <c r="F94" s="87">
        <v>0.6</v>
      </c>
      <c r="G94" s="87">
        <v>0</v>
      </c>
      <c r="H94" s="87">
        <v>0</v>
      </c>
      <c r="I94" s="53">
        <f t="shared" si="3"/>
        <v>14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Chêne sessile</v>
      </c>
      <c r="D110" s="229" t="s">
        <v>45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46</v>
      </c>
      <c r="C112" s="259" t="s">
        <v>47</v>
      </c>
      <c r="D112" s="259"/>
      <c r="E112" s="260" t="s">
        <v>48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49</v>
      </c>
      <c r="B113" s="36" t="s">
        <v>50</v>
      </c>
      <c r="C113" s="48" t="s">
        <v>51</v>
      </c>
      <c r="D113" s="48" t="s">
        <v>52</v>
      </c>
      <c r="E113" s="36" t="s">
        <v>53</v>
      </c>
      <c r="F113" s="36" t="s">
        <v>54</v>
      </c>
      <c r="G113" s="36" t="s">
        <v>55</v>
      </c>
      <c r="H113" s="36" t="s">
        <v>56</v>
      </c>
      <c r="I113" s="48" t="s">
        <v>57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30</v>
      </c>
      <c r="B114" s="60">
        <v>121.88461538461537</v>
      </c>
      <c r="C114" s="50" t="s">
        <v>58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4.0628205128205126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35</v>
      </c>
      <c r="B115" s="60">
        <v>162.16666666666669</v>
      </c>
      <c r="C115" s="50">
        <v>1</v>
      </c>
      <c r="D115" s="60">
        <v>60.602564102564102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8.0564102564102633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41</v>
      </c>
      <c r="B116" s="60">
        <v>157.44871794871796</v>
      </c>
      <c r="C116" s="50">
        <v>2</v>
      </c>
      <c r="D116" s="60">
        <v>38.512820512820511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9.3141025641025621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48</v>
      </c>
      <c r="B117" s="60">
        <v>184.35256410256409</v>
      </c>
      <c r="C117" s="50">
        <v>3</v>
      </c>
      <c r="D117" s="60">
        <v>48.025641025641022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9.3452380952380913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55</v>
      </c>
      <c r="B118" s="60">
        <v>198.44230769230768</v>
      </c>
      <c r="C118" s="50">
        <v>4</v>
      </c>
      <c r="D118" s="60">
        <v>45.147435897435898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8.8736263736263741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63</v>
      </c>
      <c r="B119" s="60">
        <v>220.28846153846152</v>
      </c>
      <c r="C119" s="50">
        <v>5</v>
      </c>
      <c r="D119" s="60">
        <v>41.724358974358978</v>
      </c>
      <c r="E119" s="51">
        <v>0.7</v>
      </c>
      <c r="F119" s="51">
        <v>0</v>
      </c>
      <c r="G119" s="51">
        <v>0</v>
      </c>
      <c r="H119" s="51">
        <v>0.3</v>
      </c>
      <c r="I119" s="53">
        <f t="shared" si="4"/>
        <v>8.374198717948719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71</v>
      </c>
      <c r="B120" s="60">
        <v>243.36538461538464</v>
      </c>
      <c r="C120" s="60">
        <v>6</v>
      </c>
      <c r="D120" s="60">
        <v>39.935897435897431</v>
      </c>
      <c r="E120" s="87">
        <v>0.7</v>
      </c>
      <c r="F120" s="87">
        <v>0</v>
      </c>
      <c r="G120" s="87">
        <v>0</v>
      </c>
      <c r="H120" s="87">
        <v>0.3</v>
      </c>
      <c r="I120" s="53">
        <f t="shared" si="4"/>
        <v>8.1001602564102626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80</v>
      </c>
      <c r="B121" s="60">
        <v>274.01282051282055</v>
      </c>
      <c r="C121" s="60">
        <v>7</v>
      </c>
      <c r="D121" s="60">
        <v>45.608974358974358</v>
      </c>
      <c r="E121" s="87">
        <v>0.7</v>
      </c>
      <c r="F121" s="87">
        <v>0</v>
      </c>
      <c r="G121" s="87">
        <v>0</v>
      </c>
      <c r="H121" s="87">
        <v>0.3</v>
      </c>
      <c r="I121" s="53">
        <f t="shared" si="4"/>
        <v>7.8425925925925934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89</v>
      </c>
      <c r="B122" s="60">
        <v>295.85897435897436</v>
      </c>
      <c r="C122" s="60">
        <v>8</v>
      </c>
      <c r="D122" s="60">
        <v>49.391025641025635</v>
      </c>
      <c r="E122" s="87">
        <v>0.7</v>
      </c>
      <c r="F122" s="87">
        <v>0</v>
      </c>
      <c r="G122" s="87">
        <v>0</v>
      </c>
      <c r="H122" s="87">
        <v>0.3</v>
      </c>
      <c r="I122" s="53">
        <f t="shared" si="4"/>
        <v>7.4950142450142421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99</v>
      </c>
      <c r="B123" s="60">
        <v>318.25</v>
      </c>
      <c r="C123" s="60">
        <v>9</v>
      </c>
      <c r="D123" s="60">
        <v>48.019230769230766</v>
      </c>
      <c r="E123" s="87">
        <v>0.7</v>
      </c>
      <c r="F123" s="87">
        <v>0</v>
      </c>
      <c r="G123" s="87">
        <v>0</v>
      </c>
      <c r="H123" s="87">
        <v>0.3</v>
      </c>
      <c r="I123" s="53">
        <f t="shared" si="4"/>
        <v>7.1782051282051267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109</v>
      </c>
      <c r="B124" s="60">
        <v>340.16666666666663</v>
      </c>
      <c r="C124" s="60">
        <v>10</v>
      </c>
      <c r="D124" s="60">
        <v>51.28846153846154</v>
      </c>
      <c r="E124" s="87">
        <v>0.9</v>
      </c>
      <c r="F124" s="87">
        <v>0</v>
      </c>
      <c r="G124" s="87">
        <v>0</v>
      </c>
      <c r="H124" s="87">
        <v>0.1</v>
      </c>
      <c r="I124" s="53">
        <f t="shared" si="4"/>
        <v>6.9935897435897401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119</v>
      </c>
      <c r="B125" s="60">
        <v>357.33974358974359</v>
      </c>
      <c r="C125" s="60">
        <v>11</v>
      </c>
      <c r="D125" s="60">
        <v>150.02564102564102</v>
      </c>
      <c r="E125" s="87">
        <v>0.9</v>
      </c>
      <c r="F125" s="87">
        <v>0</v>
      </c>
      <c r="G125" s="87">
        <v>0</v>
      </c>
      <c r="H125" s="87">
        <v>0.1</v>
      </c>
      <c r="I125" s="53">
        <f t="shared" si="4"/>
        <v>6.8461538461538511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123</v>
      </c>
      <c r="B126" s="60">
        <v>222.63461538461539</v>
      </c>
      <c r="C126" s="60">
        <v>12</v>
      </c>
      <c r="D126" s="60">
        <v>77.17307692307692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4"/>
        <v>3.8301282051282044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127</v>
      </c>
      <c r="B127" s="60">
        <v>154.80128205128204</v>
      </c>
      <c r="C127" s="60">
        <v>13</v>
      </c>
      <c r="D127" s="60">
        <v>49.916666666666671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2.3349358974358978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131</v>
      </c>
      <c r="B128" s="50">
        <v>110.91025641025641</v>
      </c>
      <c r="C128" s="50">
        <v>14</v>
      </c>
      <c r="D128" s="50">
        <v>110.91025641025641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1.5064102564102591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 t="str">
        <f>IF(B13="","",B13)</f>
        <v>Chêne chevelu</v>
      </c>
      <c r="D136" s="229" t="s">
        <v>45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46</v>
      </c>
      <c r="C138" s="259" t="s">
        <v>47</v>
      </c>
      <c r="D138" s="259"/>
      <c r="E138" s="260" t="s">
        <v>48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49</v>
      </c>
      <c r="B139" s="36" t="s">
        <v>50</v>
      </c>
      <c r="C139" s="48" t="s">
        <v>51</v>
      </c>
      <c r="D139" s="48" t="s">
        <v>52</v>
      </c>
      <c r="E139" s="36" t="s">
        <v>53</v>
      </c>
      <c r="F139" s="36" t="s">
        <v>54</v>
      </c>
      <c r="G139" s="36" t="s">
        <v>55</v>
      </c>
      <c r="H139" s="36" t="s">
        <v>56</v>
      </c>
      <c r="I139" s="48" t="s">
        <v>57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10</v>
      </c>
      <c r="B140" s="60">
        <v>29</v>
      </c>
      <c r="C140" s="50">
        <v>0</v>
      </c>
      <c r="D140" s="60">
        <v>0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2.9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15</v>
      </c>
      <c r="B141" s="60">
        <v>73</v>
      </c>
      <c r="C141" s="50">
        <v>0</v>
      </c>
      <c r="D141" s="60">
        <v>0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8.8000000000000007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20</v>
      </c>
      <c r="B142" s="60">
        <v>129</v>
      </c>
      <c r="C142" s="50">
        <v>1</v>
      </c>
      <c r="D142" s="60" t="s">
        <v>60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11.2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25</v>
      </c>
      <c r="B143" s="60">
        <v>126</v>
      </c>
      <c r="C143" s="50">
        <v>2</v>
      </c>
      <c r="D143" s="60" t="s">
        <v>61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10.199999999999999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30</v>
      </c>
      <c r="B144" s="60">
        <v>149</v>
      </c>
      <c r="C144" s="50">
        <v>3</v>
      </c>
      <c r="D144" s="60" t="s">
        <v>62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9.8000000000000007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35</v>
      </c>
      <c r="B145" s="60">
        <v>168</v>
      </c>
      <c r="C145" s="50">
        <v>4</v>
      </c>
      <c r="D145" s="60" t="s">
        <v>62</v>
      </c>
      <c r="E145" s="51">
        <v>0</v>
      </c>
      <c r="F145" s="51">
        <v>0.5</v>
      </c>
      <c r="G145" s="51">
        <v>0</v>
      </c>
      <c r="H145" s="51">
        <v>0.5</v>
      </c>
      <c r="I145" s="57">
        <f t="shared" si="5"/>
        <v>9.1999999999999993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40</v>
      </c>
      <c r="B146" s="60">
        <v>185</v>
      </c>
      <c r="C146" s="50">
        <v>5</v>
      </c>
      <c r="D146" s="60" t="s">
        <v>62</v>
      </c>
      <c r="E146" s="51">
        <v>0</v>
      </c>
      <c r="F146" s="51">
        <v>0.5</v>
      </c>
      <c r="G146" s="51">
        <v>0</v>
      </c>
      <c r="H146" s="51">
        <v>0.5</v>
      </c>
      <c r="I146" s="57">
        <f t="shared" si="5"/>
        <v>8.8000000000000007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45</v>
      </c>
      <c r="B147" s="60">
        <v>198</v>
      </c>
      <c r="C147" s="50">
        <v>6</v>
      </c>
      <c r="D147" s="60" t="s">
        <v>61</v>
      </c>
      <c r="E147" s="51">
        <v>0.4</v>
      </c>
      <c r="F147" s="51">
        <v>0.4</v>
      </c>
      <c r="G147" s="51">
        <v>0</v>
      </c>
      <c r="H147" s="51">
        <v>0.2</v>
      </c>
      <c r="I147" s="57">
        <f>IF(A147&lt;&gt;0,(B147-(B146-D146))/(A147-A146),"")</f>
        <v>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50</v>
      </c>
      <c r="B148" s="60">
        <v>209</v>
      </c>
      <c r="C148" s="50">
        <v>7</v>
      </c>
      <c r="D148" s="60" t="s">
        <v>63</v>
      </c>
      <c r="E148" s="51">
        <v>0.4</v>
      </c>
      <c r="F148" s="51">
        <v>0.4</v>
      </c>
      <c r="G148" s="51">
        <v>0</v>
      </c>
      <c r="H148" s="51">
        <v>0.2</v>
      </c>
      <c r="I148" s="57">
        <f t="shared" si="5"/>
        <v>7.4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55</v>
      </c>
      <c r="B149" s="60">
        <v>218</v>
      </c>
      <c r="C149" s="50">
        <v>8</v>
      </c>
      <c r="D149" s="60" t="s">
        <v>64</v>
      </c>
      <c r="E149" s="51">
        <v>0.4</v>
      </c>
      <c r="F149" s="51">
        <v>0.4</v>
      </c>
      <c r="G149" s="51">
        <v>0</v>
      </c>
      <c r="H149" s="51">
        <v>0.2</v>
      </c>
      <c r="I149" s="57">
        <f t="shared" si="5"/>
        <v>6.6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60</v>
      </c>
      <c r="B150" s="60">
        <v>225</v>
      </c>
      <c r="C150" s="50">
        <v>9</v>
      </c>
      <c r="D150" s="60" t="s">
        <v>65</v>
      </c>
      <c r="E150" s="51">
        <v>0.5</v>
      </c>
      <c r="F150" s="51">
        <v>0.4</v>
      </c>
      <c r="G150" s="51">
        <v>0</v>
      </c>
      <c r="H150" s="51">
        <v>0.1</v>
      </c>
      <c r="I150" s="57">
        <f t="shared" si="5"/>
        <v>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65</v>
      </c>
      <c r="B151" s="60">
        <v>232</v>
      </c>
      <c r="C151" s="50">
        <v>10</v>
      </c>
      <c r="D151" s="60" t="s">
        <v>66</v>
      </c>
      <c r="E151" s="51">
        <v>0.5</v>
      </c>
      <c r="F151" s="51">
        <v>0.4</v>
      </c>
      <c r="G151" s="51">
        <v>0</v>
      </c>
      <c r="H151" s="51">
        <v>0.1</v>
      </c>
      <c r="I151" s="57">
        <f t="shared" si="5"/>
        <v>5.6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70</v>
      </c>
      <c r="B152" s="60">
        <v>237</v>
      </c>
      <c r="C152" s="50">
        <v>11</v>
      </c>
      <c r="D152" s="60" t="s">
        <v>67</v>
      </c>
      <c r="E152" s="54">
        <v>0.5</v>
      </c>
      <c r="F152" s="54">
        <v>0.4</v>
      </c>
      <c r="G152" s="54">
        <v>0</v>
      </c>
      <c r="H152" s="54">
        <v>0.1</v>
      </c>
      <c r="I152" s="57">
        <f t="shared" si="5"/>
        <v>5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75</v>
      </c>
      <c r="B153" s="60">
        <v>241</v>
      </c>
      <c r="C153" s="50">
        <v>12</v>
      </c>
      <c r="D153" s="60" t="s">
        <v>68</v>
      </c>
      <c r="E153" s="54">
        <v>0.6</v>
      </c>
      <c r="F153" s="54">
        <v>0.3</v>
      </c>
      <c r="G153" s="54">
        <v>0</v>
      </c>
      <c r="H153" s="54">
        <v>0.1</v>
      </c>
      <c r="I153" s="57">
        <f t="shared" si="5"/>
        <v>4.4000000000000004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80</v>
      </c>
      <c r="B154" s="56">
        <v>245</v>
      </c>
      <c r="C154" s="50">
        <v>13</v>
      </c>
      <c r="D154" s="50" t="s">
        <v>69</v>
      </c>
      <c r="E154" s="54">
        <v>0.6</v>
      </c>
      <c r="F154" s="54">
        <v>0.3</v>
      </c>
      <c r="G154" s="54">
        <v>0</v>
      </c>
      <c r="H154" s="54">
        <v>0.1</v>
      </c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85</v>
      </c>
      <c r="B155" s="56">
        <v>248</v>
      </c>
      <c r="C155" s="50">
        <v>14</v>
      </c>
      <c r="D155" s="50" t="s">
        <v>70</v>
      </c>
      <c r="E155" s="54">
        <v>0.6</v>
      </c>
      <c r="F155" s="54">
        <v>0.3</v>
      </c>
      <c r="G155" s="54">
        <v>0</v>
      </c>
      <c r="H155" s="54">
        <v>0.1</v>
      </c>
      <c r="I155" s="57">
        <f t="shared" si="5"/>
        <v>3.6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>
        <v>90</v>
      </c>
      <c r="B156" s="56">
        <v>249</v>
      </c>
      <c r="C156" s="50">
        <v>15</v>
      </c>
      <c r="D156" s="50" t="s">
        <v>71</v>
      </c>
      <c r="E156" s="54">
        <v>0.6</v>
      </c>
      <c r="F156" s="54">
        <v>0.3</v>
      </c>
      <c r="G156" s="54">
        <v>0</v>
      </c>
      <c r="H156" s="54">
        <v>0.1</v>
      </c>
      <c r="I156" s="57">
        <f t="shared" si="5"/>
        <v>3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>
        <v>95</v>
      </c>
      <c r="B157" s="56">
        <v>252</v>
      </c>
      <c r="C157" s="50">
        <v>16</v>
      </c>
      <c r="D157" s="50" t="s">
        <v>71</v>
      </c>
      <c r="E157" s="54">
        <v>0.7</v>
      </c>
      <c r="F157" s="54">
        <v>0.2</v>
      </c>
      <c r="G157" s="54">
        <v>0</v>
      </c>
      <c r="H157" s="54">
        <v>0.1</v>
      </c>
      <c r="I157" s="57">
        <f t="shared" si="5"/>
        <v>3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>
        <v>100</v>
      </c>
      <c r="B158" s="56">
        <v>255</v>
      </c>
      <c r="C158" s="50">
        <v>17</v>
      </c>
      <c r="D158" s="50" t="s">
        <v>71</v>
      </c>
      <c r="E158" s="54">
        <v>0.7</v>
      </c>
      <c r="F158" s="54">
        <v>0.2</v>
      </c>
      <c r="G158" s="54">
        <v>0</v>
      </c>
      <c r="H158" s="54">
        <v>0.1</v>
      </c>
      <c r="I158" s="57">
        <f t="shared" si="5"/>
        <v>3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26</v>
      </c>
      <c r="B162" s="52" t="str">
        <f>IF(B14="","",B14)</f>
        <v/>
      </c>
      <c r="D162" s="229" t="s">
        <v>45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46</v>
      </c>
      <c r="C164" s="259" t="s">
        <v>47</v>
      </c>
      <c r="D164" s="259"/>
      <c r="E164" s="260" t="s">
        <v>48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49</v>
      </c>
      <c r="B165" s="36" t="s">
        <v>50</v>
      </c>
      <c r="C165" s="48" t="s">
        <v>51</v>
      </c>
      <c r="D165" s="48" t="s">
        <v>52</v>
      </c>
      <c r="E165" s="36" t="s">
        <v>53</v>
      </c>
      <c r="F165" s="36" t="s">
        <v>54</v>
      </c>
      <c r="G165" s="36" t="s">
        <v>55</v>
      </c>
      <c r="H165" s="36" t="s">
        <v>56</v>
      </c>
      <c r="I165" s="48" t="s">
        <v>57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27</v>
      </c>
      <c r="B188" s="52" t="str">
        <f>IF(B15="","",B15)</f>
        <v/>
      </c>
      <c r="D188" s="229" t="s">
        <v>45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46</v>
      </c>
      <c r="C190" s="259" t="s">
        <v>47</v>
      </c>
      <c r="D190" s="259"/>
      <c r="E190" s="260" t="s">
        <v>48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49</v>
      </c>
      <c r="B191" s="36" t="s">
        <v>50</v>
      </c>
      <c r="C191" s="48" t="s">
        <v>51</v>
      </c>
      <c r="D191" s="48" t="s">
        <v>52</v>
      </c>
      <c r="E191" s="36" t="s">
        <v>53</v>
      </c>
      <c r="F191" s="36" t="s">
        <v>54</v>
      </c>
      <c r="G191" s="36" t="s">
        <v>55</v>
      </c>
      <c r="H191" s="36" t="s">
        <v>56</v>
      </c>
      <c r="I191" s="48" t="s">
        <v>57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28</v>
      </c>
      <c r="B214" s="52" t="str">
        <f>IF(B16="","",B16)</f>
        <v/>
      </c>
      <c r="D214" s="229" t="s">
        <v>45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46</v>
      </c>
      <c r="C216" s="259" t="s">
        <v>47</v>
      </c>
      <c r="D216" s="259"/>
      <c r="E216" s="260" t="s">
        <v>48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49</v>
      </c>
      <c r="B217" s="36" t="s">
        <v>50</v>
      </c>
      <c r="C217" s="48" t="s">
        <v>51</v>
      </c>
      <c r="D217" s="48" t="s">
        <v>52</v>
      </c>
      <c r="E217" s="36" t="s">
        <v>53</v>
      </c>
      <c r="F217" s="36" t="s">
        <v>54</v>
      </c>
      <c r="G217" s="36" t="s">
        <v>55</v>
      </c>
      <c r="H217" s="36" t="s">
        <v>56</v>
      </c>
      <c r="I217" s="48" t="s">
        <v>57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29</v>
      </c>
      <c r="B240" s="52" t="str">
        <f>IF(B17="","",B17)</f>
        <v/>
      </c>
      <c r="D240" s="229" t="s">
        <v>45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46</v>
      </c>
      <c r="C242" s="259" t="s">
        <v>47</v>
      </c>
      <c r="D242" s="259"/>
      <c r="E242" s="260" t="s">
        <v>48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49</v>
      </c>
      <c r="B243" s="36" t="s">
        <v>50</v>
      </c>
      <c r="C243" s="48" t="s">
        <v>51</v>
      </c>
      <c r="D243" s="48" t="s">
        <v>52</v>
      </c>
      <c r="E243" s="36" t="s">
        <v>53</v>
      </c>
      <c r="F243" s="36" t="s">
        <v>54</v>
      </c>
      <c r="G243" s="36" t="s">
        <v>55</v>
      </c>
      <c r="H243" s="36" t="s">
        <v>56</v>
      </c>
      <c r="I243" s="48" t="s">
        <v>57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30</v>
      </c>
      <c r="B266" s="52" t="str">
        <f>IF(B18="","",B18)</f>
        <v/>
      </c>
      <c r="D266" s="229" t="s">
        <v>45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46</v>
      </c>
      <c r="C268" s="259" t="s">
        <v>47</v>
      </c>
      <c r="D268" s="259"/>
      <c r="E268" s="260" t="s">
        <v>48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49</v>
      </c>
      <c r="B269" s="36" t="s">
        <v>50</v>
      </c>
      <c r="C269" s="48" t="s">
        <v>51</v>
      </c>
      <c r="D269" s="48" t="s">
        <v>52</v>
      </c>
      <c r="E269" s="36" t="s">
        <v>53</v>
      </c>
      <c r="F269" s="36" t="s">
        <v>54</v>
      </c>
      <c r="G269" s="36" t="s">
        <v>55</v>
      </c>
      <c r="H269" s="36" t="s">
        <v>56</v>
      </c>
      <c r="I269" s="48" t="s">
        <v>57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6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72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73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74</v>
      </c>
      <c r="C7" s="100" t="s">
        <v>75</v>
      </c>
      <c r="D7" s="215"/>
      <c r="E7" s="101"/>
      <c r="F7" s="26" t="s">
        <v>74</v>
      </c>
      <c r="G7" s="100" t="s">
        <v>76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77</v>
      </c>
      <c r="D8" s="23"/>
      <c r="E8" s="105">
        <v>4</v>
      </c>
      <c r="F8" s="61">
        <v>1</v>
      </c>
      <c r="G8" s="102" t="s">
        <v>78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79</v>
      </c>
      <c r="D9" s="23"/>
      <c r="E9" s="105">
        <v>5</v>
      </c>
      <c r="F9" s="61">
        <v>0</v>
      </c>
      <c r="G9" s="103" t="s">
        <v>80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81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82</v>
      </c>
      <c r="D13" s="216"/>
      <c r="E13" s="99"/>
      <c r="F13" s="107"/>
      <c r="G13" s="98" t="s">
        <v>83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84</v>
      </c>
      <c r="D14" s="216"/>
      <c r="E14" s="99"/>
      <c r="F14" s="107"/>
      <c r="G14" s="98" t="s">
        <v>85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74</v>
      </c>
      <c r="C15" s="4"/>
      <c r="D15" s="23"/>
      <c r="E15" s="4"/>
      <c r="F15" s="4"/>
      <c r="G15" s="2" t="s">
        <v>86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87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88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89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90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hybride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chevelu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91</v>
      </c>
      <c r="B2" s="72" t="s">
        <v>92</v>
      </c>
      <c r="C2" s="5" t="s">
        <v>93</v>
      </c>
      <c r="D2" s="5" t="s">
        <v>94</v>
      </c>
      <c r="E2" s="5" t="s">
        <v>95</v>
      </c>
      <c r="F2" s="5" t="s">
        <v>96</v>
      </c>
      <c r="G2" s="5" t="s">
        <v>97</v>
      </c>
      <c r="H2" s="66" t="s">
        <v>98</v>
      </c>
      <c r="I2" s="68" t="s">
        <v>95</v>
      </c>
      <c r="J2" s="69" t="s">
        <v>96</v>
      </c>
      <c r="K2" s="6" t="s">
        <v>99</v>
      </c>
      <c r="L2" s="6" t="s">
        <v>100</v>
      </c>
      <c r="M2" s="6" t="s">
        <v>100</v>
      </c>
      <c r="N2" s="6" t="s">
        <v>101</v>
      </c>
      <c r="O2" s="6" t="s">
        <v>102</v>
      </c>
      <c r="P2" s="6" t="s">
        <v>103</v>
      </c>
      <c r="Q2" s="6" t="s">
        <v>97</v>
      </c>
      <c r="R2" s="6" t="s">
        <v>104</v>
      </c>
      <c r="S2" s="6" t="s">
        <v>105</v>
      </c>
      <c r="T2" s="6" t="s">
        <v>106</v>
      </c>
      <c r="U2" s="7" t="s">
        <v>107</v>
      </c>
      <c r="V2" s="8" t="s">
        <v>108</v>
      </c>
      <c r="W2" s="7" t="s">
        <v>53</v>
      </c>
      <c r="X2" s="7" t="s">
        <v>54</v>
      </c>
      <c r="Y2" s="7" t="s">
        <v>109</v>
      </c>
      <c r="Z2" s="8" t="s">
        <v>110</v>
      </c>
      <c r="AA2" s="8" t="s">
        <v>111</v>
      </c>
      <c r="AB2" s="8" t="s">
        <v>112</v>
      </c>
      <c r="AC2" s="9" t="s">
        <v>113</v>
      </c>
      <c r="AD2" s="69" t="s">
        <v>95</v>
      </c>
      <c r="AE2" s="69" t="s">
        <v>96</v>
      </c>
      <c r="AF2" s="6" t="s">
        <v>99</v>
      </c>
      <c r="AG2" s="6" t="s">
        <v>100</v>
      </c>
      <c r="AH2" s="6" t="s">
        <v>100</v>
      </c>
      <c r="AI2" s="6" t="s">
        <v>101</v>
      </c>
      <c r="AJ2" s="6" t="s">
        <v>102</v>
      </c>
      <c r="AK2" s="6" t="s">
        <v>103</v>
      </c>
      <c r="AL2" s="6" t="s">
        <v>97</v>
      </c>
      <c r="AM2" s="6" t="s">
        <v>104</v>
      </c>
      <c r="AN2" s="6" t="s">
        <v>105</v>
      </c>
      <c r="AO2" s="6" t="s">
        <v>106</v>
      </c>
      <c r="AP2" s="7" t="s">
        <v>107</v>
      </c>
      <c r="AQ2" s="8" t="s">
        <v>108</v>
      </c>
      <c r="AR2" s="7" t="s">
        <v>53</v>
      </c>
      <c r="AS2" s="7" t="s">
        <v>54</v>
      </c>
      <c r="AT2" s="8" t="s">
        <v>114</v>
      </c>
      <c r="AU2" s="8" t="s">
        <v>110</v>
      </c>
      <c r="AV2" s="8" t="s">
        <v>111</v>
      </c>
      <c r="AW2" s="8" t="s">
        <v>112</v>
      </c>
      <c r="AX2" s="8" t="s">
        <v>113</v>
      </c>
      <c r="AY2" s="68" t="s">
        <v>95</v>
      </c>
      <c r="AZ2" s="69" t="s">
        <v>96</v>
      </c>
      <c r="BA2" s="6" t="s">
        <v>99</v>
      </c>
      <c r="BB2" s="6" t="s">
        <v>100</v>
      </c>
      <c r="BC2" s="6" t="s">
        <v>100</v>
      </c>
      <c r="BD2" s="6" t="s">
        <v>101</v>
      </c>
      <c r="BE2" s="6" t="s">
        <v>102</v>
      </c>
      <c r="BF2" s="6" t="s">
        <v>103</v>
      </c>
      <c r="BG2" s="6" t="s">
        <v>97</v>
      </c>
      <c r="BH2" s="6" t="s">
        <v>104</v>
      </c>
      <c r="BI2" s="6" t="s">
        <v>105</v>
      </c>
      <c r="BJ2" s="6" t="s">
        <v>106</v>
      </c>
      <c r="BK2" s="7" t="s">
        <v>107</v>
      </c>
      <c r="BL2" s="8" t="s">
        <v>108</v>
      </c>
      <c r="BM2" s="7" t="s">
        <v>53</v>
      </c>
      <c r="BN2" s="7" t="s">
        <v>54</v>
      </c>
      <c r="BO2" s="8" t="s">
        <v>114</v>
      </c>
      <c r="BP2" s="8" t="s">
        <v>110</v>
      </c>
      <c r="BQ2" s="8" t="s">
        <v>111</v>
      </c>
      <c r="BR2" s="8" t="s">
        <v>112</v>
      </c>
      <c r="BS2" s="9" t="s">
        <v>113</v>
      </c>
      <c r="BT2" s="68" t="s">
        <v>95</v>
      </c>
      <c r="BU2" s="69" t="s">
        <v>96</v>
      </c>
      <c r="BV2" s="6" t="s">
        <v>99</v>
      </c>
      <c r="BW2" s="6" t="s">
        <v>100</v>
      </c>
      <c r="BX2" s="6" t="s">
        <v>100</v>
      </c>
      <c r="BY2" s="6" t="s">
        <v>101</v>
      </c>
      <c r="BZ2" s="6" t="s">
        <v>102</v>
      </c>
      <c r="CA2" s="6" t="s">
        <v>103</v>
      </c>
      <c r="CB2" s="6" t="s">
        <v>97</v>
      </c>
      <c r="CC2" s="6" t="s">
        <v>104</v>
      </c>
      <c r="CD2" s="6" t="s">
        <v>105</v>
      </c>
      <c r="CE2" s="6" t="s">
        <v>106</v>
      </c>
      <c r="CF2" s="7" t="s">
        <v>107</v>
      </c>
      <c r="CG2" s="8" t="s">
        <v>108</v>
      </c>
      <c r="CH2" s="7" t="s">
        <v>53</v>
      </c>
      <c r="CI2" s="7" t="s">
        <v>54</v>
      </c>
      <c r="CJ2" s="8" t="s">
        <v>114</v>
      </c>
      <c r="CK2" s="8" t="s">
        <v>110</v>
      </c>
      <c r="CL2" s="8" t="s">
        <v>111</v>
      </c>
      <c r="CM2" s="8" t="s">
        <v>112</v>
      </c>
      <c r="CN2" s="9" t="s">
        <v>113</v>
      </c>
      <c r="CO2" s="68" t="s">
        <v>95</v>
      </c>
      <c r="CP2" s="69" t="s">
        <v>96</v>
      </c>
      <c r="CQ2" s="6" t="s">
        <v>99</v>
      </c>
      <c r="CR2" s="6" t="s">
        <v>100</v>
      </c>
      <c r="CS2" s="6" t="s">
        <v>100</v>
      </c>
      <c r="CT2" s="6" t="s">
        <v>101</v>
      </c>
      <c r="CU2" s="6" t="s">
        <v>102</v>
      </c>
      <c r="CV2" s="6" t="s">
        <v>103</v>
      </c>
      <c r="CW2" s="6" t="s">
        <v>97</v>
      </c>
      <c r="CX2" s="6" t="s">
        <v>104</v>
      </c>
      <c r="CY2" s="6" t="s">
        <v>105</v>
      </c>
      <c r="CZ2" s="6" t="s">
        <v>106</v>
      </c>
      <c r="DA2" s="7" t="s">
        <v>107</v>
      </c>
      <c r="DB2" s="8" t="s">
        <v>108</v>
      </c>
      <c r="DC2" s="7" t="s">
        <v>53</v>
      </c>
      <c r="DD2" s="7" t="s">
        <v>54</v>
      </c>
      <c r="DE2" s="8" t="s">
        <v>114</v>
      </c>
      <c r="DF2" s="8" t="s">
        <v>110</v>
      </c>
      <c r="DG2" s="8" t="s">
        <v>111</v>
      </c>
      <c r="DH2" s="8" t="s">
        <v>112</v>
      </c>
      <c r="DI2" s="9" t="s">
        <v>113</v>
      </c>
      <c r="DJ2" s="68" t="s">
        <v>95</v>
      </c>
      <c r="DK2" s="69" t="s">
        <v>96</v>
      </c>
      <c r="DL2" s="6" t="s">
        <v>99</v>
      </c>
      <c r="DM2" s="6" t="s">
        <v>100</v>
      </c>
      <c r="DN2" s="6" t="s">
        <v>100</v>
      </c>
      <c r="DO2" s="6" t="s">
        <v>101</v>
      </c>
      <c r="DP2" s="6" t="s">
        <v>102</v>
      </c>
      <c r="DQ2" s="6" t="s">
        <v>103</v>
      </c>
      <c r="DR2" s="6" t="s">
        <v>97</v>
      </c>
      <c r="DS2" s="6" t="s">
        <v>104</v>
      </c>
      <c r="DT2" s="6" t="s">
        <v>105</v>
      </c>
      <c r="DU2" s="6" t="s">
        <v>106</v>
      </c>
      <c r="DV2" s="7" t="s">
        <v>107</v>
      </c>
      <c r="DW2" s="8" t="s">
        <v>108</v>
      </c>
      <c r="DX2" s="7" t="s">
        <v>53</v>
      </c>
      <c r="DY2" s="7" t="s">
        <v>54</v>
      </c>
      <c r="DZ2" s="8" t="s">
        <v>114</v>
      </c>
      <c r="EA2" s="8" t="s">
        <v>110</v>
      </c>
      <c r="EB2" s="8" t="s">
        <v>111</v>
      </c>
      <c r="EC2" s="8" t="s">
        <v>112</v>
      </c>
      <c r="ED2" s="9" t="s">
        <v>113</v>
      </c>
      <c r="EE2" s="68" t="s">
        <v>95</v>
      </c>
      <c r="EF2" s="69" t="s">
        <v>96</v>
      </c>
      <c r="EG2" s="6" t="s">
        <v>99</v>
      </c>
      <c r="EH2" s="6" t="s">
        <v>100</v>
      </c>
      <c r="EI2" s="6" t="s">
        <v>100</v>
      </c>
      <c r="EJ2" s="6" t="s">
        <v>101</v>
      </c>
      <c r="EK2" s="6" t="s">
        <v>102</v>
      </c>
      <c r="EL2" s="6" t="s">
        <v>103</v>
      </c>
      <c r="EM2" s="6" t="s">
        <v>97</v>
      </c>
      <c r="EN2" s="6" t="s">
        <v>104</v>
      </c>
      <c r="EO2" s="6" t="s">
        <v>105</v>
      </c>
      <c r="EP2" s="6" t="s">
        <v>106</v>
      </c>
      <c r="EQ2" s="7" t="s">
        <v>107</v>
      </c>
      <c r="ER2" s="8" t="s">
        <v>108</v>
      </c>
      <c r="ES2" s="7" t="s">
        <v>53</v>
      </c>
      <c r="ET2" s="7" t="s">
        <v>54</v>
      </c>
      <c r="EU2" s="8" t="s">
        <v>114</v>
      </c>
      <c r="EV2" s="8" t="s">
        <v>110</v>
      </c>
      <c r="EW2" s="8" t="s">
        <v>111</v>
      </c>
      <c r="EX2" s="8" t="s">
        <v>112</v>
      </c>
      <c r="EY2" s="9" t="s">
        <v>113</v>
      </c>
      <c r="EZ2" s="68" t="s">
        <v>95</v>
      </c>
      <c r="FA2" s="69" t="s">
        <v>96</v>
      </c>
      <c r="FB2" s="6" t="s">
        <v>99</v>
      </c>
      <c r="FC2" s="6" t="s">
        <v>100</v>
      </c>
      <c r="FD2" s="6" t="s">
        <v>100</v>
      </c>
      <c r="FE2" s="6" t="s">
        <v>101</v>
      </c>
      <c r="FF2" s="6" t="s">
        <v>102</v>
      </c>
      <c r="FG2" s="6" t="s">
        <v>103</v>
      </c>
      <c r="FH2" s="6" t="s">
        <v>97</v>
      </c>
      <c r="FI2" s="6" t="s">
        <v>104</v>
      </c>
      <c r="FJ2" s="6" t="s">
        <v>105</v>
      </c>
      <c r="FK2" s="6" t="s">
        <v>106</v>
      </c>
      <c r="FL2" s="7" t="s">
        <v>107</v>
      </c>
      <c r="FM2" s="8" t="s">
        <v>108</v>
      </c>
      <c r="FN2" s="7" t="s">
        <v>53</v>
      </c>
      <c r="FO2" s="7" t="s">
        <v>54</v>
      </c>
      <c r="FP2" s="8" t="s">
        <v>115</v>
      </c>
      <c r="FQ2" s="8" t="s">
        <v>110</v>
      </c>
      <c r="FR2" s="8" t="s">
        <v>111</v>
      </c>
      <c r="FS2" s="8" t="s">
        <v>112</v>
      </c>
      <c r="FT2" s="9" t="s">
        <v>113</v>
      </c>
      <c r="FU2" s="68" t="s">
        <v>95</v>
      </c>
      <c r="FV2" s="69" t="s">
        <v>96</v>
      </c>
      <c r="FW2" s="6" t="s">
        <v>99</v>
      </c>
      <c r="FX2" s="6" t="s">
        <v>100</v>
      </c>
      <c r="FY2" s="6" t="s">
        <v>100</v>
      </c>
      <c r="FZ2" s="6" t="s">
        <v>101</v>
      </c>
      <c r="GA2" s="6" t="s">
        <v>102</v>
      </c>
      <c r="GB2" s="6" t="s">
        <v>103</v>
      </c>
      <c r="GC2" s="6" t="s">
        <v>97</v>
      </c>
      <c r="GD2" s="6" t="s">
        <v>104</v>
      </c>
      <c r="GE2" s="6" t="s">
        <v>105</v>
      </c>
      <c r="GF2" s="6" t="s">
        <v>106</v>
      </c>
      <c r="GG2" s="7" t="s">
        <v>107</v>
      </c>
      <c r="GH2" s="8" t="s">
        <v>108</v>
      </c>
      <c r="GI2" s="7" t="s">
        <v>53</v>
      </c>
      <c r="GJ2" s="7" t="s">
        <v>54</v>
      </c>
      <c r="GK2" s="8" t="s">
        <v>114</v>
      </c>
      <c r="GL2" s="8" t="s">
        <v>110</v>
      </c>
      <c r="GM2" s="8" t="s">
        <v>111</v>
      </c>
      <c r="GN2" s="8" t="s">
        <v>112</v>
      </c>
      <c r="GO2" s="8" t="s">
        <v>113</v>
      </c>
      <c r="GP2" s="68" t="s">
        <v>95</v>
      </c>
      <c r="GQ2" s="69" t="s">
        <v>96</v>
      </c>
      <c r="GR2" s="6" t="s">
        <v>99</v>
      </c>
      <c r="GS2" s="6" t="s">
        <v>100</v>
      </c>
      <c r="GT2" s="6" t="s">
        <v>100</v>
      </c>
      <c r="GU2" s="6" t="s">
        <v>101</v>
      </c>
      <c r="GV2" s="6" t="s">
        <v>102</v>
      </c>
      <c r="GW2" s="6" t="s">
        <v>103</v>
      </c>
      <c r="GX2" s="6" t="s">
        <v>97</v>
      </c>
      <c r="GY2" s="6" t="s">
        <v>104</v>
      </c>
      <c r="GZ2" s="6" t="s">
        <v>105</v>
      </c>
      <c r="HA2" s="6" t="s">
        <v>106</v>
      </c>
      <c r="HB2" s="7" t="s">
        <v>107</v>
      </c>
      <c r="HC2" s="8" t="s">
        <v>108</v>
      </c>
      <c r="HD2" s="7" t="s">
        <v>53</v>
      </c>
      <c r="HE2" s="7" t="s">
        <v>54</v>
      </c>
      <c r="HF2" s="8" t="s">
        <v>114</v>
      </c>
      <c r="HG2" s="8" t="s">
        <v>110</v>
      </c>
      <c r="HH2" s="8" t="s">
        <v>111</v>
      </c>
      <c r="HI2" s="8" t="s">
        <v>112</v>
      </c>
      <c r="HJ2" s="9" t="s">
        <v>113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283.73369613548124</v>
      </c>
      <c r="T3" s="59">
        <f>IF('Données projet'!E9&gt;30,$R$33-$H$33,LOOKUP('Données projet'!$E$9,$A$3:$A$203,R3:R203)-LOOKUP('Données projet'!$E$9,$A$3:$A$203,$H$3:$H$203))</f>
        <v>249.77804091581208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205.73717397588365</v>
      </c>
      <c r="AO3" s="59">
        <f>IF('Données projet'!E10&gt;30,$AM$33-$H$33,LOOKUP('Données projet'!$E$10,$A$3:$A$203,AM3:AM203)-LOOKUP('Données projet'!$E$10,$A$3:$A$203,$H$3:$H$203))</f>
        <v>190.64998698136026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159.92263609041913</v>
      </c>
      <c r="BJ3" s="59">
        <f>IF('Données projet'!E11&gt;30,$BH$33-$H$33,LOOKUP('Données projet'!$E$11,$A$3:$A$203,BH3:BH203)-LOOKUP('Données projet'!$E$11,$A$3:$A$203,$H$3:$H$203))</f>
        <v>271.78119133009307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280.25710840677186</v>
      </c>
      <c r="CE3" s="59">
        <f>IF('Données projet'!E12&gt;30,$CC$33-$H$33,LOOKUP('Données projet'!$E$12,$A$3:$A$203,CC3:CC203)-LOOKUP('Données projet'!$E$12,$A$3:$A$203,$H$3:$H$203))</f>
        <v>209.65224013288037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330.14201227773452</v>
      </c>
      <c r="CZ3" s="59">
        <f>IF('Données projet'!E13&gt;30,$CX$33-$H$33,LOOKUP('Données projet'!$E$13,$A$3:$A$203,CX3:CX203)-LOOKUP('Données projet'!$E$13,$A$3:$A$203,$H$3:$H$203))</f>
        <v>307.07297894926467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6.7360323886639675</v>
      </c>
      <c r="N4" s="13">
        <f>IF('Données projet'!$A$36&gt;35,N3+M4-V3,IF(A4&lt;'Données projet'!$A$36,$K$205^A4,IF(A4='Données projet'!$A$36,'Données projet'!$B$36,N3+M4-V3)))</f>
        <v>1.2909310311160476</v>
      </c>
      <c r="O4" s="13">
        <f>N4*VLOOKUP('Données projet'!$B$9,Paramètres!$A$1:$I$89,3,0)*VLOOKUP('Données projet'!$B$9,Paramètres!$A$1:$I$89,5,0)</f>
        <v>0.77197675660739651</v>
      </c>
      <c r="P4" s="13">
        <f>EXP(-1.0587+0.8836*LN(O4)+0.284)</f>
        <v>0.36663942027891244</v>
      </c>
      <c r="Q4" s="20">
        <f t="shared" ref="Q4:Q34" si="2">(O4+P4)*0.475*44/12</f>
        <v>1.9830898414103215</v>
      </c>
      <c r="R4" s="59">
        <f t="shared" si="0"/>
        <v>295.31642317474365</v>
      </c>
      <c r="S4" s="59">
        <f ca="1">AVERAGE(OFFSET($R$3,0,0,'Données projet'!$E$9+1,1))-AVERAGE(OFFSET($H$3,0,0,'Données projet'!$E$9+1,1))</f>
        <v>283.73369613548124</v>
      </c>
      <c r="T4" s="59">
        <f>$T$3</f>
        <v>249.77804091581208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7.2264102564102561</v>
      </c>
      <c r="AI4" s="13">
        <f>IF('Données projet'!$A$62&gt;35,AI3+AH4-AQ3,IF(A4&lt;'Données projet'!$A$62,$AF$205^A4,IF(A4='Données projet'!$A$62,'Données projet'!$B$62,AI3+AH4-AQ3)))</f>
        <v>1.1963772029987372</v>
      </c>
      <c r="AJ4" s="13">
        <f>AI4*VLOOKUP('Données projet'!$B$10,Paramètres!$A$1:$I$89,3,0)*VLOOKUP('Données projet'!$B$10,Paramètres!$A$1:$I$89,5,0)</f>
        <v>0.55990453100340898</v>
      </c>
      <c r="AK4" s="13">
        <f>EXP(-1.0587+0.8836*LN(AJ4)+0.284)</f>
        <v>0.2760486193577778</v>
      </c>
      <c r="AL4" s="20">
        <f t="shared" ref="AL4:AL67" si="4">(AJ4+AK4)*0.475*44/12</f>
        <v>1.4559517368790669</v>
      </c>
      <c r="AM4" s="59">
        <f t="shared" ref="AM4:AM67" si="5">AL4+(AD4+AE4)*44/12</f>
        <v>294.78928507021237</v>
      </c>
      <c r="AN4" s="59">
        <f ca="1">AVERAGE(OFFSET($AM$3,0,0,'Données projet'!$E$10+1,1))-AVERAGE(OFFSET($H$3,0,0,'Données projet'!$E$10+1,1))</f>
        <v>205.73717397588365</v>
      </c>
      <c r="AO4" s="59">
        <f>$AO$3</f>
        <v>190.64998698136026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9.6666666666666661</v>
      </c>
      <c r="BD4" s="12">
        <f>IF('Données projet'!$A$88&gt;35,BD3+BC4-BL3,IF(A4&lt;'Données projet'!$A$88,$BA$205^A4,IF(A4='Données projet'!$A$88,'Données projet'!$B$88,BD3+BC4-BL3)))</f>
        <v>1.4860662319460807</v>
      </c>
      <c r="BE4" s="13">
        <f>BD4*VLOOKUP('Données projet'!$B$11,Paramètres!$A$1:$I$89,3,0)*VLOOKUP('Données projet'!$B$11,Paramètres!$A$1:$I$89,5,0)</f>
        <v>0.81139216264255998</v>
      </c>
      <c r="BF4" s="13">
        <f>EXP(-1.0587+0.8836*LN(BE4)+0.284)</f>
        <v>0.38313198283208655</v>
      </c>
      <c r="BG4" s="20">
        <f t="shared" ref="BG4:BG67" si="7">(BE4+BF4)*0.475*44/12</f>
        <v>2.0804628867016759</v>
      </c>
      <c r="BH4" s="59">
        <f t="shared" ref="BH4:BH67" si="8">BG4+(AY4+AZ4)*44/12</f>
        <v>295.41379622003501</v>
      </c>
      <c r="BI4" s="59">
        <f ca="1">AVERAGE(OFFSET($BH$3,0,0,'Données projet'!$E$11+1,1))-AVERAGE(OFFSET($H$3,0,0,'Données projet'!$E$11+1,1))</f>
        <v>159.92263609041913</v>
      </c>
      <c r="BJ4" s="59">
        <f>$BJ$3</f>
        <v>271.78119133009307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4.0628205128205126</v>
      </c>
      <c r="BY4" s="12">
        <f>IF('Données projet'!$A$114&gt;35,BY3+BX4-CG3,IF(A4&lt;'Données projet'!$A$114,$BV$205^A4,IF(A4='Données projet'!$A$114,'Données projet'!$B$114,BY3+BX4-CG3)))</f>
        <v>1.1736311550444201</v>
      </c>
      <c r="BZ4" s="13">
        <f>BY4*VLOOKUP('Données projet'!$B$12,Paramètres!$A$1:$I$89,3,0)*VLOOKUP('Données projet'!$B$12,Paramètres!$A$1:$I$89,5,0)</f>
        <v>1.0619014690841913</v>
      </c>
      <c r="CA4" s="13">
        <f>EXP(-1.0587+0.8836*LN(BZ4)+0.284)</f>
        <v>0.48595950732890802</v>
      </c>
      <c r="CB4" s="20">
        <f t="shared" ref="CB4:CB67" si="10">(BZ4+CA4)*0.475*44/12</f>
        <v>2.6958578672528142</v>
      </c>
      <c r="CC4" s="59">
        <f t="shared" ref="CC4:CC67" si="11">CB4+(BT4+BU4)*44/12</f>
        <v>296.02919120058613</v>
      </c>
      <c r="CD4" s="59">
        <f ca="1">AVERAGE(OFFSET($CC$3,0,0,'Données projet'!$E$12+1,1))-AVERAGE(OFFSET($H$3,0,0,'Données projet'!$E$12+1,1))</f>
        <v>280.25710840677186</v>
      </c>
      <c r="CE4" s="59">
        <f>$CE$3</f>
        <v>209.65224013288037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2.9</v>
      </c>
      <c r="CT4" s="12">
        <f>IF('Données projet'!$A$140&gt;35,CT3+CS4-DB3,IF(A4&lt;'Données projet'!$A$140,$CQ$205^A4,IF(A4='Données projet'!$A$140,'Données projet'!$B$140,CT3+CS4-DB3)))</f>
        <v>1.4003603312913959</v>
      </c>
      <c r="CU4" s="17">
        <f>CT4*VLOOKUP('Données projet'!$B$13,Paramètres!$A$1:$I$89,3,0)*VLOOKUP('Données projet'!$B$13,Paramètres!$A$1:$I$89,5,0)</f>
        <v>1.4636566182657671</v>
      </c>
      <c r="CV4" s="13">
        <f>EXP(-1.0587+0.8836*LN(CU4)+0.284)</f>
        <v>0.64525910695655797</v>
      </c>
      <c r="CW4" s="20">
        <f t="shared" ref="CW4:CW67" si="13">(CU4+CV4)*0.475*44/12</f>
        <v>3.6730282214288827</v>
      </c>
      <c r="CX4" s="59">
        <f t="shared" ref="CX4:CX67" si="14">CW4+(CO4+CP4)*44/12</f>
        <v>297.00636155476218</v>
      </c>
      <c r="CY4" s="59">
        <f ca="1">AVERAGE(OFFSET($CX$3,0,0,'Données projet'!$E$13+1,1))-AVERAGE(OFFSET($H$3,0,0,'Données projet'!$E$13+1,1))</f>
        <v>330.14201227773452</v>
      </c>
      <c r="CZ4" s="59">
        <f>$CZ$3</f>
        <v>307.07297894926467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6.7360323886639675</v>
      </c>
      <c r="N5" s="13">
        <f>IF('Données projet'!$A$36&gt;35,N4+M5-V4,IF(A5&lt;'Données projet'!$A$36,$K$205^A5,IF(A5='Données projet'!$A$36,'Données projet'!$B$36,N4+M5-V4)))</f>
        <v>1.6665029270983418</v>
      </c>
      <c r="O5" s="13">
        <f>N5*VLOOKUP('Données projet'!$B$9,Paramètres!$A$1:$I$89,3,0)*VLOOKUP('Données projet'!$B$9,Paramètres!$A$1:$I$89,5,0)</f>
        <v>0.99656875040480852</v>
      </c>
      <c r="P5" s="13">
        <f t="shared" ref="P5:P68" si="33">EXP(-1.0587+0.8836*LN(O5)+0.284)</f>
        <v>0.45944452864607926</v>
      </c>
      <c r="Q5" s="20">
        <f t="shared" si="2"/>
        <v>2.5358897943469625</v>
      </c>
      <c r="R5" s="59">
        <f t="shared" si="0"/>
        <v>295.8692231276803</v>
      </c>
      <c r="S5" s="59">
        <f ca="1">AVERAGE(OFFSET($R$3,0,0,'Données projet'!$E$9+1,1))-AVERAGE(OFFSET($H$3,0,0,'Données projet'!$E$9+1,1))</f>
        <v>283.73369613548124</v>
      </c>
      <c r="T5" s="59">
        <f t="shared" ref="T5:T68" si="34">$T$3</f>
        <v>249.77804091581208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7.2264102564102561</v>
      </c>
      <c r="AI5" s="13">
        <f>IF('Données projet'!$A$62&gt;35,AI4+AH5-AQ4,IF(A5&lt;'Données projet'!$A$62,$AF$205^A5,IF(A5='Données projet'!$A$62,'Données projet'!$B$62,AI4+AH5-AQ4)))</f>
        <v>1.4313184118550817</v>
      </c>
      <c r="AJ5" s="13">
        <f>AI5*VLOOKUP('Données projet'!$B$10,Paramètres!$A$1:$I$89,3,0)*VLOOKUP('Données projet'!$B$10,Paramètres!$A$1:$I$89,5,0)</f>
        <v>0.66985701674817832</v>
      </c>
      <c r="AK5" s="13">
        <f t="shared" ref="AK5:AK68" si="35">EXP(-1.0587+0.8836*LN(AJ5)+0.284)</f>
        <v>0.32343711768198868</v>
      </c>
      <c r="AL5" s="20">
        <f t="shared" si="4"/>
        <v>1.729987284132541</v>
      </c>
      <c r="AM5" s="59">
        <f t="shared" si="5"/>
        <v>295.06332061746588</v>
      </c>
      <c r="AN5" s="59">
        <f ca="1">AVERAGE(OFFSET($AM$3,0,0,'Données projet'!$E$10+1,1))-AVERAGE(OFFSET($H$3,0,0,'Données projet'!$E$10+1,1))</f>
        <v>205.73717397588365</v>
      </c>
      <c r="AO5" s="59">
        <f t="shared" ref="AO5:AO68" si="36">$AO$3</f>
        <v>190.64998698136026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9.6666666666666661</v>
      </c>
      <c r="BD5" s="12">
        <f>IF('Données projet'!$A$88&gt;35,BD4+BC5-BL4,IF(A5&lt;'Données projet'!$A$88,$BA$205^A5,IF(A5='Données projet'!$A$88,'Données projet'!$B$88,BD4+BC5-BL4)))</f>
        <v>2.2083928457304225</v>
      </c>
      <c r="BE5" s="13">
        <f>BD5*VLOOKUP('Données projet'!$B$11,Paramètres!$A$1:$I$89,3,0)*VLOOKUP('Données projet'!$B$11,Paramètres!$A$1:$I$89,5,0)</f>
        <v>1.2057824937688106</v>
      </c>
      <c r="BF5" s="13">
        <f t="shared" ref="BF5:BF68" si="37">EXP(-1.0587+0.8836*LN(BE5)+0.284)</f>
        <v>0.54370250071771287</v>
      </c>
      <c r="BG5" s="20">
        <f t="shared" si="7"/>
        <v>3.0470196987306952</v>
      </c>
      <c r="BH5" s="59">
        <f t="shared" si="8"/>
        <v>296.38035303206402</v>
      </c>
      <c r="BI5" s="59">
        <f ca="1">AVERAGE(OFFSET($BH$3,0,0,'Données projet'!$E$11+1,1))-AVERAGE(OFFSET($H$3,0,0,'Données projet'!$E$11+1,1))</f>
        <v>159.92263609041913</v>
      </c>
      <c r="BJ5" s="59">
        <f t="shared" ref="BJ5:BJ68" si="38">$BJ$3</f>
        <v>271.78119133009307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4.0628205128205126</v>
      </c>
      <c r="BY5" s="12">
        <f>IF('Données projet'!$A$114&gt;35,BY4+BX5-CG4,IF(A5&lt;'Données projet'!$A$114,$BV$205^A5,IF(A5='Données projet'!$A$114,'Données projet'!$B$114,BY4+BX5-CG4)))</f>
        <v>1.3774100880908995</v>
      </c>
      <c r="BZ5" s="13">
        <f>BY5*VLOOKUP('Données projet'!$B$12,Paramètres!$A$1:$I$89,3,0)*VLOOKUP('Données projet'!$B$12,Paramètres!$A$1:$I$89,5,0)</f>
        <v>1.2462806477046457</v>
      </c>
      <c r="CA5" s="13">
        <f t="shared" ref="CA5:CA68" si="39">EXP(-1.0587+0.8836*LN(BZ5)+0.284)</f>
        <v>0.55980687933617612</v>
      </c>
      <c r="CB5" s="20">
        <f t="shared" si="10"/>
        <v>3.1456024429294316</v>
      </c>
      <c r="CC5" s="59">
        <f t="shared" si="11"/>
        <v>296.47893577626274</v>
      </c>
      <c r="CD5" s="59">
        <f ca="1">AVERAGE(OFFSET($CC$3,0,0,'Données projet'!$E$12+1,1))-AVERAGE(OFFSET($H$3,0,0,'Données projet'!$E$12+1,1))</f>
        <v>280.25710840677186</v>
      </c>
      <c r="CE5" s="59">
        <f t="shared" ref="CE5:CE68" si="40">$CE$3</f>
        <v>209.65224013288037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2.9</v>
      </c>
      <c r="CT5" s="12">
        <f>IF('Données projet'!$A$140&gt;35,CT4+CS5-DB4,IF(A5&lt;'Données projet'!$A$140,$CQ$205^A5,IF(A5='Données projet'!$A$140,'Données projet'!$B$140,CT4+CS5-DB4)))</f>
        <v>1.9610090574545482</v>
      </c>
      <c r="CU5" s="17">
        <f>CT5*VLOOKUP('Données projet'!$B$13,Paramètres!$A$1:$I$89,3,0)*VLOOKUP('Données projet'!$B$13,Paramètres!$A$1:$I$89,5,0)</f>
        <v>2.0496466668514941</v>
      </c>
      <c r="CV5" s="13">
        <f t="shared" ref="CV5:CV68" si="41">EXP(-1.0587+0.8836*LN(CU5)+0.284)</f>
        <v>0.86886365296461709</v>
      </c>
      <c r="CW5" s="20">
        <f t="shared" si="13"/>
        <v>5.0830721403463937</v>
      </c>
      <c r="CX5" s="59">
        <f t="shared" si="14"/>
        <v>298.41640547367973</v>
      </c>
      <c r="CY5" s="59">
        <f ca="1">AVERAGE(OFFSET($CX$3,0,0,'Données projet'!$E$13+1,1))-AVERAGE(OFFSET($H$3,0,0,'Données projet'!$E$13+1,1))</f>
        <v>330.14201227773452</v>
      </c>
      <c r="CZ5" s="59">
        <f t="shared" ref="CZ5:CZ68" si="42">$CZ$3</f>
        <v>307.07297894926467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6.7360323886639675</v>
      </c>
      <c r="N6" s="13">
        <f>IF('Données projet'!$A$36&gt;35,N5+M6-V5,IF(A6&lt;'Données projet'!$A$36,$K$205^A6,IF(A6='Données projet'!$A$36,'Données projet'!$B$36,N5+M6-V5)))</f>
        <v>2.1513403420369737</v>
      </c>
      <c r="O6" s="13">
        <f>N6*VLOOKUP('Données projet'!$B$9,Paramètres!$A$1:$I$89,3,0)*VLOOKUP('Données projet'!$B$9,Paramètres!$A$1:$I$89,5,0)</f>
        <v>1.2865015245381104</v>
      </c>
      <c r="P6" s="13">
        <f t="shared" si="33"/>
        <v>0.57574080480008571</v>
      </c>
      <c r="Q6" s="20">
        <f t="shared" si="2"/>
        <v>3.2434053902640243</v>
      </c>
      <c r="R6" s="59">
        <f t="shared" si="0"/>
        <v>296.57673872359732</v>
      </c>
      <c r="S6" s="59">
        <f ca="1">AVERAGE(OFFSET($R$3,0,0,'Données projet'!$E$9+1,1))-AVERAGE(OFFSET($H$3,0,0,'Données projet'!$E$9+1,1))</f>
        <v>283.73369613548124</v>
      </c>
      <c r="T6" s="59">
        <f t="shared" si="34"/>
        <v>249.77804091581208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7.2264102564102561</v>
      </c>
      <c r="AI6" s="13">
        <f>IF('Données projet'!$A$62&gt;35,AI5+AH6-AQ5,IF(A6&lt;'Données projet'!$A$62,$AF$205^A6,IF(A6='Données projet'!$A$62,'Données projet'!$B$62,AI5+AH6-AQ5)))</f>
        <v>1.7123967181757771</v>
      </c>
      <c r="AJ6" s="13">
        <f>AI6*VLOOKUP('Données projet'!$B$10,Paramètres!$A$1:$I$89,3,0)*VLOOKUP('Données projet'!$B$10,Paramètres!$A$1:$I$89,5,0)</f>
        <v>0.80140166410626379</v>
      </c>
      <c r="AK6" s="13">
        <f t="shared" si="35"/>
        <v>0.37896066764546593</v>
      </c>
      <c r="AL6" s="20">
        <f t="shared" si="4"/>
        <v>2.0557977278009294</v>
      </c>
      <c r="AM6" s="59">
        <f t="shared" si="5"/>
        <v>295.38913106113426</v>
      </c>
      <c r="AN6" s="59">
        <f ca="1">AVERAGE(OFFSET($AM$3,0,0,'Données projet'!$E$10+1,1))-AVERAGE(OFFSET($H$3,0,0,'Données projet'!$E$10+1,1))</f>
        <v>205.73717397588365</v>
      </c>
      <c r="AO6" s="59">
        <f t="shared" si="36"/>
        <v>190.64998698136026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9.6666666666666661</v>
      </c>
      <c r="BD6" s="12">
        <f>IF('Données projet'!$A$88&gt;35,BD5+BC6-BL5,IF(A6&lt;'Données projet'!$A$88,$BA$205^A6,IF(A6='Données projet'!$A$88,'Données projet'!$B$88,BD5+BC6-BL5)))</f>
        <v>3.2818180349112911</v>
      </c>
      <c r="BE6" s="13">
        <f>BD6*VLOOKUP('Données projet'!$B$11,Paramètres!$A$1:$I$89,3,0)*VLOOKUP('Données projet'!$B$11,Paramètres!$A$1:$I$89,5,0)</f>
        <v>1.7918726470615651</v>
      </c>
      <c r="BF6" s="13">
        <f t="shared" si="37"/>
        <v>0.77156808236563035</v>
      </c>
      <c r="BG6" s="20">
        <f t="shared" si="7"/>
        <v>4.4646592704190313</v>
      </c>
      <c r="BH6" s="59">
        <f t="shared" si="8"/>
        <v>297.79799260375233</v>
      </c>
      <c r="BI6" s="59">
        <f ca="1">AVERAGE(OFFSET($BH$3,0,0,'Données projet'!$E$11+1,1))-AVERAGE(OFFSET($H$3,0,0,'Données projet'!$E$11+1,1))</f>
        <v>159.92263609041913</v>
      </c>
      <c r="BJ6" s="59">
        <f t="shared" si="38"/>
        <v>271.78119133009307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4.0628205128205126</v>
      </c>
      <c r="BY6" s="12">
        <f>IF('Données projet'!$A$114&gt;35,BY5+BX6-CG5,IF(A6&lt;'Données projet'!$A$114,$BV$205^A6,IF(A6='Données projet'!$A$114,'Données projet'!$B$114,BY5+BX6-CG5)))</f>
        <v>1.6165713926559588</v>
      </c>
      <c r="BZ6" s="13">
        <f>BY6*VLOOKUP('Données projet'!$B$12,Paramètres!$A$1:$I$89,3,0)*VLOOKUP('Données projet'!$B$12,Paramètres!$A$1:$I$89,5,0)</f>
        <v>1.4626737960751115</v>
      </c>
      <c r="CA6" s="13">
        <f t="shared" si="39"/>
        <v>0.64487624467855742</v>
      </c>
      <c r="CB6" s="20">
        <f t="shared" si="10"/>
        <v>3.6706496543126392</v>
      </c>
      <c r="CC6" s="59">
        <f t="shared" si="11"/>
        <v>297.00398298764594</v>
      </c>
      <c r="CD6" s="59">
        <f ca="1">AVERAGE(OFFSET($CC$3,0,0,'Données projet'!$E$12+1,1))-AVERAGE(OFFSET($H$3,0,0,'Données projet'!$E$12+1,1))</f>
        <v>280.25710840677186</v>
      </c>
      <c r="CE6" s="59">
        <f t="shared" si="40"/>
        <v>209.65224013288037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2.9</v>
      </c>
      <c r="CT6" s="12">
        <f>IF('Données projet'!$A$140&gt;35,CT5+CS6-DB5,IF(A6&lt;'Données projet'!$A$140,$CQ$205^A6,IF(A6='Données projet'!$A$140,'Données projet'!$B$140,CT5+CS6-DB5)))</f>
        <v>2.7461192933624794</v>
      </c>
      <c r="CU6" s="17">
        <f>CT6*VLOOKUP('Données projet'!$B$13,Paramètres!$A$1:$I$89,3,0)*VLOOKUP('Données projet'!$B$13,Paramètres!$A$1:$I$89,5,0)</f>
        <v>2.8702438854224637</v>
      </c>
      <c r="CV6" s="13">
        <f t="shared" si="41"/>
        <v>1.1699548899103622</v>
      </c>
      <c r="CW6" s="20">
        <f t="shared" si="13"/>
        <v>7.036679533704671</v>
      </c>
      <c r="CX6" s="59">
        <f t="shared" si="14"/>
        <v>300.37001286703799</v>
      </c>
      <c r="CY6" s="59">
        <f ca="1">AVERAGE(OFFSET($CX$3,0,0,'Données projet'!$E$13+1,1))-AVERAGE(OFFSET($H$3,0,0,'Données projet'!$E$13+1,1))</f>
        <v>330.14201227773452</v>
      </c>
      <c r="CZ6" s="59">
        <f t="shared" si="42"/>
        <v>307.07297894926467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6.7360323886639675</v>
      </c>
      <c r="N7" s="13">
        <f>IF('Données projet'!$A$36&gt;35,N6+M7-V6,IF(A7&lt;'Données projet'!$A$36,$K$205^A7,IF(A7='Données projet'!$A$36,'Données projet'!$B$36,N6+M7-V6)))</f>
        <v>2.777232006027341</v>
      </c>
      <c r="O7" s="13">
        <f>N7*VLOOKUP('Données projet'!$B$9,Paramètres!$A$1:$I$89,3,0)*VLOOKUP('Données projet'!$B$9,Paramètres!$A$1:$I$89,5,0)</f>
        <v>1.66078473960435</v>
      </c>
      <c r="P7" s="13">
        <f t="shared" si="33"/>
        <v>0.7214744188785307</v>
      </c>
      <c r="Q7" s="20">
        <f t="shared" si="2"/>
        <v>4.1491013676910162</v>
      </c>
      <c r="R7" s="59">
        <f t="shared" si="0"/>
        <v>297.48243470102432</v>
      </c>
      <c r="S7" s="59">
        <f ca="1">AVERAGE(OFFSET($R$3,0,0,'Données projet'!$E$9+1,1))-AVERAGE(OFFSET($H$3,0,0,'Données projet'!$E$9+1,1))</f>
        <v>283.73369613548124</v>
      </c>
      <c r="T7" s="59">
        <f t="shared" si="34"/>
        <v>249.77804091581208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7.2264102564102561</v>
      </c>
      <c r="AI7" s="13">
        <f>IF('Données projet'!$A$62&gt;35,AI6+AH7-AQ6,IF(A7&lt;'Données projet'!$A$62,$AF$205^A7,IF(A7='Données projet'!$A$62,'Données projet'!$B$62,AI6+AH7-AQ6)))</f>
        <v>2.0486723961153532</v>
      </c>
      <c r="AJ7" s="13">
        <f>AI7*VLOOKUP('Données projet'!$B$10,Paramètres!$A$1:$I$89,3,0)*VLOOKUP('Données projet'!$B$10,Paramètres!$A$1:$I$89,5,0)</f>
        <v>0.95877868138198519</v>
      </c>
      <c r="AK7" s="13">
        <f t="shared" si="35"/>
        <v>0.44401579092570115</v>
      </c>
      <c r="AL7" s="20">
        <f t="shared" si="4"/>
        <v>2.4432003726025537</v>
      </c>
      <c r="AM7" s="59">
        <f t="shared" si="5"/>
        <v>295.77653370593589</v>
      </c>
      <c r="AN7" s="59">
        <f ca="1">AVERAGE(OFFSET($AM$3,0,0,'Données projet'!$E$10+1,1))-AVERAGE(OFFSET($H$3,0,0,'Données projet'!$E$10+1,1))</f>
        <v>205.73717397588365</v>
      </c>
      <c r="AO7" s="59">
        <f t="shared" si="36"/>
        <v>190.64998698136026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9.6666666666666661</v>
      </c>
      <c r="BD7" s="12">
        <f>IF('Données projet'!$A$88&gt;35,BD6+BC7-BL6,IF(A7&lt;'Données projet'!$A$88,$BA$205^A7,IF(A7='Données projet'!$A$88,'Données projet'!$B$88,BD6+BC7-BL6)))</f>
        <v>4.8769989610733138</v>
      </c>
      <c r="BE7" s="13">
        <f>BD7*VLOOKUP('Données projet'!$B$11,Paramètres!$A$1:$I$89,3,0)*VLOOKUP('Données projet'!$B$11,Paramètres!$A$1:$I$89,5,0)</f>
        <v>2.6628414327460295</v>
      </c>
      <c r="BF7" s="13">
        <f t="shared" si="37"/>
        <v>1.0949320721157787</v>
      </c>
      <c r="BG7" s="20">
        <f t="shared" si="7"/>
        <v>6.5447888543009825</v>
      </c>
      <c r="BH7" s="59">
        <f t="shared" si="8"/>
        <v>299.87812218763429</v>
      </c>
      <c r="BI7" s="59">
        <f ca="1">AVERAGE(OFFSET($BH$3,0,0,'Données projet'!$E$11+1,1))-AVERAGE(OFFSET($H$3,0,0,'Données projet'!$E$11+1,1))</f>
        <v>159.92263609041913</v>
      </c>
      <c r="BJ7" s="59">
        <f t="shared" si="38"/>
        <v>271.78119133009307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4.0628205128205126</v>
      </c>
      <c r="BY7" s="12">
        <f>IF('Données projet'!$A$114&gt;35,BY6+BX7-CG6,IF(A7&lt;'Données projet'!$A$114,$BV$205^A7,IF(A7='Données projet'!$A$114,'Données projet'!$B$114,BY6+BX7-CG6)))</f>
        <v>1.8972585507745794</v>
      </c>
      <c r="BZ7" s="13">
        <f>BY7*VLOOKUP('Données projet'!$B$12,Paramètres!$A$1:$I$89,3,0)*VLOOKUP('Données projet'!$B$12,Paramètres!$A$1:$I$89,5,0)</f>
        <v>1.7166395367408394</v>
      </c>
      <c r="CA7" s="13">
        <f t="shared" si="39"/>
        <v>0.74287291975378222</v>
      </c>
      <c r="CB7" s="20">
        <f t="shared" si="10"/>
        <v>4.283650861728133</v>
      </c>
      <c r="CC7" s="59">
        <f t="shared" si="11"/>
        <v>297.61698419506143</v>
      </c>
      <c r="CD7" s="59">
        <f ca="1">AVERAGE(OFFSET($CC$3,0,0,'Données projet'!$E$12+1,1))-AVERAGE(OFFSET($H$3,0,0,'Données projet'!$E$12+1,1))</f>
        <v>280.25710840677186</v>
      </c>
      <c r="CE7" s="59">
        <f t="shared" si="40"/>
        <v>209.65224013288037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2.9</v>
      </c>
      <c r="CT7" s="12">
        <f>IF('Données projet'!$A$140&gt;35,CT6+CS7-DB6,IF(A7&lt;'Données projet'!$A$140,$CQ$205^A7,IF(A7='Données projet'!$A$140,'Données projet'!$B$140,CT6+CS7-DB6)))</f>
        <v>3.8455565234187756</v>
      </c>
      <c r="CU7" s="17">
        <f>CT7*VLOOKUP('Données projet'!$B$13,Paramètres!$A$1:$I$89,3,0)*VLOOKUP('Données projet'!$B$13,Paramètres!$A$1:$I$89,5,0)</f>
        <v>4.0193756782773047</v>
      </c>
      <c r="CV7" s="13">
        <f t="shared" si="41"/>
        <v>1.5753846299758951</v>
      </c>
      <c r="CW7" s="20">
        <f t="shared" si="13"/>
        <v>9.7442075368743222</v>
      </c>
      <c r="CX7" s="59">
        <f t="shared" si="14"/>
        <v>303.07754087020766</v>
      </c>
      <c r="CY7" s="59">
        <f ca="1">AVERAGE(OFFSET($CX$3,0,0,'Données projet'!$E$13+1,1))-AVERAGE(OFFSET($H$3,0,0,'Données projet'!$E$13+1,1))</f>
        <v>330.14201227773452</v>
      </c>
      <c r="CZ7" s="59">
        <f t="shared" si="42"/>
        <v>307.07297894926467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6.7360323886639675</v>
      </c>
      <c r="N8" s="13">
        <f>IF('Données projet'!$A$36&gt;35,N7+M8-V7,IF(A8&lt;'Données projet'!$A$36,$K$205^A8,IF(A8='Données projet'!$A$36,'Données projet'!$B$36,N7+M8-V7)))</f>
        <v>3.5852149771893647</v>
      </c>
      <c r="O8" s="13">
        <f>N8*VLOOKUP('Données projet'!$B$9,Paramètres!$A$1:$I$89,3,0)*VLOOKUP('Données projet'!$B$9,Paramètres!$A$1:$I$89,5,0)</f>
        <v>2.1439585563592405</v>
      </c>
      <c r="P8" s="13">
        <f t="shared" si="33"/>
        <v>0.90409665730893507</v>
      </c>
      <c r="Q8" s="20">
        <f t="shared" si="2"/>
        <v>5.3086961638054051</v>
      </c>
      <c r="R8" s="59">
        <f t="shared" si="0"/>
        <v>298.64202949713871</v>
      </c>
      <c r="S8" s="59">
        <f ca="1">AVERAGE(OFFSET($R$3,0,0,'Données projet'!$E$9+1,1))-AVERAGE(OFFSET($H$3,0,0,'Données projet'!$E$9+1,1))</f>
        <v>283.73369613548124</v>
      </c>
      <c r="T8" s="59">
        <f t="shared" si="34"/>
        <v>249.77804091581208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7.2264102564102561</v>
      </c>
      <c r="AI8" s="13">
        <f>IF('Données projet'!$A$62&gt;35,AI7+AH8-AQ7,IF(A8&lt;'Données projet'!$A$62,$AF$205^A8,IF(A8='Données projet'!$A$62,'Données projet'!$B$62,AI7+AH8-AQ7)))</f>
        <v>2.4509849511252071</v>
      </c>
      <c r="AJ8" s="13">
        <f>AI8*VLOOKUP('Données projet'!$B$10,Paramètres!$A$1:$I$89,3,0)*VLOOKUP('Données projet'!$B$10,Paramètres!$A$1:$I$89,5,0)</f>
        <v>1.1470609571265968</v>
      </c>
      <c r="AK8" s="13">
        <f t="shared" si="35"/>
        <v>0.52023874619045773</v>
      </c>
      <c r="AL8" s="20">
        <f t="shared" si="4"/>
        <v>2.9038803166105365</v>
      </c>
      <c r="AM8" s="59">
        <f t="shared" si="5"/>
        <v>296.23721364994384</v>
      </c>
      <c r="AN8" s="59">
        <f ca="1">AVERAGE(OFFSET($AM$3,0,0,'Données projet'!$E$10+1,1))-AVERAGE(OFFSET($H$3,0,0,'Données projet'!$E$10+1,1))</f>
        <v>205.73717397588365</v>
      </c>
      <c r="AO8" s="59">
        <f t="shared" si="36"/>
        <v>190.64998698136026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9.6666666666666661</v>
      </c>
      <c r="BD8" s="12">
        <f>IF('Données projet'!$A$88&gt;35,BD7+BC8-BL7,IF(A8&lt;'Données projet'!$A$88,$BA$205^A8,IF(A8='Données projet'!$A$88,'Données projet'!$B$88,BD7+BC8-BL7)))</f>
        <v>7.2475434692871694</v>
      </c>
      <c r="BE8" s="13">
        <f>BD8*VLOOKUP('Données projet'!$B$11,Paramètres!$A$1:$I$89,3,0)*VLOOKUP('Données projet'!$B$11,Paramètres!$A$1:$I$89,5,0)</f>
        <v>3.9571587342307946</v>
      </c>
      <c r="BF8" s="13">
        <f t="shared" si="37"/>
        <v>1.5538178288453746</v>
      </c>
      <c r="BG8" s="20">
        <f t="shared" si="7"/>
        <v>9.5982841806909942</v>
      </c>
      <c r="BH8" s="59">
        <f t="shared" si="8"/>
        <v>302.93161751402431</v>
      </c>
      <c r="BI8" s="59">
        <f ca="1">AVERAGE(OFFSET($BH$3,0,0,'Données projet'!$E$11+1,1))-AVERAGE(OFFSET($H$3,0,0,'Données projet'!$E$11+1,1))</f>
        <v>159.92263609041913</v>
      </c>
      <c r="BJ8" s="59">
        <f t="shared" si="38"/>
        <v>271.78119133009307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4.0628205128205126</v>
      </c>
      <c r="BY8" s="12">
        <f>IF('Données projet'!$A$114&gt;35,BY7+BX8-CG7,IF(A8&lt;'Données projet'!$A$114,$BV$205^A8,IF(A8='Données projet'!$A$114,'Données projet'!$B$114,BY7+BX8-CG7)))</f>
        <v>2.2266817443634719</v>
      </c>
      <c r="BZ8" s="13">
        <f>BY8*VLOOKUP('Données projet'!$B$12,Paramètres!$A$1:$I$89,3,0)*VLOOKUP('Données projet'!$B$12,Paramètres!$A$1:$I$89,5,0)</f>
        <v>2.0147016423000692</v>
      </c>
      <c r="CA8" s="13">
        <f t="shared" si="39"/>
        <v>0.85576136422669402</v>
      </c>
      <c r="CB8" s="20">
        <f t="shared" si="10"/>
        <v>4.999389736367446</v>
      </c>
      <c r="CC8" s="59">
        <f t="shared" si="11"/>
        <v>298.33272306970076</v>
      </c>
      <c r="CD8" s="59">
        <f ca="1">AVERAGE(OFFSET($CC$3,0,0,'Données projet'!$E$12+1,1))-AVERAGE(OFFSET($H$3,0,0,'Données projet'!$E$12+1,1))</f>
        <v>280.25710840677186</v>
      </c>
      <c r="CE8" s="59">
        <f t="shared" si="40"/>
        <v>209.65224013288037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2.9</v>
      </c>
      <c r="CT8" s="12">
        <f>IF('Données projet'!$A$140&gt;35,CT7+CS8-DB7,IF(A8&lt;'Données projet'!$A$140,$CQ$205^A8,IF(A8='Données projet'!$A$140,'Données projet'!$B$140,CT7+CS8-DB7)))</f>
        <v>5.3851648071345055</v>
      </c>
      <c r="CU8" s="17">
        <f>CT8*VLOOKUP('Données projet'!$B$13,Paramètres!$A$1:$I$89,3,0)*VLOOKUP('Données projet'!$B$13,Paramètres!$A$1:$I$89,5,0)</f>
        <v>5.6285742564169858</v>
      </c>
      <c r="CV8" s="13">
        <f t="shared" si="41"/>
        <v>2.1213097648187431</v>
      </c>
      <c r="CW8" s="20">
        <f t="shared" si="13"/>
        <v>13.497714670318894</v>
      </c>
      <c r="CX8" s="59">
        <f t="shared" si="14"/>
        <v>306.8310480036522</v>
      </c>
      <c r="CY8" s="59">
        <f ca="1">AVERAGE(OFFSET($CX$3,0,0,'Données projet'!$E$13+1,1))-AVERAGE(OFFSET($H$3,0,0,'Données projet'!$E$13+1,1))</f>
        <v>330.14201227773452</v>
      </c>
      <c r="CZ8" s="59">
        <f t="shared" si="42"/>
        <v>307.07297894926467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6.7360323886639675</v>
      </c>
      <c r="N9" s="13">
        <f>IF('Données projet'!$A$36&gt;35,N8+M9-V8,IF(A9&lt;'Données projet'!$A$36,$K$205^A9,IF(A9='Données projet'!$A$36,'Données projet'!$B$36,N8+M9-V8)))</f>
        <v>4.6282652672757632</v>
      </c>
      <c r="O9" s="13">
        <f>N9*VLOOKUP('Données projet'!$B$9,Paramètres!$A$1:$I$89,3,0)*VLOOKUP('Données projet'!$B$9,Paramètres!$A$1:$I$89,5,0)</f>
        <v>2.7677026298309064</v>
      </c>
      <c r="P9" s="13">
        <f t="shared" si="33"/>
        <v>1.1329449033380179</v>
      </c>
      <c r="Q9" s="20">
        <f t="shared" si="2"/>
        <v>6.7936277869358754</v>
      </c>
      <c r="R9" s="59">
        <f t="shared" si="0"/>
        <v>300.12696112026919</v>
      </c>
      <c r="S9" s="59">
        <f ca="1">AVERAGE(OFFSET($R$3,0,0,'Données projet'!$E$9+1,1))-AVERAGE(OFFSET($H$3,0,0,'Données projet'!$E$9+1,1))</f>
        <v>283.73369613548124</v>
      </c>
      <c r="T9" s="59">
        <f t="shared" si="34"/>
        <v>249.77804091581208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7.2264102564102561</v>
      </c>
      <c r="AI9" s="13">
        <f>IF('Données projet'!$A$62&gt;35,AI8+AH9-AQ8,IF(A9&lt;'Données projet'!$A$62,$AF$205^A9,IF(A9='Données projet'!$A$62,'Données projet'!$B$62,AI8+AH9-AQ8)))</f>
        <v>2.9323025204191722</v>
      </c>
      <c r="AJ9" s="13">
        <f>AI9*VLOOKUP('Données projet'!$B$10,Paramètres!$A$1:$I$89,3,0)*VLOOKUP('Données projet'!$B$10,Paramètres!$A$1:$I$89,5,0)</f>
        <v>1.3723175795561726</v>
      </c>
      <c r="AK9" s="13">
        <f t="shared" si="35"/>
        <v>0.60954668407977464</v>
      </c>
      <c r="AL9" s="20">
        <f t="shared" si="4"/>
        <v>3.4517469258326074</v>
      </c>
      <c r="AM9" s="59">
        <f t="shared" si="5"/>
        <v>296.78508025916591</v>
      </c>
      <c r="AN9" s="59">
        <f ca="1">AVERAGE(OFFSET($AM$3,0,0,'Données projet'!$E$10+1,1))-AVERAGE(OFFSET($H$3,0,0,'Données projet'!$E$10+1,1))</f>
        <v>205.73717397588365</v>
      </c>
      <c r="AO9" s="59">
        <f t="shared" si="36"/>
        <v>190.64998698136026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9.6666666666666661</v>
      </c>
      <c r="BD9" s="12">
        <f>IF('Données projet'!$A$88&gt;35,BD8+BC9-BL8,IF(A9&lt;'Données projet'!$A$88,$BA$205^A9,IF(A9='Données projet'!$A$88,'Données projet'!$B$88,BD8+BC9-BL8)))</f>
        <v>10.770329614269009</v>
      </c>
      <c r="BE9" s="13">
        <f>BD9*VLOOKUP('Données projet'!$B$11,Paramètres!$A$1:$I$89,3,0)*VLOOKUP('Données projet'!$B$11,Paramètres!$A$1:$I$89,5,0)</f>
        <v>5.8805999693908788</v>
      </c>
      <c r="BF9" s="13">
        <f t="shared" si="37"/>
        <v>2.2050224910961043</v>
      </c>
      <c r="BG9" s="20">
        <f t="shared" si="7"/>
        <v>14.082459118681493</v>
      </c>
      <c r="BH9" s="59">
        <f t="shared" si="8"/>
        <v>307.41579245201478</v>
      </c>
      <c r="BI9" s="59">
        <f ca="1">AVERAGE(OFFSET($BH$3,0,0,'Données projet'!$E$11+1,1))-AVERAGE(OFFSET($H$3,0,0,'Données projet'!$E$11+1,1))</f>
        <v>159.92263609041913</v>
      </c>
      <c r="BJ9" s="59">
        <f t="shared" si="38"/>
        <v>271.78119133009307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4.0628205128205126</v>
      </c>
      <c r="BY9" s="12">
        <f>IF('Données projet'!$A$114&gt;35,BY8+BX9-CG8,IF(A9&lt;'Données projet'!$A$114,$BV$205^A9,IF(A9='Données projet'!$A$114,'Données projet'!$B$114,BY8+BX9-CG8)))</f>
        <v>2.6133030675536255</v>
      </c>
      <c r="BZ9" s="13">
        <f>BY9*VLOOKUP('Données projet'!$B$12,Paramètres!$A$1:$I$89,3,0)*VLOOKUP('Données projet'!$B$12,Paramètres!$A$1:$I$89,5,0)</f>
        <v>2.3645166155225201</v>
      </c>
      <c r="CA9" s="13">
        <f t="shared" si="39"/>
        <v>0.98580456095486013</v>
      </c>
      <c r="CB9" s="20">
        <f t="shared" si="10"/>
        <v>5.8351427156981037</v>
      </c>
      <c r="CC9" s="59">
        <f t="shared" si="11"/>
        <v>299.16847604903143</v>
      </c>
      <c r="CD9" s="59">
        <f ca="1">AVERAGE(OFFSET($CC$3,0,0,'Données projet'!$E$12+1,1))-AVERAGE(OFFSET($H$3,0,0,'Données projet'!$E$12+1,1))</f>
        <v>280.25710840677186</v>
      </c>
      <c r="CE9" s="59">
        <f t="shared" si="40"/>
        <v>209.65224013288037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2.9</v>
      </c>
      <c r="CT9" s="12">
        <f>IF('Données projet'!$A$140&gt;35,CT8+CS9-DB8,IF(A9&lt;'Données projet'!$A$140,$CQ$205^A9,IF(A9='Données projet'!$A$140,'Données projet'!$B$140,CT8+CS9-DB8)))</f>
        <v>7.5411711733776423</v>
      </c>
      <c r="CU9" s="17">
        <f>CT9*VLOOKUP('Données projet'!$B$13,Paramètres!$A$1:$I$89,3,0)*VLOOKUP('Données projet'!$B$13,Paramètres!$A$1:$I$89,5,0)</f>
        <v>7.882032110414313</v>
      </c>
      <c r="CV9" s="13">
        <f t="shared" si="41"/>
        <v>2.8564167966931366</v>
      </c>
      <c r="CW9" s="20">
        <f t="shared" si="13"/>
        <v>18.702798513212141</v>
      </c>
      <c r="CX9" s="59">
        <f t="shared" si="14"/>
        <v>312.03613184654546</v>
      </c>
      <c r="CY9" s="59">
        <f ca="1">AVERAGE(OFFSET($CX$3,0,0,'Données projet'!$E$13+1,1))-AVERAGE(OFFSET($H$3,0,0,'Données projet'!$E$13+1,1))</f>
        <v>330.14201227773452</v>
      </c>
      <c r="CZ9" s="59">
        <f t="shared" si="42"/>
        <v>307.07297894926467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6.7360323886639675</v>
      </c>
      <c r="N10" s="13">
        <f>IF('Données projet'!$A$36&gt;35,N9+M10-V9,IF(A10&lt;'Données projet'!$A$36,$K$205^A10,IF(A10='Données projet'!$A$36,'Données projet'!$B$36,N9+M10-V9)))</f>
        <v>5.9747712537628903</v>
      </c>
      <c r="O10" s="13">
        <f>N10*VLOOKUP('Données projet'!$B$9,Paramètres!$A$1:$I$89,3,0)*VLOOKUP('Données projet'!$B$9,Paramètres!$A$1:$I$89,5,0)</f>
        <v>3.5729132097502085</v>
      </c>
      <c r="P10" s="13">
        <f t="shared" si="33"/>
        <v>1.4197200527431988</v>
      </c>
      <c r="Q10" s="20">
        <f t="shared" si="2"/>
        <v>8.6955029321760176</v>
      </c>
      <c r="R10" s="59">
        <f t="shared" si="0"/>
        <v>302.02883626550931</v>
      </c>
      <c r="S10" s="59">
        <f ca="1">AVERAGE(OFFSET($R$3,0,0,'Données projet'!$E$9+1,1))-AVERAGE(OFFSET($H$3,0,0,'Données projet'!$E$9+1,1))</f>
        <v>283.73369613548124</v>
      </c>
      <c r="T10" s="59">
        <f t="shared" si="34"/>
        <v>249.77804091581208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7.2264102564102561</v>
      </c>
      <c r="AI10" s="13">
        <f>IF('Données projet'!$A$62&gt;35,AI9+AH10-AQ9,IF(A10&lt;'Données projet'!$A$62,$AF$205^A10,IF(A10='Données projet'!$A$62,'Données projet'!$B$62,AI9+AH10-AQ9)))</f>
        <v>3.5081398877252363</v>
      </c>
      <c r="AJ10" s="13">
        <f>AI10*VLOOKUP('Données projet'!$B$10,Paramètres!$A$1:$I$89,3,0)*VLOOKUP('Données projet'!$B$10,Paramètres!$A$1:$I$89,5,0)</f>
        <v>1.6418094674554107</v>
      </c>
      <c r="AK10" s="13">
        <f t="shared" si="35"/>
        <v>0.71418586714920729</v>
      </c>
      <c r="AL10" s="20">
        <f t="shared" si="4"/>
        <v>4.1033585411030424</v>
      </c>
      <c r="AM10" s="59">
        <f t="shared" si="5"/>
        <v>297.43669187443635</v>
      </c>
      <c r="AN10" s="59">
        <f ca="1">AVERAGE(OFFSET($AM$3,0,0,'Données projet'!$E$10+1,1))-AVERAGE(OFFSET($H$3,0,0,'Données projet'!$E$10+1,1))</f>
        <v>205.73717397588365</v>
      </c>
      <c r="AO10" s="59">
        <f t="shared" si="36"/>
        <v>190.64998698136026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9.6666666666666661</v>
      </c>
      <c r="BD10" s="12">
        <f>IF('Données projet'!$A$88&gt;35,BD9+BC10-BL9,IF(A10&lt;'Données projet'!$A$88,$BA$205^A10,IF(A10='Données projet'!$A$88,'Données projet'!$B$88,BD9+BC10-BL9)))</f>
        <v>16.005423146694032</v>
      </c>
      <c r="BE10" s="13">
        <f>BD10*VLOOKUP('Données projet'!$B$11,Paramètres!$A$1:$I$89,3,0)*VLOOKUP('Données projet'!$B$11,Paramètres!$A$1:$I$89,5,0)</f>
        <v>8.7389610380949421</v>
      </c>
      <c r="BF10" s="13">
        <f t="shared" si="37"/>
        <v>3.1291468639233355</v>
      </c>
      <c r="BG10" s="20">
        <f t="shared" si="7"/>
        <v>20.6702879293485</v>
      </c>
      <c r="BH10" s="59">
        <f t="shared" si="8"/>
        <v>314.0036212626818</v>
      </c>
      <c r="BI10" s="59">
        <f ca="1">AVERAGE(OFFSET($BH$3,0,0,'Données projet'!$E$11+1,1))-AVERAGE(OFFSET($H$3,0,0,'Données projet'!$E$11+1,1))</f>
        <v>159.92263609041913</v>
      </c>
      <c r="BJ10" s="59">
        <f t="shared" si="38"/>
        <v>271.78119133009307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4.0628205128205126</v>
      </c>
      <c r="BY10" s="12">
        <f>IF('Données projet'!$A$114&gt;35,BY9+BX10-CG9,IF(A10&lt;'Données projet'!$A$114,$BV$205^A10,IF(A10='Données projet'!$A$114,'Données projet'!$B$114,BY9+BX10-CG9)))</f>
        <v>3.067053897654088</v>
      </c>
      <c r="BZ10" s="13">
        <f>BY10*VLOOKUP('Données projet'!$B$12,Paramètres!$A$1:$I$89,3,0)*VLOOKUP('Données projet'!$B$12,Paramètres!$A$1:$I$89,5,0)</f>
        <v>2.775070366597419</v>
      </c>
      <c r="CA10" s="13">
        <f t="shared" si="39"/>
        <v>1.1356093801659046</v>
      </c>
      <c r="CB10" s="20">
        <f t="shared" si="10"/>
        <v>6.811100558946122</v>
      </c>
      <c r="CC10" s="59">
        <f t="shared" si="11"/>
        <v>300.14443389227944</v>
      </c>
      <c r="CD10" s="59">
        <f ca="1">AVERAGE(OFFSET($CC$3,0,0,'Données projet'!$E$12+1,1))-AVERAGE(OFFSET($H$3,0,0,'Données projet'!$E$12+1,1))</f>
        <v>280.25710840677186</v>
      </c>
      <c r="CE10" s="59">
        <f t="shared" si="40"/>
        <v>209.65224013288037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2.9</v>
      </c>
      <c r="CT10" s="12">
        <f>IF('Données projet'!$A$140&gt;35,CT9+CS10-DB9,IF(A10&lt;'Données projet'!$A$140,$CQ$205^A10,IF(A10='Données projet'!$A$140,'Données projet'!$B$140,CT9+CS10-DB9)))</f>
        <v>10.560356962676241</v>
      </c>
      <c r="CU10" s="17">
        <f>CT10*VLOOKUP('Données projet'!$B$13,Paramètres!$A$1:$I$89,3,0)*VLOOKUP('Données projet'!$B$13,Paramètres!$A$1:$I$89,5,0)</f>
        <v>11.037685097389209</v>
      </c>
      <c r="CV10" s="13">
        <f t="shared" si="41"/>
        <v>3.8462637808711757</v>
      </c>
      <c r="CW10" s="20">
        <f t="shared" si="13"/>
        <v>25.92287762963684</v>
      </c>
      <c r="CX10" s="59">
        <f t="shared" si="14"/>
        <v>319.25621096297016</v>
      </c>
      <c r="CY10" s="59">
        <f ca="1">AVERAGE(OFFSET($CX$3,0,0,'Données projet'!$E$13+1,1))-AVERAGE(OFFSET($H$3,0,0,'Données projet'!$E$13+1,1))</f>
        <v>330.14201227773452</v>
      </c>
      <c r="CZ10" s="59">
        <f t="shared" si="42"/>
        <v>307.07297894926467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6.7360323886639675</v>
      </c>
      <c r="N11" s="13">
        <f>IF('Données projet'!$A$36&gt;35,N10+M11-V10,IF(A11&lt;'Données projet'!$A$36,$K$205^A11,IF(A11='Données projet'!$A$36,'Données projet'!$B$36,N10+M11-V10)))</f>
        <v>7.7130176153026486</v>
      </c>
      <c r="O11" s="13">
        <f>N11*VLOOKUP('Données projet'!$B$9,Paramètres!$A$1:$I$89,3,0)*VLOOKUP('Données projet'!$B$9,Paramètres!$A$1:$I$89,5,0)</f>
        <v>4.6123845339509844</v>
      </c>
      <c r="P11" s="13">
        <f t="shared" si="33"/>
        <v>1.7790847747516541</v>
      </c>
      <c r="Q11" s="20">
        <f t="shared" si="2"/>
        <v>11.131809045990428</v>
      </c>
      <c r="R11" s="59">
        <f t="shared" si="0"/>
        <v>304.46514237932377</v>
      </c>
      <c r="S11" s="59">
        <f ca="1">AVERAGE(OFFSET($R$3,0,0,'Données projet'!$E$9+1,1))-AVERAGE(OFFSET($H$3,0,0,'Données projet'!$E$9+1,1))</f>
        <v>283.73369613548124</v>
      </c>
      <c r="T11" s="59">
        <f t="shared" si="34"/>
        <v>249.77804091581208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7.2264102564102561</v>
      </c>
      <c r="AI11" s="13">
        <f>IF('Données projet'!$A$62&gt;35,AI10+AH11-AQ10,IF(A11&lt;'Données projet'!$A$62,$AF$205^A11,IF(A11='Données projet'!$A$62,'Données projet'!$B$62,AI10+AH11-AQ10)))</f>
        <v>4.1970585866050225</v>
      </c>
      <c r="AJ11" s="13">
        <f>AI11*VLOOKUP('Données projet'!$B$10,Paramètres!$A$1:$I$89,3,0)*VLOOKUP('Données projet'!$B$10,Paramètres!$A$1:$I$89,5,0)</f>
        <v>1.9642234185311505</v>
      </c>
      <c r="AK11" s="13">
        <f t="shared" si="35"/>
        <v>0.83678816759654573</v>
      </c>
      <c r="AL11" s="20">
        <f t="shared" si="4"/>
        <v>4.8784285125057369</v>
      </c>
      <c r="AM11" s="59">
        <f t="shared" si="5"/>
        <v>298.21176184583908</v>
      </c>
      <c r="AN11" s="59">
        <f ca="1">AVERAGE(OFFSET($AM$3,0,0,'Données projet'!$E$10+1,1))-AVERAGE(OFFSET($H$3,0,0,'Données projet'!$E$10+1,1))</f>
        <v>205.73717397588365</v>
      </c>
      <c r="AO11" s="59">
        <f t="shared" si="36"/>
        <v>190.64998698136026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9.6666666666666661</v>
      </c>
      <c r="BD11" s="12">
        <f>IF('Données projet'!$A$88&gt;35,BD10+BC11-BL10,IF(A11&lt;'Données projet'!$A$88,$BA$205^A11,IF(A11='Données projet'!$A$88,'Données projet'!$B$88,BD10+BC11-BL10)))</f>
        <v>23.785118866310182</v>
      </c>
      <c r="BE11" s="13">
        <f>BD11*VLOOKUP('Données projet'!$B$11,Paramètres!$A$1:$I$89,3,0)*VLOOKUP('Données projet'!$B$11,Paramètres!$A$1:$I$89,5,0)</f>
        <v>12.98667490100536</v>
      </c>
      <c r="BF11" s="13">
        <f t="shared" si="37"/>
        <v>4.4405715295601897</v>
      </c>
      <c r="BG11" s="20">
        <f t="shared" si="7"/>
        <v>30.352454199901668</v>
      </c>
      <c r="BH11" s="59">
        <f t="shared" si="8"/>
        <v>323.68578753323499</v>
      </c>
      <c r="BI11" s="59">
        <f ca="1">AVERAGE(OFFSET($BH$3,0,0,'Données projet'!$E$11+1,1))-AVERAGE(OFFSET($H$3,0,0,'Données projet'!$E$11+1,1))</f>
        <v>159.92263609041913</v>
      </c>
      <c r="BJ11" s="59">
        <f t="shared" si="38"/>
        <v>271.78119133009307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4.0628205128205126</v>
      </c>
      <c r="BY11" s="12">
        <f>IF('Données projet'!$A$114&gt;35,BY10+BX11-CG10,IF(A11&lt;'Données projet'!$A$114,$BV$205^A11,IF(A11='Données projet'!$A$114,'Données projet'!$B$114,BY10+BX11-CG10)))</f>
        <v>3.5995900084872572</v>
      </c>
      <c r="BZ11" s="13">
        <f>BY11*VLOOKUP('Données projet'!$B$12,Paramètres!$A$1:$I$89,3,0)*VLOOKUP('Données projet'!$B$12,Paramètres!$A$1:$I$89,5,0)</f>
        <v>3.2569090396792704</v>
      </c>
      <c r="CA11" s="13">
        <f t="shared" si="39"/>
        <v>1.3081788372653314</v>
      </c>
      <c r="CB11" s="20">
        <f t="shared" si="10"/>
        <v>7.9508613856785146</v>
      </c>
      <c r="CC11" s="59">
        <f t="shared" si="11"/>
        <v>301.28419471901185</v>
      </c>
      <c r="CD11" s="59">
        <f ca="1">AVERAGE(OFFSET($CC$3,0,0,'Données projet'!$E$12+1,1))-AVERAGE(OFFSET($H$3,0,0,'Données projet'!$E$12+1,1))</f>
        <v>280.25710840677186</v>
      </c>
      <c r="CE11" s="59">
        <f t="shared" si="40"/>
        <v>209.65224013288037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2.9</v>
      </c>
      <c r="CT11" s="12">
        <f>IF('Données projet'!$A$140&gt;35,CT10+CS11-DB10,IF(A11&lt;'Données projet'!$A$140,$CQ$205^A11,IF(A11='Données projet'!$A$140,'Données projet'!$B$140,CT10+CS11-DB10)))</f>
        <v>14.7883049748087</v>
      </c>
      <c r="CU11" s="17">
        <f>CT11*VLOOKUP('Données projet'!$B$13,Paramètres!$A$1:$I$89,3,0)*VLOOKUP('Données projet'!$B$13,Paramètres!$A$1:$I$89,5,0)</f>
        <v>15.456736359670055</v>
      </c>
      <c r="CV11" s="13">
        <f t="shared" si="41"/>
        <v>5.1791269009368985</v>
      </c>
      <c r="CW11" s="20">
        <f t="shared" si="13"/>
        <v>35.940795178890447</v>
      </c>
      <c r="CX11" s="59">
        <f t="shared" si="14"/>
        <v>329.27412851222374</v>
      </c>
      <c r="CY11" s="59">
        <f ca="1">AVERAGE(OFFSET($CX$3,0,0,'Données projet'!$E$13+1,1))-AVERAGE(OFFSET($H$3,0,0,'Données projet'!$E$13+1,1))</f>
        <v>330.14201227773452</v>
      </c>
      <c r="CZ11" s="59">
        <f t="shared" si="42"/>
        <v>307.07297894926467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6.7360323886639675</v>
      </c>
      <c r="N12" s="13">
        <f>IF('Données projet'!$A$36&gt;35,N11+M12-V11,IF(A12&lt;'Données projet'!$A$36,$K$205^A12,IF(A12='Données projet'!$A$36,'Données projet'!$B$36,N11+M12-V11)))</f>
        <v>9.9569737831388867</v>
      </c>
      <c r="O12" s="13">
        <f>N12*VLOOKUP('Données projet'!$B$9,Paramètres!$A$1:$I$89,3,0)*VLOOKUP('Données projet'!$B$9,Paramètres!$A$1:$I$89,5,0)</f>
        <v>5.9542703223170541</v>
      </c>
      <c r="P12" s="13">
        <f t="shared" si="33"/>
        <v>2.2294132069469743</v>
      </c>
      <c r="Q12" s="20">
        <f t="shared" si="2"/>
        <v>14.253248813468183</v>
      </c>
      <c r="R12" s="59">
        <f t="shared" si="0"/>
        <v>307.5865821468015</v>
      </c>
      <c r="S12" s="59">
        <f ca="1">AVERAGE(OFFSET($R$3,0,0,'Données projet'!$E$9+1,1))-AVERAGE(OFFSET($H$3,0,0,'Données projet'!$E$9+1,1))</f>
        <v>283.73369613548124</v>
      </c>
      <c r="T12" s="59">
        <f t="shared" si="34"/>
        <v>249.77804091581208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7.2264102564102561</v>
      </c>
      <c r="AI12" s="13">
        <f>IF('Données projet'!$A$62&gt;35,AI11+AH12-AQ11,IF(A12&lt;'Données projet'!$A$62,$AF$205^A12,IF(A12='Données projet'!$A$62,'Données projet'!$B$62,AI11+AH12-AQ11)))</f>
        <v>5.0212652126643498</v>
      </c>
      <c r="AJ12" s="13">
        <f>AI12*VLOOKUP('Données projet'!$B$10,Paramètres!$A$1:$I$89,3,0)*VLOOKUP('Données projet'!$B$10,Paramètres!$A$1:$I$89,5,0)</f>
        <v>2.349952119526916</v>
      </c>
      <c r="AK12" s="13">
        <f t="shared" si="35"/>
        <v>0.98043726379605944</v>
      </c>
      <c r="AL12" s="20">
        <f t="shared" si="4"/>
        <v>5.8004281759541811</v>
      </c>
      <c r="AM12" s="59">
        <f t="shared" si="5"/>
        <v>299.13376150928752</v>
      </c>
      <c r="AN12" s="59">
        <f ca="1">AVERAGE(OFFSET($AM$3,0,0,'Données projet'!$E$10+1,1))-AVERAGE(OFFSET($H$3,0,0,'Données projet'!$E$10+1,1))</f>
        <v>205.73717397588365</v>
      </c>
      <c r="AO12" s="59">
        <f t="shared" si="36"/>
        <v>190.64998698136026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9.6666666666666661</v>
      </c>
      <c r="BD12" s="12">
        <f>IF('Données projet'!$A$88&gt;35,BD11+BC12-BL11,IF(A12&lt;'Données projet'!$A$88,$BA$205^A12,IF(A12='Données projet'!$A$88,'Données projet'!$B$88,BD11+BC12-BL11)))</f>
        <v>35.346261970047209</v>
      </c>
      <c r="BE12" s="13">
        <f>BD12*VLOOKUP('Données projet'!$B$11,Paramètres!$A$1:$I$89,3,0)*VLOOKUP('Données projet'!$B$11,Paramètres!$A$1:$I$89,5,0)</f>
        <v>19.299059035645776</v>
      </c>
      <c r="BF12" s="13">
        <f t="shared" si="37"/>
        <v>6.301613943558138</v>
      </c>
      <c r="BG12" s="20">
        <f t="shared" si="7"/>
        <v>44.587838772113486</v>
      </c>
      <c r="BH12" s="59">
        <f t="shared" si="8"/>
        <v>337.92117210544677</v>
      </c>
      <c r="BI12" s="59">
        <f ca="1">AVERAGE(OFFSET($BH$3,0,0,'Données projet'!$E$11+1,1))-AVERAGE(OFFSET($H$3,0,0,'Données projet'!$E$11+1,1))</f>
        <v>159.92263609041913</v>
      </c>
      <c r="BJ12" s="59">
        <f t="shared" si="38"/>
        <v>271.78119133009307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4.0628205128205126</v>
      </c>
      <c r="BY12" s="12">
        <f>IF('Données projet'!$A$114&gt;35,BY11+BX12-CG11,IF(A12&lt;'Données projet'!$A$114,$BV$205^A12,IF(A12='Données projet'!$A$114,'Données projet'!$B$114,BY11+BX12-CG11)))</f>
        <v>4.2245909793472531</v>
      </c>
      <c r="BZ12" s="13">
        <f>BY12*VLOOKUP('Données projet'!$B$12,Paramètres!$A$1:$I$89,3,0)*VLOOKUP('Données projet'!$B$12,Paramètres!$A$1:$I$89,5,0)</f>
        <v>3.822409918113395</v>
      </c>
      <c r="CA12" s="13">
        <f t="shared" si="39"/>
        <v>1.5069722918446318</v>
      </c>
      <c r="CB12" s="20">
        <f t="shared" si="10"/>
        <v>9.2820073490102306</v>
      </c>
      <c r="CC12" s="59">
        <f t="shared" si="11"/>
        <v>302.61534068234357</v>
      </c>
      <c r="CD12" s="59">
        <f ca="1">AVERAGE(OFFSET($CC$3,0,0,'Données projet'!$E$12+1,1))-AVERAGE(OFFSET($H$3,0,0,'Données projet'!$E$12+1,1))</f>
        <v>280.25710840677186</v>
      </c>
      <c r="CE12" s="59">
        <f t="shared" si="40"/>
        <v>209.65224013288037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2.9</v>
      </c>
      <c r="CT12" s="12">
        <f>IF('Données projet'!$A$140&gt;35,CT11+CS12-DB11,IF(A12&lt;'Données projet'!$A$140,$CQ$205^A12,IF(A12='Données projet'!$A$140,'Données projet'!$B$140,CT11+CS12-DB11)))</f>
        <v>20.708955653761308</v>
      </c>
      <c r="CU12" s="17">
        <f>CT12*VLOOKUP('Données projet'!$B$13,Paramètres!$A$1:$I$89,3,0)*VLOOKUP('Données projet'!$B$13,Paramètres!$A$1:$I$89,5,0)</f>
        <v>21.645000449311322</v>
      </c>
      <c r="CV12" s="13">
        <f t="shared" si="41"/>
        <v>6.9738730841629319</v>
      </c>
      <c r="CW12" s="20">
        <f t="shared" si="13"/>
        <v>49.844538070800986</v>
      </c>
      <c r="CX12" s="59">
        <f t="shared" si="14"/>
        <v>343.17787140413429</v>
      </c>
      <c r="CY12" s="59">
        <f ca="1">AVERAGE(OFFSET($CX$3,0,0,'Données projet'!$E$13+1,1))-AVERAGE(OFFSET($H$3,0,0,'Données projet'!$E$13+1,1))</f>
        <v>330.14201227773452</v>
      </c>
      <c r="CZ12" s="59">
        <f t="shared" si="42"/>
        <v>307.07297894926467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6.7360323886639675</v>
      </c>
      <c r="N13" s="13">
        <f>IF('Données projet'!$A$36&gt;35,N12+M13-V12,IF(A13&lt;'Données projet'!$A$36,$K$205^A13,IF(A13='Données projet'!$A$36,'Données projet'!$B$36,N12+M13-V12)))</f>
        <v>12.853766432662937</v>
      </c>
      <c r="O13" s="13">
        <f>N13*VLOOKUP('Données projet'!$B$9,Paramètres!$A$1:$I$89,3,0)*VLOOKUP('Données projet'!$B$9,Paramètres!$A$1:$I$89,5,0)</f>
        <v>7.6865523267324365</v>
      </c>
      <c r="P13" s="13">
        <f t="shared" si="33"/>
        <v>2.7937304156871372</v>
      </c>
      <c r="Q13" s="20">
        <f t="shared" si="2"/>
        <v>18.25315910971409</v>
      </c>
      <c r="R13" s="59">
        <f t="shared" si="0"/>
        <v>311.5864924430474</v>
      </c>
      <c r="S13" s="59">
        <f ca="1">AVERAGE(OFFSET($R$3,0,0,'Données projet'!$E$9+1,1))-AVERAGE(OFFSET($H$3,0,0,'Données projet'!$E$9+1,1))</f>
        <v>283.73369613548124</v>
      </c>
      <c r="T13" s="59">
        <f t="shared" si="34"/>
        <v>249.77804091581208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7.2264102564102561</v>
      </c>
      <c r="AI13" s="13">
        <f>IF('Données projet'!$A$62&gt;35,AI12+AH13-AQ12,IF(A13&lt;'Données projet'!$A$62,$AF$205^A13,IF(A13='Données projet'!$A$62,'Données projet'!$B$62,AI12+AH13-AQ12)))</f>
        <v>6.0073272306422343</v>
      </c>
      <c r="AJ13" s="13">
        <f>AI13*VLOOKUP('Données projet'!$B$10,Paramètres!$A$1:$I$89,3,0)*VLOOKUP('Données projet'!$B$10,Paramètres!$A$1:$I$89,5,0)</f>
        <v>2.8114291439405656</v>
      </c>
      <c r="AK13" s="13">
        <f t="shared" si="35"/>
        <v>1.1487462006075717</v>
      </c>
      <c r="AL13" s="20">
        <f t="shared" si="4"/>
        <v>6.8973053917546716</v>
      </c>
      <c r="AM13" s="59">
        <f t="shared" si="5"/>
        <v>300.230638725088</v>
      </c>
      <c r="AN13" s="59">
        <f ca="1">AVERAGE(OFFSET($AM$3,0,0,'Données projet'!$E$10+1,1))-AVERAGE(OFFSET($H$3,0,0,'Données projet'!$E$10+1,1))</f>
        <v>205.73717397588365</v>
      </c>
      <c r="AO13" s="59">
        <f t="shared" si="36"/>
        <v>190.64998698136026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9.6666666666666661</v>
      </c>
      <c r="BD13" s="12">
        <f>IF('Données projet'!$A$88&gt;35,BD12+BC13-BL12,IF(A13&lt;'Données projet'!$A$88,$BA$205^A13,IF(A13='Données projet'!$A$88,'Données projet'!$B$88,BD12+BC13-BL12)))</f>
        <v>52.526886339207103</v>
      </c>
      <c r="BE13" s="13">
        <f>BD13*VLOOKUP('Données projet'!$B$11,Paramètres!$A$1:$I$89,3,0)*VLOOKUP('Données projet'!$B$11,Paramètres!$A$1:$I$89,5,0)</f>
        <v>28.679679941207077</v>
      </c>
      <c r="BF13" s="13">
        <f t="shared" si="37"/>
        <v>8.9426187663684367</v>
      </c>
      <c r="BG13" s="20">
        <f t="shared" si="7"/>
        <v>65.525503582360685</v>
      </c>
      <c r="BH13" s="59">
        <f t="shared" si="8"/>
        <v>358.85883691569398</v>
      </c>
      <c r="BI13" s="59">
        <f ca="1">AVERAGE(OFFSET($BH$3,0,0,'Données projet'!$E$11+1,1))-AVERAGE(OFFSET($H$3,0,0,'Données projet'!$E$11+1,1))</f>
        <v>159.92263609041913</v>
      </c>
      <c r="BJ13" s="59">
        <f t="shared" si="38"/>
        <v>271.78119133009307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4.0628205128205126</v>
      </c>
      <c r="BY13" s="12">
        <f>IF('Données projet'!$A$114&gt;35,BY12+BX13-CG12,IF(A13&lt;'Données projet'!$A$114,$BV$205^A13,IF(A13='Données projet'!$A$114,'Données projet'!$B$114,BY12+BX13-CG12)))</f>
        <v>4.9581115906815549</v>
      </c>
      <c r="BZ13" s="13">
        <f>BY13*VLOOKUP('Données projet'!$B$12,Paramètres!$A$1:$I$89,3,0)*VLOOKUP('Données projet'!$B$12,Paramètres!$A$1:$I$89,5,0)</f>
        <v>4.4860993672486709</v>
      </c>
      <c r="CA13" s="13">
        <f t="shared" si="39"/>
        <v>1.7359747946502311</v>
      </c>
      <c r="CB13" s="20">
        <f t="shared" si="10"/>
        <v>10.836779165307254</v>
      </c>
      <c r="CC13" s="59">
        <f t="shared" si="11"/>
        <v>304.17011249864055</v>
      </c>
      <c r="CD13" s="59">
        <f ca="1">AVERAGE(OFFSET($CC$3,0,0,'Données projet'!$E$12+1,1))-AVERAGE(OFFSET($H$3,0,0,'Données projet'!$E$12+1,1))</f>
        <v>280.25710840677186</v>
      </c>
      <c r="CE13" s="59">
        <f t="shared" si="40"/>
        <v>209.65224013288037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29</v>
      </c>
      <c r="CR13" s="12">
        <f>VLOOKUP(A13,'Données projet'!$A$139:$I$159,9,0)</f>
        <v>2.9</v>
      </c>
      <c r="CS13" s="12">
        <f t="array" ref="CS13">INDEX(CR:CR,MIN(IF(ISNUMBER(CR13:CR209),ROW(CR13:CR209),"")))</f>
        <v>2.9</v>
      </c>
      <c r="CT13" s="12">
        <f>IF('Données projet'!$A$140&gt;35,CT12+CS13-DB12,IF(A13&lt;'Données projet'!$A$140,$CQ$205^A13,IF(A13='Données projet'!$A$140,'Données projet'!$B$140,CT12+CS13-DB12)))</f>
        <v>29</v>
      </c>
      <c r="CU13" s="17">
        <f>CT13*VLOOKUP('Données projet'!$B$13,Paramètres!$A$1:$I$89,3,0)*VLOOKUP('Données projet'!$B$13,Paramètres!$A$1:$I$89,5,0)</f>
        <v>30.3108</v>
      </c>
      <c r="CV13" s="13">
        <f t="shared" si="41"/>
        <v>9.3905607497692607</v>
      </c>
      <c r="CW13" s="20">
        <f t="shared" si="13"/>
        <v>69.146536639181463</v>
      </c>
      <c r="CX13" s="59">
        <f t="shared" si="14"/>
        <v>362.47986997251479</v>
      </c>
      <c r="CY13" s="59">
        <f ca="1">AVERAGE(OFFSET($CX$3,0,0,'Données projet'!$E$13+1,1))-AVERAGE(OFFSET($H$3,0,0,'Données projet'!$E$13+1,1))</f>
        <v>330.14201227773452</v>
      </c>
      <c r="CZ13" s="59">
        <f t="shared" si="42"/>
        <v>307.07297894926467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6.7360323886639675</v>
      </c>
      <c r="N14" s="13">
        <f>IF('Données projet'!$A$36&gt;35,N13+M14-V13,IF(A14&lt;'Données projet'!$A$36,$K$205^A14,IF(A14='Données projet'!$A$36,'Données projet'!$B$36,N13+M14-V13)))</f>
        <v>16.593325954642403</v>
      </c>
      <c r="O14" s="13">
        <f>N14*VLOOKUP('Données projet'!$B$9,Paramètres!$A$1:$I$89,3,0)*VLOOKUP('Données projet'!$B$9,Paramètres!$A$1:$I$89,5,0)</f>
        <v>9.9228089208761574</v>
      </c>
      <c r="P14" s="13">
        <f t="shared" si="33"/>
        <v>3.5008896561726774</v>
      </c>
      <c r="Q14" s="20">
        <f t="shared" si="2"/>
        <v>23.379608355026718</v>
      </c>
      <c r="R14" s="59">
        <f t="shared" si="0"/>
        <v>316.71294168836005</v>
      </c>
      <c r="S14" s="59">
        <f ca="1">AVERAGE(OFFSET($R$3,0,0,'Données projet'!$E$9+1,1))-AVERAGE(OFFSET($H$3,0,0,'Données projet'!$E$9+1,1))</f>
        <v>283.73369613548124</v>
      </c>
      <c r="T14" s="59">
        <f t="shared" si="34"/>
        <v>249.77804091581208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7.2264102564102561</v>
      </c>
      <c r="AI14" s="13">
        <f>IF('Données projet'!$A$62&gt;35,AI13+AH14-AQ13,IF(A14&lt;'Données projet'!$A$62,$AF$205^A14,IF(A14='Données projet'!$A$62,'Données projet'!$B$62,AI13+AH14-AQ13)))</f>
        <v>7.1870293496939057</v>
      </c>
      <c r="AJ14" s="13">
        <f>AI14*VLOOKUP('Données projet'!$B$10,Paramètres!$A$1:$I$89,3,0)*VLOOKUP('Données projet'!$B$10,Paramètres!$A$1:$I$89,5,0)</f>
        <v>3.3635297356567477</v>
      </c>
      <c r="AK14" s="13">
        <f t="shared" si="35"/>
        <v>1.3459482642479659</v>
      </c>
      <c r="AL14" s="20">
        <f t="shared" si="4"/>
        <v>8.2023408498340427</v>
      </c>
      <c r="AM14" s="59">
        <f t="shared" si="5"/>
        <v>301.53567418316737</v>
      </c>
      <c r="AN14" s="59">
        <f ca="1">AVERAGE(OFFSET($AM$3,0,0,'Données projet'!$E$10+1,1))-AVERAGE(OFFSET($H$3,0,0,'Données projet'!$E$10+1,1))</f>
        <v>205.73717397588365</v>
      </c>
      <c r="AO14" s="59">
        <f t="shared" si="36"/>
        <v>190.64998698136026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9.6666666666666661</v>
      </c>
      <c r="BD14" s="12">
        <f>IF('Données projet'!$A$88&gt;35,BD13+BC14-BL13,IF(A14&lt;'Données projet'!$A$88,$BA$205^A14,IF(A14='Données projet'!$A$88,'Données projet'!$B$88,BD13+BC14-BL13)))</f>
        <v>78.058432057965561</v>
      </c>
      <c r="BE14" s="13">
        <f>BD14*VLOOKUP('Données projet'!$B$11,Paramètres!$A$1:$I$89,3,0)*VLOOKUP('Données projet'!$B$11,Paramètres!$A$1:$I$89,5,0)</f>
        <v>42.619903903649202</v>
      </c>
      <c r="BF14" s="13">
        <f t="shared" si="37"/>
        <v>12.690468047849112</v>
      </c>
      <c r="BG14" s="20">
        <f t="shared" si="7"/>
        <v>96.332231148859549</v>
      </c>
      <c r="BH14" s="59">
        <f t="shared" si="8"/>
        <v>389.66556448219285</v>
      </c>
      <c r="BI14" s="59">
        <f ca="1">AVERAGE(OFFSET($BH$3,0,0,'Données projet'!$E$11+1,1))-AVERAGE(OFFSET($H$3,0,0,'Données projet'!$E$11+1,1))</f>
        <v>159.92263609041913</v>
      </c>
      <c r="BJ14" s="59">
        <f t="shared" si="38"/>
        <v>271.78119133009307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4.0628205128205126</v>
      </c>
      <c r="BY14" s="12">
        <f>IF('Données projet'!$A$114&gt;35,BY13+BX14-CG13,IF(A14&lt;'Données projet'!$A$114,$BV$205^A14,IF(A14='Données projet'!$A$114,'Données projet'!$B$114,BY13+BX14-CG13)))</f>
        <v>5.8189942330107201</v>
      </c>
      <c r="BZ14" s="13">
        <f>BY14*VLOOKUP('Données projet'!$B$12,Paramètres!$A$1:$I$89,3,0)*VLOOKUP('Données projet'!$B$12,Paramètres!$A$1:$I$89,5,0)</f>
        <v>5.2650259820280993</v>
      </c>
      <c r="CA14" s="13">
        <f t="shared" si="39"/>
        <v>1.9997769726555885</v>
      </c>
      <c r="CB14" s="20">
        <f t="shared" si="10"/>
        <v>12.65286514607409</v>
      </c>
      <c r="CC14" s="59">
        <f t="shared" si="11"/>
        <v>305.98619847940739</v>
      </c>
      <c r="CD14" s="59">
        <f ca="1">AVERAGE(OFFSET($CC$3,0,0,'Données projet'!$E$12+1,1))-AVERAGE(OFFSET($H$3,0,0,'Données projet'!$E$12+1,1))</f>
        <v>280.25710840677186</v>
      </c>
      <c r="CE14" s="59">
        <f t="shared" si="40"/>
        <v>209.65224013288037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8.8000000000000007</v>
      </c>
      <c r="CT14" s="12">
        <f>IF('Données projet'!$A$140&gt;35,CT13+CS14-DB13,IF(A14&lt;'Données projet'!$A$140,$CQ$205^A14,IF(A14='Données projet'!$A$140,'Données projet'!$B$140,CT13+CS14-DB13)))</f>
        <v>37.799999999999997</v>
      </c>
      <c r="CU14" s="17">
        <f>CT14*VLOOKUP('Données projet'!$B$13,Paramètres!$A$1:$I$89,3,0)*VLOOKUP('Données projet'!$B$13,Paramètres!$A$1:$I$89,5,0)</f>
        <v>39.508560000000003</v>
      </c>
      <c r="CV14" s="13">
        <f t="shared" si="41"/>
        <v>11.868297112841578</v>
      </c>
      <c r="CW14" s="20">
        <f t="shared" si="13"/>
        <v>89.481359471532414</v>
      </c>
      <c r="CX14" s="59">
        <f t="shared" si="14"/>
        <v>382.81469280486573</v>
      </c>
      <c r="CY14" s="59">
        <f ca="1">AVERAGE(OFFSET($CX$3,0,0,'Données projet'!$E$13+1,1))-AVERAGE(OFFSET($H$3,0,0,'Données projet'!$E$13+1,1))</f>
        <v>330.14201227773452</v>
      </c>
      <c r="CZ14" s="59">
        <f t="shared" si="42"/>
        <v>307.07297894926467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6.7360323886639675</v>
      </c>
      <c r="N15" s="13">
        <f>IF('Données projet'!$A$36&gt;35,N14+M15-V14,IF(A15&lt;'Données projet'!$A$36,$K$205^A15,IF(A15='Données projet'!$A$36,'Données projet'!$B$36,N14+M15-V14)))</f>
        <v>21.420839384271193</v>
      </c>
      <c r="O15" s="13">
        <f>N15*VLOOKUP('Données projet'!$B$9,Paramètres!$A$1:$I$89,3,0)*VLOOKUP('Données projet'!$B$9,Paramètres!$A$1:$I$89,5,0)</f>
        <v>12.809661951794174</v>
      </c>
      <c r="P15" s="13">
        <f t="shared" si="33"/>
        <v>4.3870476248805641</v>
      </c>
      <c r="Q15" s="20">
        <f t="shared" si="2"/>
        <v>29.950935846041833</v>
      </c>
      <c r="R15" s="59">
        <f t="shared" si="0"/>
        <v>323.28426917937514</v>
      </c>
      <c r="S15" s="59">
        <f ca="1">AVERAGE(OFFSET($R$3,0,0,'Données projet'!$E$9+1,1))-AVERAGE(OFFSET($H$3,0,0,'Données projet'!$E$9+1,1))</f>
        <v>283.73369613548124</v>
      </c>
      <c r="T15" s="59">
        <f t="shared" si="34"/>
        <v>249.77804091581208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7.2264102564102561</v>
      </c>
      <c r="AI15" s="13">
        <f>IF('Données projet'!$A$62&gt;35,AI14+AH15-AQ14,IF(A15&lt;'Données projet'!$A$62,$AF$205^A15,IF(A15='Données projet'!$A$62,'Données projet'!$B$62,AI14+AH15-AQ14)))</f>
        <v>8.5983980712566286</v>
      </c>
      <c r="AJ15" s="13">
        <f>AI15*VLOOKUP('Données projet'!$B$10,Paramètres!$A$1:$I$89,3,0)*VLOOKUP('Données projet'!$B$10,Paramètres!$A$1:$I$89,5,0)</f>
        <v>4.0240502973481025</v>
      </c>
      <c r="AK15" s="13">
        <f t="shared" si="35"/>
        <v>1.5770034573990057</v>
      </c>
      <c r="AL15" s="20">
        <f t="shared" si="4"/>
        <v>9.7551686228512136</v>
      </c>
      <c r="AM15" s="59">
        <f t="shared" si="5"/>
        <v>303.08850195618453</v>
      </c>
      <c r="AN15" s="59">
        <f ca="1">AVERAGE(OFFSET($AM$3,0,0,'Données projet'!$E$10+1,1))-AVERAGE(OFFSET($H$3,0,0,'Données projet'!$E$10+1,1))</f>
        <v>205.73717397588365</v>
      </c>
      <c r="AO15" s="59">
        <f t="shared" si="36"/>
        <v>190.64998698136026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>
        <f>VLOOKUP(A15,'Données projet'!$A$87:$I$107,2,0)</f>
        <v>116</v>
      </c>
      <c r="BB15" s="12">
        <f>VLOOKUP(A15,'Données projet'!$A$87:$I$107,9,0)</f>
        <v>9.6666666666666661</v>
      </c>
      <c r="BC15" s="12">
        <f t="array" ref="BC15">INDEX(BB:BB,MIN(IF(ISNUMBER(BB15:BB211),ROW(BB15:BB211),"")))</f>
        <v>9.6666666666666661</v>
      </c>
      <c r="BD15" s="12">
        <f>IF('Données projet'!$A$88&gt;35,BD14+BC15-BL14,IF(A15&lt;'Données projet'!$A$88,$BA$205^A15,IF(A15='Données projet'!$A$88,'Données projet'!$B$88,BD14+BC15-BL14)))</f>
        <v>116</v>
      </c>
      <c r="BE15" s="13">
        <f>BD15*VLOOKUP('Données projet'!$B$11,Paramètres!$A$1:$I$89,3,0)*VLOOKUP('Données projet'!$B$11,Paramètres!$A$1:$I$89,5,0)</f>
        <v>63.335999999999999</v>
      </c>
      <c r="BF15" s="13">
        <f t="shared" si="37"/>
        <v>18.009040022946227</v>
      </c>
      <c r="BG15" s="20">
        <f t="shared" si="7"/>
        <v>141.67594470663133</v>
      </c>
      <c r="BH15" s="59">
        <f t="shared" si="8"/>
        <v>435.00927803996467</v>
      </c>
      <c r="BI15" s="59">
        <f ca="1">AVERAGE(OFFSET($BH$3,0,0,'Données projet'!$E$11+1,1))-AVERAGE(OFFSET($H$3,0,0,'Données projet'!$E$11+1,1))</f>
        <v>159.92263609041913</v>
      </c>
      <c r="BJ15" s="59">
        <f t="shared" si="38"/>
        <v>271.78119133009307</v>
      </c>
      <c r="BK15" s="15">
        <f>IF(ISNA(VLOOKUP(A15,'Données projet'!$A$87:$I$107,3,0)),0,VLOOKUP(A15,'Données projet'!$A$87:$I$107,3,0))</f>
        <v>1</v>
      </c>
      <c r="BL15" s="15">
        <f>IF(ISNA(VLOOKUP(A15,'Données projet'!$A$87:$I$107,4,0)),0,VLOOKUP(A15,'Données projet'!$A$87:$I$107,4,0))</f>
        <v>21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0.42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6.363209560142475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6.363209560142475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4.0628205128205126</v>
      </c>
      <c r="BY15" s="12">
        <f>IF('Données projet'!$A$114&gt;35,BY14+BX15-CG14,IF(A15&lt;'Données projet'!$A$114,$BV$205^A15,IF(A15='Données projet'!$A$114,'Données projet'!$B$114,BY14+BX15-CG14)))</f>
        <v>6.8293529228851897</v>
      </c>
      <c r="BZ15" s="13">
        <f>BY15*VLOOKUP('Données projet'!$B$12,Paramètres!$A$1:$I$89,3,0)*VLOOKUP('Données projet'!$B$12,Paramètres!$A$1:$I$89,5,0)</f>
        <v>6.1791985246265195</v>
      </c>
      <c r="CA15" s="13">
        <f t="shared" si="39"/>
        <v>2.3036670536275285</v>
      </c>
      <c r="CB15" s="20">
        <f t="shared" si="10"/>
        <v>14.774324215459131</v>
      </c>
      <c r="CC15" s="59">
        <f t="shared" si="11"/>
        <v>308.10765754879242</v>
      </c>
      <c r="CD15" s="59">
        <f ca="1">AVERAGE(OFFSET($CC$3,0,0,'Données projet'!$E$12+1,1))-AVERAGE(OFFSET($H$3,0,0,'Données projet'!$E$12+1,1))</f>
        <v>280.25710840677186</v>
      </c>
      <c r="CE15" s="59">
        <f t="shared" si="40"/>
        <v>209.65224013288037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8.8000000000000007</v>
      </c>
      <c r="CT15" s="12">
        <f>IF('Données projet'!$A$140&gt;35,CT14+CS15-DB14,IF(A15&lt;'Données projet'!$A$140,$CQ$205^A15,IF(A15='Données projet'!$A$140,'Données projet'!$B$140,CT14+CS15-DB14)))</f>
        <v>46.599999999999994</v>
      </c>
      <c r="CU15" s="17">
        <f>CT15*VLOOKUP('Données projet'!$B$13,Paramètres!$A$1:$I$89,3,0)*VLOOKUP('Données projet'!$B$13,Paramètres!$A$1:$I$89,5,0)</f>
        <v>48.706319999999998</v>
      </c>
      <c r="CV15" s="13">
        <f t="shared" si="41"/>
        <v>14.279153150480225</v>
      </c>
      <c r="CW15" s="20">
        <f t="shared" si="13"/>
        <v>109.69969907041973</v>
      </c>
      <c r="CX15" s="59">
        <f t="shared" si="14"/>
        <v>403.03303240375305</v>
      </c>
      <c r="CY15" s="59">
        <f ca="1">AVERAGE(OFFSET($CX$3,0,0,'Données projet'!$E$13+1,1))-AVERAGE(OFFSET($H$3,0,0,'Données projet'!$E$13+1,1))</f>
        <v>330.14201227773452</v>
      </c>
      <c r="CZ15" s="59">
        <f t="shared" si="42"/>
        <v>307.07297894926467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6.7360323886639675</v>
      </c>
      <c r="N16" s="13">
        <f>IF('Données projet'!$A$36&gt;35,N15+M16-V15,IF(A16&lt;'Données projet'!$A$36,$K$205^A16,IF(A16='Données projet'!$A$36,'Données projet'!$B$36,N15+M16-V15)))</f>
        <v>27.652826273708452</v>
      </c>
      <c r="O16" s="13">
        <f>N16*VLOOKUP('Données projet'!$B$9,Paramètres!$A$1:$I$89,3,0)*VLOOKUP('Données projet'!$B$9,Paramètres!$A$1:$I$89,5,0)</f>
        <v>16.536390111677655</v>
      </c>
      <c r="P16" s="13">
        <f t="shared" si="33"/>
        <v>5.4975131332790896</v>
      </c>
      <c r="Q16" s="20">
        <f t="shared" si="2"/>
        <v>38.375714818299656</v>
      </c>
      <c r="R16" s="59">
        <f t="shared" si="0"/>
        <v>331.70904815163294</v>
      </c>
      <c r="S16" s="59">
        <f ca="1">AVERAGE(OFFSET($R$3,0,0,'Données projet'!$E$9+1,1))-AVERAGE(OFFSET($H$3,0,0,'Données projet'!$E$9+1,1))</f>
        <v>283.73369613548124</v>
      </c>
      <c r="T16" s="59">
        <f t="shared" si="34"/>
        <v>249.77804091581208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7.2264102564102561</v>
      </c>
      <c r="AI16" s="13">
        <f>IF('Données projet'!$A$62&gt;35,AI15+AH16-AQ15,IF(A16&lt;'Données projet'!$A$62,$AF$205^A16,IF(A16='Données projet'!$A$62,'Données projet'!$B$62,AI15+AH16-AQ15)))</f>
        <v>10.286927434759741</v>
      </c>
      <c r="AJ16" s="13">
        <f>AI16*VLOOKUP('Données projet'!$B$10,Paramètres!$A$1:$I$89,3,0)*VLOOKUP('Données projet'!$B$10,Paramètres!$A$1:$I$89,5,0)</f>
        <v>4.8142820394675585</v>
      </c>
      <c r="AK16" s="13">
        <f t="shared" si="35"/>
        <v>1.8477232526006253</v>
      </c>
      <c r="AL16" s="20">
        <f t="shared" si="4"/>
        <v>11.602992550352086</v>
      </c>
      <c r="AM16" s="59">
        <f t="shared" si="5"/>
        <v>304.93632588368541</v>
      </c>
      <c r="AN16" s="59">
        <f ca="1">AVERAGE(OFFSET($AM$3,0,0,'Données projet'!$E$10+1,1))-AVERAGE(OFFSET($H$3,0,0,'Données projet'!$E$10+1,1))</f>
        <v>205.73717397588365</v>
      </c>
      <c r="AO16" s="59">
        <f t="shared" si="36"/>
        <v>190.64998698136026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24.333333333333332</v>
      </c>
      <c r="BD16" s="12">
        <f>IF('Données projet'!$A$88&gt;35,BD15+BC16-BL15,IF(A16&lt;'Données projet'!$A$88,$BA$205^A16,IF(A16='Données projet'!$A$88,'Données projet'!$B$88,BD15+BC16-BL15)))</f>
        <v>119.33333333333334</v>
      </c>
      <c r="BE16" s="13">
        <f>BD16*VLOOKUP('Données projet'!$B$11,Paramètres!$A$1:$I$89,3,0)*VLOOKUP('Données projet'!$B$11,Paramètres!$A$1:$I$89,5,0)</f>
        <v>65.156000000000006</v>
      </c>
      <c r="BF16" s="13">
        <f t="shared" si="37"/>
        <v>18.465547360043153</v>
      </c>
      <c r="BG16" s="20">
        <f t="shared" si="7"/>
        <v>145.64086165207519</v>
      </c>
      <c r="BH16" s="59">
        <f t="shared" si="8"/>
        <v>438.97419498540853</v>
      </c>
      <c r="BI16" s="59">
        <f ca="1">AVERAGE(OFFSET($BH$3,0,0,'Données projet'!$E$11+1,1))-AVERAGE(OFFSET($H$3,0,0,'Données projet'!$E$11+1,1))</f>
        <v>159.92263609041913</v>
      </c>
      <c r="BJ16" s="59">
        <f t="shared" si="38"/>
        <v>271.78119133009307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6.1892072600937311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6.1892072600937311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4.0628205128205126</v>
      </c>
      <c r="BY16" s="12">
        <f>IF('Données projet'!$A$114&gt;35,BY15+BX16-CG15,IF(A16&lt;'Données projet'!$A$114,$BV$205^A16,IF(A16='Données projet'!$A$114,'Données projet'!$B$114,BY15+BX16-CG15)))</f>
        <v>8.0151413590917304</v>
      </c>
      <c r="BZ16" s="13">
        <f>BY16*VLOOKUP('Données projet'!$B$12,Paramètres!$A$1:$I$89,3,0)*VLOOKUP('Données projet'!$B$12,Paramètres!$A$1:$I$89,5,0)</f>
        <v>7.2520999017061971</v>
      </c>
      <c r="CA16" s="13">
        <f t="shared" si="39"/>
        <v>2.6537368749284589</v>
      </c>
      <c r="CB16" s="20">
        <f t="shared" si="10"/>
        <v>17.252665719305359</v>
      </c>
      <c r="CC16" s="59">
        <f t="shared" si="11"/>
        <v>310.58599905263867</v>
      </c>
      <c r="CD16" s="59">
        <f ca="1">AVERAGE(OFFSET($CC$3,0,0,'Données projet'!$E$12+1,1))-AVERAGE(OFFSET($H$3,0,0,'Données projet'!$E$12+1,1))</f>
        <v>280.25710840677186</v>
      </c>
      <c r="CE16" s="59">
        <f t="shared" si="40"/>
        <v>209.65224013288037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8.8000000000000007</v>
      </c>
      <c r="CT16" s="12">
        <f>IF('Données projet'!$A$140&gt;35,CT15+CS16-DB15,IF(A16&lt;'Données projet'!$A$140,$CQ$205^A16,IF(A16='Données projet'!$A$140,'Données projet'!$B$140,CT15+CS16-DB15)))</f>
        <v>55.399999999999991</v>
      </c>
      <c r="CU16" s="17">
        <f>CT16*VLOOKUP('Données projet'!$B$13,Paramètres!$A$1:$I$89,3,0)*VLOOKUP('Données projet'!$B$13,Paramètres!$A$1:$I$89,5,0)</f>
        <v>57.904079999999993</v>
      </c>
      <c r="CV16" s="13">
        <f t="shared" si="41"/>
        <v>16.637263069387522</v>
      </c>
      <c r="CW16" s="20">
        <f t="shared" si="13"/>
        <v>129.82617251251659</v>
      </c>
      <c r="CX16" s="59">
        <f t="shared" si="14"/>
        <v>423.15950584584994</v>
      </c>
      <c r="CY16" s="59">
        <f ca="1">AVERAGE(OFFSET($CX$3,0,0,'Données projet'!$E$13+1,1))-AVERAGE(OFFSET($H$3,0,0,'Données projet'!$E$13+1,1))</f>
        <v>330.14201227773452</v>
      </c>
      <c r="CZ16" s="59">
        <f t="shared" si="42"/>
        <v>307.07297894926467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6.7360323886639675</v>
      </c>
      <c r="N17" s="13">
        <f>IF('Données projet'!$A$36&gt;35,N16+M17-V16,IF(A17&lt;'Données projet'!$A$36,$K$205^A17,IF(A17='Données projet'!$A$36,'Données projet'!$B$36,N16+M17-V16)))</f>
        <v>35.697891534791381</v>
      </c>
      <c r="O17" s="13">
        <f>N17*VLOOKUP('Données projet'!$B$9,Paramètres!$A$1:$I$89,3,0)*VLOOKUP('Données projet'!$B$9,Paramètres!$A$1:$I$89,5,0)</f>
        <v>21.347339137805246</v>
      </c>
      <c r="P17" s="13">
        <f t="shared" si="33"/>
        <v>6.8890637245814856</v>
      </c>
      <c r="Q17" s="20">
        <f t="shared" si="2"/>
        <v>49.178401651990221</v>
      </c>
      <c r="R17" s="59">
        <f t="shared" si="0"/>
        <v>342.51173498532353</v>
      </c>
      <c r="S17" s="59">
        <f ca="1">AVERAGE(OFFSET($R$3,0,0,'Données projet'!$E$9+1,1))-AVERAGE(OFFSET($H$3,0,0,'Données projet'!$E$9+1,1))</f>
        <v>283.73369613548124</v>
      </c>
      <c r="T17" s="59">
        <f t="shared" si="34"/>
        <v>249.77804091581208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7.2264102564102561</v>
      </c>
      <c r="AI17" s="13">
        <f>IF('Données projet'!$A$62&gt;35,AI16+AH17-AQ16,IF(A17&lt;'Données projet'!$A$62,$AF$205^A17,IF(A17='Données projet'!$A$62,'Données projet'!$B$62,AI16+AH17-AQ16)))</f>
        <v>12.307045471848836</v>
      </c>
      <c r="AJ17" s="13">
        <f>AI17*VLOOKUP('Données projet'!$B$10,Paramètres!$A$1:$I$89,3,0)*VLOOKUP('Données projet'!$B$10,Paramètres!$A$1:$I$89,5,0)</f>
        <v>5.7596972808252556</v>
      </c>
      <c r="AK17" s="13">
        <f t="shared" si="35"/>
        <v>2.1649167617120959</v>
      </c>
      <c r="AL17" s="20">
        <f t="shared" si="4"/>
        <v>13.802036124085888</v>
      </c>
      <c r="AM17" s="59">
        <f t="shared" si="5"/>
        <v>307.13536945741919</v>
      </c>
      <c r="AN17" s="59">
        <f ca="1">AVERAGE(OFFSET($AM$3,0,0,'Données projet'!$E$10+1,1))-AVERAGE(OFFSET($H$3,0,0,'Données projet'!$E$10+1,1))</f>
        <v>205.73717397588365</v>
      </c>
      <c r="AO17" s="59">
        <f t="shared" si="36"/>
        <v>190.64998698136026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24.333333333333332</v>
      </c>
      <c r="BD17" s="12">
        <f>IF('Données projet'!$A$88&gt;35,BD16+BC17-BL16,IF(A17&lt;'Données projet'!$A$88,$BA$205^A17,IF(A17='Données projet'!$A$88,'Données projet'!$B$88,BD16+BC17-BL16)))</f>
        <v>143.66666666666669</v>
      </c>
      <c r="BE17" s="13">
        <f>BD17*VLOOKUP('Données projet'!$B$11,Paramètres!$A$1:$I$89,3,0)*VLOOKUP('Données projet'!$B$11,Paramètres!$A$1:$I$89,5,0)</f>
        <v>78.442000000000007</v>
      </c>
      <c r="BF17" s="13">
        <f t="shared" si="37"/>
        <v>21.755810093736013</v>
      </c>
      <c r="BG17" s="20">
        <f t="shared" si="7"/>
        <v>174.5111859132569</v>
      </c>
      <c r="BH17" s="59">
        <f t="shared" si="8"/>
        <v>467.84451924659021</v>
      </c>
      <c r="BI17" s="59">
        <f ca="1">AVERAGE(OFFSET($BH$3,0,0,'Données projet'!$E$11+1,1))-AVERAGE(OFFSET($H$3,0,0,'Données projet'!$E$11+1,1))</f>
        <v>159.92263609041913</v>
      </c>
      <c r="BJ17" s="59">
        <f t="shared" si="38"/>
        <v>271.78119133009307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6.0199630620902038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6.0199630620902038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4.0628205128205126</v>
      </c>
      <c r="BY17" s="12">
        <f>IF('Données projet'!$A$114&gt;35,BY16+BX17-CG16,IF(A17&lt;'Données projet'!$A$114,$BV$205^A17,IF(A17='Données projet'!$A$114,'Données projet'!$B$114,BY16+BX17-CG16)))</f>
        <v>9.4068196111151305</v>
      </c>
      <c r="BZ17" s="13">
        <f>BY17*VLOOKUP('Données projet'!$B$12,Paramètres!$A$1:$I$89,3,0)*VLOOKUP('Données projet'!$B$12,Paramètres!$A$1:$I$89,5,0)</f>
        <v>8.51129038413697</v>
      </c>
      <c r="CA17" s="13">
        <f t="shared" si="39"/>
        <v>3.0570040016267526</v>
      </c>
      <c r="CB17" s="20">
        <f t="shared" si="10"/>
        <v>20.148112721871815</v>
      </c>
      <c r="CC17" s="59">
        <f t="shared" si="11"/>
        <v>313.48144605520514</v>
      </c>
      <c r="CD17" s="59">
        <f ca="1">AVERAGE(OFFSET($CC$3,0,0,'Données projet'!$E$12+1,1))-AVERAGE(OFFSET($H$3,0,0,'Données projet'!$E$12+1,1))</f>
        <v>280.25710840677186</v>
      </c>
      <c r="CE17" s="59">
        <f t="shared" si="40"/>
        <v>209.65224013288037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8.8000000000000007</v>
      </c>
      <c r="CT17" s="12">
        <f>IF('Données projet'!$A$140&gt;35,CT16+CS17-DB16,IF(A17&lt;'Données projet'!$A$140,$CQ$205^A17,IF(A17='Données projet'!$A$140,'Données projet'!$B$140,CT16+CS17-DB16)))</f>
        <v>64.199999999999989</v>
      </c>
      <c r="CU17" s="17">
        <f>CT17*VLOOKUP('Données projet'!$B$13,Paramètres!$A$1:$I$89,3,0)*VLOOKUP('Données projet'!$B$13,Paramètres!$A$1:$I$89,5,0)</f>
        <v>67.101839999999996</v>
      </c>
      <c r="CV17" s="13">
        <f t="shared" si="41"/>
        <v>18.951980743561439</v>
      </c>
      <c r="CW17" s="20">
        <f t="shared" si="13"/>
        <v>149.87707112836947</v>
      </c>
      <c r="CX17" s="59">
        <f t="shared" si="14"/>
        <v>443.21040446170275</v>
      </c>
      <c r="CY17" s="59">
        <f ca="1">AVERAGE(OFFSET($CX$3,0,0,'Données projet'!$E$13+1,1))-AVERAGE(OFFSET($H$3,0,0,'Données projet'!$E$13+1,1))</f>
        <v>330.14201227773452</v>
      </c>
      <c r="CZ17" s="59">
        <f t="shared" si="42"/>
        <v>307.07297894926467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6.7360323886639675</v>
      </c>
      <c r="N18" s="13">
        <f>IF('Données projet'!$A$36&gt;35,N17+M18-V17,IF(A18&lt;'Données projet'!$A$36,$K$205^A18,IF(A18='Données projet'!$A$36,'Données projet'!$B$36,N17+M18-V17)))</f>
        <v>46.083515927677063</v>
      </c>
      <c r="O18" s="13">
        <f>N18*VLOOKUP('Données projet'!$B$9,Paramètres!$A$1:$I$89,3,0)*VLOOKUP('Données projet'!$B$9,Paramètres!$A$1:$I$89,5,0)</f>
        <v>27.557942524750885</v>
      </c>
      <c r="P18" s="13">
        <f t="shared" si="33"/>
        <v>8.6328486809883493</v>
      </c>
      <c r="Q18" s="20">
        <f t="shared" si="2"/>
        <v>63.032294683329155</v>
      </c>
      <c r="R18" s="59">
        <f t="shared" si="0"/>
        <v>356.36562801666247</v>
      </c>
      <c r="S18" s="59">
        <f ca="1">AVERAGE(OFFSET($R$3,0,0,'Données projet'!$E$9+1,1))-AVERAGE(OFFSET($H$3,0,0,'Données projet'!$E$9+1,1))</f>
        <v>283.73369613548124</v>
      </c>
      <c r="T18" s="59">
        <f t="shared" si="34"/>
        <v>249.77804091581208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7.2264102564102561</v>
      </c>
      <c r="AI18" s="13">
        <f>IF('Données projet'!$A$62&gt;35,AI17+AH18-AQ17,IF(A18&lt;'Données projet'!$A$62,$AF$205^A18,IF(A18='Données projet'!$A$62,'Données projet'!$B$62,AI17+AH18-AQ17)))</f>
        <v>14.723868638788783</v>
      </c>
      <c r="AJ18" s="13">
        <f>AI18*VLOOKUP('Données projet'!$B$10,Paramètres!$A$1:$I$89,3,0)*VLOOKUP('Données projet'!$B$10,Paramètres!$A$1:$I$89,5,0)</f>
        <v>6.89077052295315</v>
      </c>
      <c r="AK18" s="13">
        <f t="shared" si="35"/>
        <v>2.5365619978778424</v>
      </c>
      <c r="AL18" s="20">
        <f t="shared" si="4"/>
        <v>16.419270807113978</v>
      </c>
      <c r="AM18" s="59">
        <f t="shared" si="5"/>
        <v>309.75260414044732</v>
      </c>
      <c r="AN18" s="59">
        <f ca="1">AVERAGE(OFFSET($AM$3,0,0,'Données projet'!$E$10+1,1))-AVERAGE(OFFSET($H$3,0,0,'Données projet'!$E$10+1,1))</f>
        <v>205.73717397588365</v>
      </c>
      <c r="AO18" s="59">
        <f t="shared" si="36"/>
        <v>190.64998698136026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168</v>
      </c>
      <c r="BB18" s="12">
        <f>VLOOKUP(A18,'Données projet'!$A$87:$I$107,9,0)</f>
        <v>24.333333333333332</v>
      </c>
      <c r="BC18" s="12">
        <f t="array" ref="BC18">INDEX(BB:BB,MIN(IF(ISNUMBER(BB18:BB214),ROW(BB18:BB214),"")))</f>
        <v>24.333333333333332</v>
      </c>
      <c r="BD18" s="12">
        <f>IF('Données projet'!$A$88&gt;35,BD17+BC18-BL17,IF(A18&lt;'Données projet'!$A$88,$BA$205^A18,IF(A18='Données projet'!$A$88,'Données projet'!$B$88,BD17+BC18-BL17)))</f>
        <v>168.00000000000003</v>
      </c>
      <c r="BE18" s="13">
        <f>BD18*VLOOKUP('Données projet'!$B$11,Paramètres!$A$1:$I$89,3,0)*VLOOKUP('Données projet'!$B$11,Paramètres!$A$1:$I$89,5,0)</f>
        <v>91.728000000000009</v>
      </c>
      <c r="BF18" s="13">
        <f t="shared" si="37"/>
        <v>24.981514582386563</v>
      </c>
      <c r="BG18" s="20">
        <f t="shared" si="7"/>
        <v>203.26907123098991</v>
      </c>
      <c r="BH18" s="59">
        <f t="shared" si="8"/>
        <v>496.60240456432325</v>
      </c>
      <c r="BI18" s="59">
        <f ca="1">AVERAGE(OFFSET($BH$3,0,0,'Données projet'!$E$11+1,1))-AVERAGE(OFFSET($H$3,0,0,'Données projet'!$E$11+1,1))</f>
        <v>159.92263609041913</v>
      </c>
      <c r="BJ18" s="59">
        <f t="shared" si="38"/>
        <v>271.78119133009307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47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0.48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22.131311444789212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22.131311444789212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4.0628205128205126</v>
      </c>
      <c r="BY18" s="12">
        <f>IF('Données projet'!$A$114&gt;35,BY17+BX18-CG17,IF(A18&lt;'Données projet'!$A$114,$BV$205^A18,IF(A18='Données projet'!$A$114,'Données projet'!$B$114,BY17+BX18-CG17)))</f>
        <v>11.040136565487554</v>
      </c>
      <c r="BZ18" s="13">
        <f>BY18*VLOOKUP('Données projet'!$B$12,Paramètres!$A$1:$I$89,3,0)*VLOOKUP('Données projet'!$B$12,Paramètres!$A$1:$I$89,5,0)</f>
        <v>9.9891155644531384</v>
      </c>
      <c r="CA18" s="13">
        <f t="shared" si="39"/>
        <v>3.5215524019177353</v>
      </c>
      <c r="CB18" s="20">
        <f t="shared" si="10"/>
        <v>23.531080041429274</v>
      </c>
      <c r="CC18" s="59">
        <f t="shared" si="11"/>
        <v>316.86441337476259</v>
      </c>
      <c r="CD18" s="59">
        <f ca="1">AVERAGE(OFFSET($CC$3,0,0,'Données projet'!$E$12+1,1))-AVERAGE(OFFSET($H$3,0,0,'Données projet'!$E$12+1,1))</f>
        <v>280.25710840677186</v>
      </c>
      <c r="CE18" s="59">
        <f t="shared" si="40"/>
        <v>209.65224013288037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73</v>
      </c>
      <c r="CR18" s="12">
        <f>VLOOKUP(A18,'Données projet'!$A$139:$I$159,9,0)</f>
        <v>8.8000000000000007</v>
      </c>
      <c r="CS18" s="12">
        <f t="array" ref="CS18">INDEX(CR:CR,MIN(IF(ISNUMBER(CR18:CR214),ROW(CR18:CR214),"")))</f>
        <v>8.8000000000000007</v>
      </c>
      <c r="CT18" s="12">
        <f>IF('Données projet'!$A$140&gt;35,CT17+CS18-DB17,IF(A18&lt;'Données projet'!$A$140,$CQ$205^A18,IF(A18='Données projet'!$A$140,'Données projet'!$B$140,CT17+CS18-DB17)))</f>
        <v>72.999999999999986</v>
      </c>
      <c r="CU18" s="17">
        <f>CT18*VLOOKUP('Données projet'!$B$13,Paramètres!$A$1:$I$89,3,0)*VLOOKUP('Données projet'!$B$13,Paramètres!$A$1:$I$89,5,0)</f>
        <v>76.299599999999998</v>
      </c>
      <c r="CV18" s="13">
        <f t="shared" si="41"/>
        <v>21.229938439563274</v>
      </c>
      <c r="CW18" s="20">
        <f t="shared" si="13"/>
        <v>169.8639461155727</v>
      </c>
      <c r="CX18" s="59">
        <f t="shared" si="14"/>
        <v>463.19727944890599</v>
      </c>
      <c r="CY18" s="59">
        <f ca="1">AVERAGE(OFFSET($CX$3,0,0,'Données projet'!$E$13+1,1))-AVERAGE(OFFSET($H$3,0,0,'Données projet'!$E$13+1,1))</f>
        <v>330.14201227773452</v>
      </c>
      <c r="CZ18" s="59">
        <f t="shared" si="42"/>
        <v>307.07297894926467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6.7360323886639675</v>
      </c>
      <c r="N19" s="13">
        <f>IF('Données projet'!$A$36&gt;35,N18+M19-V18,IF(A19&lt;'Données projet'!$A$36,$K$205^A19,IF(A19='Données projet'!$A$36,'Données projet'!$B$36,N18+M19-V18)))</f>
        <v>59.490640733968959</v>
      </c>
      <c r="O19" s="13">
        <f>N19*VLOOKUP('Données projet'!$B$9,Paramètres!$A$1:$I$89,3,0)*VLOOKUP('Données projet'!$B$9,Paramètres!$A$1:$I$89,5,0)</f>
        <v>35.575403158913439</v>
      </c>
      <c r="P19" s="13">
        <f t="shared" si="33"/>
        <v>10.818026850719807</v>
      </c>
      <c r="Q19" s="20">
        <f t="shared" si="2"/>
        <v>80.801890600111236</v>
      </c>
      <c r="R19" s="59">
        <f t="shared" si="0"/>
        <v>374.13522393344454</v>
      </c>
      <c r="S19" s="59">
        <f ca="1">AVERAGE(OFFSET($R$3,0,0,'Données projet'!$E$9+1,1))-AVERAGE(OFFSET($H$3,0,0,'Données projet'!$E$9+1,1))</f>
        <v>283.73369613548124</v>
      </c>
      <c r="T19" s="59">
        <f t="shared" si="34"/>
        <v>249.77804091581208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7.2264102564102561</v>
      </c>
      <c r="AI19" s="13">
        <f>IF('Données projet'!$A$62&gt;35,AI18+AH19-AQ18,IF(A19&lt;'Données projet'!$A$62,$AF$205^A19,IF(A19='Données projet'!$A$62,'Données projet'!$B$62,AI18+AH19-AQ18)))</f>
        <v>17.61530077939495</v>
      </c>
      <c r="AJ19" s="13">
        <f>AI19*VLOOKUP('Données projet'!$B$10,Paramètres!$A$1:$I$89,3,0)*VLOOKUP('Données projet'!$B$10,Paramètres!$A$1:$I$89,5,0)</f>
        <v>8.2439607647568369</v>
      </c>
      <c r="AK19" s="13">
        <f t="shared" si="35"/>
        <v>2.972006537558364</v>
      </c>
      <c r="AL19" s="20">
        <f t="shared" si="4"/>
        <v>19.534476384865641</v>
      </c>
      <c r="AM19" s="59">
        <f t="shared" si="5"/>
        <v>312.86780971819894</v>
      </c>
      <c r="AN19" s="59">
        <f ca="1">AVERAGE(OFFSET($AM$3,0,0,'Données projet'!$E$10+1,1))-AVERAGE(OFFSET($H$3,0,0,'Données projet'!$E$10+1,1))</f>
        <v>205.73717397588365</v>
      </c>
      <c r="AO19" s="59">
        <f t="shared" si="36"/>
        <v>190.64998698136026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21.333333333333332</v>
      </c>
      <c r="BD19" s="12">
        <f>IF('Données projet'!$A$88&gt;35,BD18+BC19-BL18,IF(A19&lt;'Données projet'!$A$88,$BA$205^A19,IF(A19='Données projet'!$A$88,'Données projet'!$B$88,BD18+BC19-BL18)))</f>
        <v>142.33333333333337</v>
      </c>
      <c r="BE19" s="13">
        <f>BD19*VLOOKUP('Données projet'!$B$11,Paramètres!$A$1:$I$89,3,0)*VLOOKUP('Données projet'!$B$11,Paramètres!$A$1:$I$89,5,0)</f>
        <v>77.714000000000027</v>
      </c>
      <c r="BF19" s="13">
        <f t="shared" si="37"/>
        <v>21.577305655991772</v>
      </c>
      <c r="BG19" s="20">
        <f t="shared" si="7"/>
        <v>172.93235735085239</v>
      </c>
      <c r="BH19" s="59">
        <f t="shared" si="8"/>
        <v>466.2656906841857</v>
      </c>
      <c r="BI19" s="59">
        <f ca="1">AVERAGE(OFFSET($BH$3,0,0,'Données projet'!$E$11+1,1))-AVERAGE(OFFSET($H$3,0,0,'Données projet'!$E$11+1,1))</f>
        <v>159.92263609041913</v>
      </c>
      <c r="BJ19" s="59">
        <f t="shared" si="38"/>
        <v>271.78119133009307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21.526129569496362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21.526129569496362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4.0628205128205126</v>
      </c>
      <c r="BY19" s="12">
        <f>IF('Données projet'!$A$114&gt;35,BY18+BX19-CG18,IF(A19&lt;'Données projet'!$A$114,$BV$205^A19,IF(A19='Données projet'!$A$114,'Données projet'!$B$114,BY18+BX19-CG18)))</f>
        <v>12.957048229201293</v>
      </c>
      <c r="BZ19" s="13">
        <f>BY19*VLOOKUP('Données projet'!$B$12,Paramètres!$A$1:$I$89,3,0)*VLOOKUP('Données projet'!$B$12,Paramètres!$A$1:$I$89,5,0)</f>
        <v>11.723537237781329</v>
      </c>
      <c r="CA19" s="13">
        <f t="shared" si="39"/>
        <v>4.0566944998610817</v>
      </c>
      <c r="CB19" s="20">
        <f t="shared" si="10"/>
        <v>27.483903609727193</v>
      </c>
      <c r="CC19" s="59">
        <f t="shared" si="11"/>
        <v>320.81723694306049</v>
      </c>
      <c r="CD19" s="59">
        <f ca="1">AVERAGE(OFFSET($CC$3,0,0,'Données projet'!$E$12+1,1))-AVERAGE(OFFSET($H$3,0,0,'Données projet'!$E$12+1,1))</f>
        <v>280.25710840677186</v>
      </c>
      <c r="CE19" s="59">
        <f t="shared" si="40"/>
        <v>209.65224013288037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11.2</v>
      </c>
      <c r="CT19" s="12">
        <f>IF('Données projet'!$A$140&gt;35,CT18+CS19-DB18,IF(A19&lt;'Données projet'!$A$140,$CQ$205^A19,IF(A19='Données projet'!$A$140,'Données projet'!$B$140,CT18+CS19-DB18)))</f>
        <v>84.199999999999989</v>
      </c>
      <c r="CU19" s="17">
        <f>CT19*VLOOKUP('Données projet'!$B$13,Paramètres!$A$1:$I$89,3,0)*VLOOKUP('Données projet'!$B$13,Paramètres!$A$1:$I$89,5,0)</f>
        <v>88.005839999999992</v>
      </c>
      <c r="CV19" s="13">
        <f t="shared" si="41"/>
        <v>24.083656242710727</v>
      </c>
      <c r="CW19" s="20">
        <f t="shared" si="13"/>
        <v>195.22253928938787</v>
      </c>
      <c r="CX19" s="59">
        <f t="shared" si="14"/>
        <v>488.55587262272115</v>
      </c>
      <c r="CY19" s="59">
        <f ca="1">AVERAGE(OFFSET($CX$3,0,0,'Données projet'!$E$13+1,1))-AVERAGE(OFFSET($H$3,0,0,'Données projet'!$E$13+1,1))</f>
        <v>330.14201227773452</v>
      </c>
      <c r="CZ19" s="59">
        <f t="shared" si="42"/>
        <v>307.07297894926467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6.7360323886639675</v>
      </c>
      <c r="N20" s="13">
        <f>IF('Données projet'!$A$36&gt;35,N19+M20-V19,IF(A20&lt;'Données projet'!$A$36,$K$205^A20,IF(A20='Données projet'!$A$36,'Données projet'!$B$36,N19+M20-V19)))</f>
        <v>76.798314184456885</v>
      </c>
      <c r="O20" s="13">
        <f>N20*VLOOKUP('Données projet'!$B$9,Paramètres!$A$1:$I$89,3,0)*VLOOKUP('Données projet'!$B$9,Paramètres!$A$1:$I$89,5,0)</f>
        <v>45.92539188230522</v>
      </c>
      <c r="P20" s="13">
        <f t="shared" si="33"/>
        <v>13.556325295104831</v>
      </c>
      <c r="Q20" s="20">
        <f t="shared" si="2"/>
        <v>103.59732408398916</v>
      </c>
      <c r="R20" s="59">
        <f t="shared" si="0"/>
        <v>396.93065741732249</v>
      </c>
      <c r="S20" s="59">
        <f ca="1">AVERAGE(OFFSET($R$3,0,0,'Données projet'!$E$9+1,1))-AVERAGE(OFFSET($H$3,0,0,'Données projet'!$E$9+1,1))</f>
        <v>283.73369613548124</v>
      </c>
      <c r="T20" s="59">
        <f t="shared" si="34"/>
        <v>249.77804091581208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7.2264102564102561</v>
      </c>
      <c r="AI20" s="13">
        <f>IF('Données projet'!$A$62&gt;35,AI19+AH20-AQ19,IF(A20&lt;'Données projet'!$A$62,$AF$205^A20,IF(A20='Données projet'!$A$62,'Données projet'!$B$62,AI19+AH20-AQ19)))</f>
        <v>21.074544276434004</v>
      </c>
      <c r="AJ20" s="13">
        <f>AI20*VLOOKUP('Données projet'!$B$10,Paramètres!$A$1:$I$89,3,0)*VLOOKUP('Données projet'!$B$10,Paramètres!$A$1:$I$89,5,0)</f>
        <v>9.8628867213711136</v>
      </c>
      <c r="AK20" s="13">
        <f t="shared" si="35"/>
        <v>3.4822026296536168</v>
      </c>
      <c r="AL20" s="20">
        <f t="shared" si="4"/>
        <v>23.24269728636807</v>
      </c>
      <c r="AM20" s="59">
        <f t="shared" si="5"/>
        <v>316.57603061970138</v>
      </c>
      <c r="AN20" s="59">
        <f ca="1">AVERAGE(OFFSET($AM$3,0,0,'Données projet'!$E$10+1,1))-AVERAGE(OFFSET($H$3,0,0,'Données projet'!$E$10+1,1))</f>
        <v>205.73717397588365</v>
      </c>
      <c r="AO20" s="59">
        <f t="shared" si="36"/>
        <v>190.64998698136026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21.333333333333332</v>
      </c>
      <c r="BD20" s="12">
        <f>IF('Données projet'!$A$88&gt;35,BD19+BC20-BL19,IF(A20&lt;'Données projet'!$A$88,$BA$205^A20,IF(A20='Données projet'!$A$88,'Données projet'!$B$88,BD19+BC20-BL19)))</f>
        <v>163.66666666666671</v>
      </c>
      <c r="BE20" s="13">
        <f>BD20*VLOOKUP('Données projet'!$B$11,Paramètres!$A$1:$I$89,3,0)*VLOOKUP('Données projet'!$B$11,Paramètres!$A$1:$I$89,5,0)</f>
        <v>89.362000000000037</v>
      </c>
      <c r="BF20" s="13">
        <f t="shared" si="37"/>
        <v>24.411291106060958</v>
      </c>
      <c r="BG20" s="20">
        <f t="shared" si="7"/>
        <v>198.15514867638956</v>
      </c>
      <c r="BH20" s="59">
        <f t="shared" si="8"/>
        <v>491.48848200972287</v>
      </c>
      <c r="BI20" s="59">
        <f ca="1">AVERAGE(OFFSET($BH$3,0,0,'Données projet'!$E$11+1,1))-AVERAGE(OFFSET($H$3,0,0,'Données projet'!$E$11+1,1))</f>
        <v>159.92263609041913</v>
      </c>
      <c r="BJ20" s="59">
        <f t="shared" si="38"/>
        <v>271.78119133009307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20.937496424408529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20.937496424408529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4.0628205128205126</v>
      </c>
      <c r="BY20" s="12">
        <f>IF('Données projet'!$A$114&gt;35,BY19+BX20-CG19,IF(A20&lt;'Données projet'!$A$114,$BV$205^A20,IF(A20='Données projet'!$A$114,'Données projet'!$B$114,BY19+BX20-CG19)))</f>
        <v>15.206795479203771</v>
      </c>
      <c r="BZ20" s="13">
        <f>BY20*VLOOKUP('Données projet'!$B$12,Paramètres!$A$1:$I$89,3,0)*VLOOKUP('Données projet'!$B$12,Paramètres!$A$1:$I$89,5,0)</f>
        <v>13.759108549583573</v>
      </c>
      <c r="CA20" s="13">
        <f t="shared" si="39"/>
        <v>4.6731578539740832</v>
      </c>
      <c r="CB20" s="20">
        <f t="shared" si="10"/>
        <v>32.102863986196247</v>
      </c>
      <c r="CC20" s="59">
        <f t="shared" si="11"/>
        <v>325.43619731952958</v>
      </c>
      <c r="CD20" s="59">
        <f ca="1">AVERAGE(OFFSET($CC$3,0,0,'Données projet'!$E$12+1,1))-AVERAGE(OFFSET($H$3,0,0,'Données projet'!$E$12+1,1))</f>
        <v>280.25710840677186</v>
      </c>
      <c r="CE20" s="59">
        <f t="shared" si="40"/>
        <v>209.65224013288037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11.2</v>
      </c>
      <c r="CT20" s="12">
        <f>IF('Données projet'!$A$140&gt;35,CT19+CS20-DB19,IF(A20&lt;'Données projet'!$A$140,$CQ$205^A20,IF(A20='Données projet'!$A$140,'Données projet'!$B$140,CT19+CS20-DB19)))</f>
        <v>95.399999999999991</v>
      </c>
      <c r="CU20" s="17">
        <f>CT20*VLOOKUP('Données projet'!$B$13,Paramètres!$A$1:$I$89,3,0)*VLOOKUP('Données projet'!$B$13,Paramètres!$A$1:$I$89,5,0)</f>
        <v>99.71208</v>
      </c>
      <c r="CV20" s="13">
        <f t="shared" si="41"/>
        <v>26.893393072251083</v>
      </c>
      <c r="CW20" s="20">
        <f t="shared" si="13"/>
        <v>220.50453226750395</v>
      </c>
      <c r="CX20" s="59">
        <f t="shared" si="14"/>
        <v>513.83786560083729</v>
      </c>
      <c r="CY20" s="59">
        <f ca="1">AVERAGE(OFFSET($CX$3,0,0,'Données projet'!$E$13+1,1))-AVERAGE(OFFSET($H$3,0,0,'Données projet'!$E$13+1,1))</f>
        <v>330.14201227773452</v>
      </c>
      <c r="CZ20" s="59">
        <f t="shared" si="42"/>
        <v>307.07297894926467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6.7360323886639675</v>
      </c>
      <c r="N21" s="13">
        <f>IF('Données projet'!$A$36&gt;35,N20+M21-V20,IF(A21&lt;'Données projet'!$A$36,$K$205^A21,IF(A21='Données projet'!$A$36,'Données projet'!$B$36,N20+M21-V20)))</f>
        <v>99.141326918115112</v>
      </c>
      <c r="O21" s="13">
        <f>N21*VLOOKUP('Données projet'!$B$9,Paramètres!$A$1:$I$89,3,0)*VLOOKUP('Données projet'!$B$9,Paramètres!$A$1:$I$89,5,0)</f>
        <v>59.286513497032843</v>
      </c>
      <c r="P21" s="13">
        <f t="shared" si="33"/>
        <v>16.987751837061783</v>
      </c>
      <c r="Q21" s="20">
        <f t="shared" si="2"/>
        <v>132.84434545688146</v>
      </c>
      <c r="R21" s="59">
        <f t="shared" si="0"/>
        <v>426.17767879021477</v>
      </c>
      <c r="S21" s="59">
        <f ca="1">AVERAGE(OFFSET($R$3,0,0,'Données projet'!$E$9+1,1))-AVERAGE(OFFSET($H$3,0,0,'Données projet'!$E$9+1,1))</f>
        <v>283.73369613548124</v>
      </c>
      <c r="T21" s="59">
        <f t="shared" si="34"/>
        <v>249.77804091581208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7.2264102564102561</v>
      </c>
      <c r="AI21" s="13">
        <f>IF('Données projet'!$A$62&gt;35,AI20+AH21-AQ20,IF(A21&lt;'Données projet'!$A$62,$AF$205^A21,IF(A21='Données projet'!$A$62,'Données projet'!$B$62,AI20+AH21-AQ20)))</f>
        <v>25.213104335913162</v>
      </c>
      <c r="AJ21" s="13">
        <f>AI21*VLOOKUP('Données projet'!$B$10,Paramètres!$A$1:$I$89,3,0)*VLOOKUP('Données projet'!$B$10,Paramètres!$A$1:$I$89,5,0)</f>
        <v>11.799732829207361</v>
      </c>
      <c r="AK21" s="13">
        <f t="shared" si="35"/>
        <v>4.079982665155371</v>
      </c>
      <c r="AL21" s="20">
        <f t="shared" si="4"/>
        <v>27.657171152681755</v>
      </c>
      <c r="AM21" s="59">
        <f t="shared" si="5"/>
        <v>320.99050448601508</v>
      </c>
      <c r="AN21" s="59">
        <f ca="1">AVERAGE(OFFSET($AM$3,0,0,'Données projet'!$E$10+1,1))-AVERAGE(OFFSET($H$3,0,0,'Données projet'!$E$10+1,1))</f>
        <v>205.73717397588365</v>
      </c>
      <c r="AO21" s="59">
        <f t="shared" si="36"/>
        <v>190.64998698136026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projet'!$A$87:$I$107,2,0)</f>
        <v>185</v>
      </c>
      <c r="BB21" s="12">
        <f>VLOOKUP(A21,'Données projet'!$A$87:$I$107,9,0)</f>
        <v>21.333333333333332</v>
      </c>
      <c r="BC21" s="12">
        <f t="array" ref="BC21">INDEX(BB:BB,MIN(IF(ISNUMBER(BB21:BB217),ROW(BB21:BB217),"")))</f>
        <v>21.333333333333332</v>
      </c>
      <c r="BD21" s="12">
        <f>IF('Données projet'!$A$88&gt;35,BD20+BC21-BL20,IF(A21&lt;'Données projet'!$A$88,$BA$205^A21,IF(A21='Données projet'!$A$88,'Données projet'!$B$88,BD20+BC21-BL20)))</f>
        <v>185.00000000000006</v>
      </c>
      <c r="BE21" s="13">
        <f>BD21*VLOOKUP('Données projet'!$B$11,Paramètres!$A$1:$I$89,3,0)*VLOOKUP('Données projet'!$B$11,Paramètres!$A$1:$I$89,5,0)</f>
        <v>101.01000000000002</v>
      </c>
      <c r="BF21" s="13">
        <f t="shared" si="37"/>
        <v>27.202475209169602</v>
      </c>
      <c r="BG21" s="20">
        <f t="shared" si="7"/>
        <v>223.30339432263705</v>
      </c>
      <c r="BH21" s="59">
        <f t="shared" si="8"/>
        <v>516.63672765597039</v>
      </c>
      <c r="BI21" s="59">
        <f ca="1">AVERAGE(OFFSET($BH$3,0,0,'Données projet'!$E$11+1,1))-AVERAGE(OFFSET($H$3,0,0,'Données projet'!$E$11+1,1))</f>
        <v>159.92263609041913</v>
      </c>
      <c r="BJ21" s="59">
        <f t="shared" si="38"/>
        <v>271.78119133009307</v>
      </c>
      <c r="BK21" s="15">
        <f>IF(ISNA(VLOOKUP(A21,'Données projet'!$A$87:$I$107,3,0)),0,VLOOKUP(A21,'Données projet'!$A$87:$I$107,3,0))</f>
        <v>3</v>
      </c>
      <c r="BL21" s="15">
        <f>IF(ISNA(VLOOKUP(A21,'Données projet'!$A$87:$I$107,4,0)),0,VLOOKUP(A21,'Données projet'!$A$87:$I$107,4,0))</f>
        <v>61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0.48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41.489083737706416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41.489083737706416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4.0628205128205126</v>
      </c>
      <c r="BY21" s="12">
        <f>IF('Données projet'!$A$114&gt;35,BY20+BX21-CG20,IF(A21&lt;'Données projet'!$A$114,$BV$205^A21,IF(A21='Données projet'!$A$114,'Données projet'!$B$114,BY20+BX21-CG20)))</f>
        <v>17.847168942782186</v>
      </c>
      <c r="BZ21" s="13">
        <f>BY21*VLOOKUP('Données projet'!$B$12,Paramètres!$A$1:$I$89,3,0)*VLOOKUP('Données projet'!$B$12,Paramètres!$A$1:$I$89,5,0)</f>
        <v>16.148118459429323</v>
      </c>
      <c r="CA21" s="13">
        <f t="shared" si="39"/>
        <v>5.3833002038747271</v>
      </c>
      <c r="CB21" s="20">
        <f t="shared" si="10"/>
        <v>37.500554171921223</v>
      </c>
      <c r="CC21" s="59">
        <f t="shared" si="11"/>
        <v>330.83388750525455</v>
      </c>
      <c r="CD21" s="59">
        <f ca="1">AVERAGE(OFFSET($CC$3,0,0,'Données projet'!$E$12+1,1))-AVERAGE(OFFSET($H$3,0,0,'Données projet'!$E$12+1,1))</f>
        <v>280.25710840677186</v>
      </c>
      <c r="CE21" s="59">
        <f t="shared" si="40"/>
        <v>209.65224013288037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11.2</v>
      </c>
      <c r="CT21" s="12">
        <f>IF('Données projet'!$A$140&gt;35,CT20+CS21-DB20,IF(A21&lt;'Données projet'!$A$140,$CQ$205^A21,IF(A21='Données projet'!$A$140,'Données projet'!$B$140,CT20+CS21-DB20)))</f>
        <v>106.6</v>
      </c>
      <c r="CU21" s="17">
        <f>CT21*VLOOKUP('Données projet'!$B$13,Paramètres!$A$1:$I$89,3,0)*VLOOKUP('Données projet'!$B$13,Paramètres!$A$1:$I$89,5,0)</f>
        <v>111.41831999999999</v>
      </c>
      <c r="CV21" s="13">
        <f t="shared" si="41"/>
        <v>29.664902256268945</v>
      </c>
      <c r="CW21" s="20">
        <f t="shared" si="13"/>
        <v>245.71994542966834</v>
      </c>
      <c r="CX21" s="59">
        <f t="shared" si="14"/>
        <v>539.05327876300169</v>
      </c>
      <c r="CY21" s="59">
        <f ca="1">AVERAGE(OFFSET($CX$3,0,0,'Données projet'!$E$13+1,1))-AVERAGE(OFFSET($H$3,0,0,'Données projet'!$E$13+1,1))</f>
        <v>330.14201227773452</v>
      </c>
      <c r="CZ21" s="59">
        <f t="shared" si="42"/>
        <v>307.07297894926467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127.98461538461538</v>
      </c>
      <c r="L22" s="12">
        <f>VLOOKUP(A22,'Données projet'!$A$35:$I$55,9,0)</f>
        <v>6.7360323886639675</v>
      </c>
      <c r="M22" s="12">
        <f t="array" ref="M22">INDEX(L:L,MIN(IF(ISNUMBER(L22:L218),ROW(L22:L218),"")))</f>
        <v>6.7360323886639675</v>
      </c>
      <c r="N22" s="13">
        <f>IF('Données projet'!$A$36&gt;35,N21+M22-V21,IF(A22&lt;'Données projet'!$A$36,$K$205^A22,IF(A22='Données projet'!$A$36,'Données projet'!$B$36,N21+M22-V21)))</f>
        <v>127.98461538461538</v>
      </c>
      <c r="O22" s="13">
        <f>N22*VLOOKUP('Données projet'!$B$9,Paramètres!$A$1:$I$89,3,0)*VLOOKUP('Données projet'!$B$9,Paramètres!$A$1:$I$89,5,0)</f>
        <v>76.534800000000004</v>
      </c>
      <c r="P22" s="13">
        <f t="shared" si="33"/>
        <v>21.287753590702248</v>
      </c>
      <c r="Q22" s="20">
        <f t="shared" si="2"/>
        <v>170.37428083713976</v>
      </c>
      <c r="R22" s="59">
        <f t="shared" si="0"/>
        <v>463.70761417047311</v>
      </c>
      <c r="S22" s="59">
        <f ca="1">AVERAGE(OFFSET($R$3,0,0,'Données projet'!$E$9+1,1))-AVERAGE(OFFSET($H$3,0,0,'Données projet'!$E$9+1,1))</f>
        <v>283.73369613548124</v>
      </c>
      <c r="T22" s="59">
        <f t="shared" si="34"/>
        <v>249.77804091581208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46.53846153846154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9.2667777110813798</v>
      </c>
      <c r="AB22" s="21">
        <f>EXP(-LN(2)/2)*AB21+(1-EXP(-LN(2)/2))/(LN(2)/2)*V22*Y22*VLOOKUP('Données projet'!$B$9,Paramètres!$A$1:$I$89,3,0)*0.475*44/12</f>
        <v>13.864410929671079</v>
      </c>
      <c r="AC22" s="22">
        <f t="shared" si="3"/>
        <v>23.131188640752459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7.2264102564102561</v>
      </c>
      <c r="AI22" s="13">
        <f>IF('Données projet'!$A$62&gt;35,AI21+AH22-AQ21,IF(A22&lt;'Données projet'!$A$62,$AF$205^A22,IF(A22='Données projet'!$A$62,'Données projet'!$B$62,AI21+AH22-AQ21)))</f>
        <v>30.164383244315122</v>
      </c>
      <c r="AJ22" s="13">
        <f>AI22*VLOOKUP('Données projet'!$B$10,Paramètres!$A$1:$I$89,3,0)*VLOOKUP('Données projet'!$B$10,Paramètres!$A$1:$I$89,5,0)</f>
        <v>14.116931358339476</v>
      </c>
      <c r="AK22" s="13">
        <f t="shared" si="35"/>
        <v>4.7803819359082427</v>
      </c>
      <c r="AL22" s="20">
        <f t="shared" si="4"/>
        <v>32.912820654148106</v>
      </c>
      <c r="AM22" s="59">
        <f t="shared" si="5"/>
        <v>326.24615398748142</v>
      </c>
      <c r="AN22" s="59">
        <f ca="1">AVERAGE(OFFSET($AM$3,0,0,'Données projet'!$E$10+1,1))-AVERAGE(OFFSET($H$3,0,0,'Données projet'!$E$10+1,1))</f>
        <v>205.73717397588365</v>
      </c>
      <c r="AO22" s="59">
        <f t="shared" si="36"/>
        <v>190.64998698136026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19.166666666666668</v>
      </c>
      <c r="BD22" s="12">
        <f>IF('Données projet'!$A$88&gt;35,BD21+BC22-BL21,IF(A22&lt;'Données projet'!$A$88,$BA$205^A22,IF(A22='Données projet'!$A$88,'Données projet'!$B$88,BD21+BC22-BL21)))</f>
        <v>143.16666666666671</v>
      </c>
      <c r="BE22" s="13">
        <f>BD22*VLOOKUP('Données projet'!$B$11,Paramètres!$A$1:$I$89,3,0)*VLOOKUP('Données projet'!$B$11,Paramètres!$A$1:$I$89,5,0)</f>
        <v>78.169000000000025</v>
      </c>
      <c r="BF22" s="13">
        <f t="shared" si="37"/>
        <v>21.688893622970639</v>
      </c>
      <c r="BG22" s="20">
        <f t="shared" si="7"/>
        <v>173.9191647266739</v>
      </c>
      <c r="BH22" s="59">
        <f t="shared" si="8"/>
        <v>467.25249806000721</v>
      </c>
      <c r="BI22" s="59">
        <f ca="1">AVERAGE(OFFSET($BH$3,0,0,'Données projet'!$E$11+1,1))-AVERAGE(OFFSET($H$3,0,0,'Données projet'!$E$11+1,1))</f>
        <v>159.92263609041913</v>
      </c>
      <c r="BJ22" s="59">
        <f t="shared" si="38"/>
        <v>271.78119133009307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40.354562561082744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40.354562561082744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4.0628205128205126</v>
      </c>
      <c r="BY22" s="12">
        <f>IF('Données projet'!$A$114&gt;35,BY21+BX22-CG21,IF(A22&lt;'Données projet'!$A$114,$BV$205^A22,IF(A22='Données projet'!$A$114,'Données projet'!$B$114,BY21+BX22-CG21)))</f>
        <v>20.945993500590358</v>
      </c>
      <c r="BZ22" s="13">
        <f>BY22*VLOOKUP('Données projet'!$B$12,Paramètres!$A$1:$I$89,3,0)*VLOOKUP('Données projet'!$B$12,Paramètres!$A$1:$I$89,5,0)</f>
        <v>18.951934919334153</v>
      </c>
      <c r="CA22" s="13">
        <f t="shared" si="39"/>
        <v>6.2013571958398481</v>
      </c>
      <c r="CB22" s="20">
        <f t="shared" si="10"/>
        <v>43.808650433928051</v>
      </c>
      <c r="CC22" s="59">
        <f t="shared" si="11"/>
        <v>337.14198376726137</v>
      </c>
      <c r="CD22" s="59">
        <f ca="1">AVERAGE(OFFSET($CC$3,0,0,'Données projet'!$E$12+1,1))-AVERAGE(OFFSET($H$3,0,0,'Données projet'!$E$12+1,1))</f>
        <v>280.25710840677186</v>
      </c>
      <c r="CE22" s="59">
        <f t="shared" si="40"/>
        <v>209.65224013288037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11.2</v>
      </c>
      <c r="CT22" s="12">
        <f>IF('Données projet'!$A$140&gt;35,CT21+CS22-DB21,IF(A22&lt;'Données projet'!$A$140,$CQ$205^A22,IF(A22='Données projet'!$A$140,'Données projet'!$B$140,CT21+CS22-DB21)))</f>
        <v>117.8</v>
      </c>
      <c r="CU22" s="17">
        <f>CT22*VLOOKUP('Données projet'!$B$13,Paramètres!$A$1:$I$89,3,0)*VLOOKUP('Données projet'!$B$13,Paramètres!$A$1:$I$89,5,0)</f>
        <v>123.12456</v>
      </c>
      <c r="CV22" s="13">
        <f t="shared" si="41"/>
        <v>32.402657799061316</v>
      </c>
      <c r="CW22" s="20">
        <f t="shared" si="13"/>
        <v>270.87657100003173</v>
      </c>
      <c r="CX22" s="59">
        <f t="shared" si="14"/>
        <v>564.2099043333651</v>
      </c>
      <c r="CY22" s="59">
        <f ca="1">AVERAGE(OFFSET($CX$3,0,0,'Données projet'!$E$13+1,1))-AVERAGE(OFFSET($H$3,0,0,'Données projet'!$E$13+1,1))</f>
        <v>330.14201227773452</v>
      </c>
      <c r="CZ22" s="59">
        <f t="shared" si="42"/>
        <v>307.07297894926467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15.7</v>
      </c>
      <c r="N23" s="13">
        <f>IF('Données projet'!$A$36&gt;35,N22+M23-V22,IF(A23&lt;'Données projet'!$A$36,$K$205^A23,IF(A23='Données projet'!$A$36,'Données projet'!$B$36,N22+M23-V22)))</f>
        <v>97.146153846153823</v>
      </c>
      <c r="O23" s="13">
        <f>N23*VLOOKUP('Données projet'!$B$9,Paramètres!$A$1:$I$89,3,0)*VLOOKUP('Données projet'!$B$9,Paramètres!$A$1:$I$89,5,0)</f>
        <v>58.093399999999988</v>
      </c>
      <c r="P23" s="13">
        <f t="shared" si="33"/>
        <v>16.68531848887627</v>
      </c>
      <c r="Q23" s="20">
        <f t="shared" si="2"/>
        <v>130.23960136812613</v>
      </c>
      <c r="R23" s="59">
        <f t="shared" si="0"/>
        <v>423.57293470145942</v>
      </c>
      <c r="S23" s="59">
        <f ca="1">AVERAGE(OFFSET($R$3,0,0,'Données projet'!$E$9+1,1))-AVERAGE(OFFSET($H$3,0,0,'Données projet'!$E$9+1,1))</f>
        <v>283.73369613548124</v>
      </c>
      <c r="T23" s="59">
        <f t="shared" si="34"/>
        <v>249.77804091581208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9.0133771872531998</v>
      </c>
      <c r="AB23" s="21">
        <f>EXP(-LN(2)/2)*AB22+(1-EXP(-LN(2)/2))/(LN(2)/2)*V23*Y23*VLOOKUP('Données projet'!$B$9,Paramètres!$A$1:$I$89,3,0)*0.475*44/12</f>
        <v>9.8036189855273062</v>
      </c>
      <c r="AC23" s="22">
        <f t="shared" si="3"/>
        <v>18.816996172780506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7.2264102564102561</v>
      </c>
      <c r="AI23" s="13">
        <f>IF('Données projet'!$A$62&gt;35,AI22+AH23-AQ22,IF(A23&lt;'Données projet'!$A$62,$AF$205^A23,IF(A23='Données projet'!$A$62,'Données projet'!$B$62,AI22+AH23-AQ22)))</f>
        <v>36.0879804560157</v>
      </c>
      <c r="AJ23" s="13">
        <f>AI23*VLOOKUP('Données projet'!$B$10,Paramètres!$A$1:$I$89,3,0)*VLOOKUP('Données projet'!$B$10,Paramètres!$A$1:$I$89,5,0)</f>
        <v>16.889174853415348</v>
      </c>
      <c r="AK23" s="13">
        <f t="shared" si="35"/>
        <v>5.6010168004690764</v>
      </c>
      <c r="AL23" s="20">
        <f t="shared" si="4"/>
        <v>39.170417130515368</v>
      </c>
      <c r="AM23" s="59">
        <f t="shared" si="5"/>
        <v>332.50375046384869</v>
      </c>
      <c r="AN23" s="59">
        <f ca="1">AVERAGE(OFFSET($AM$3,0,0,'Données projet'!$E$10+1,1))-AVERAGE(OFFSET($H$3,0,0,'Données projet'!$E$10+1,1))</f>
        <v>205.73717397588365</v>
      </c>
      <c r="AO23" s="59">
        <f t="shared" si="36"/>
        <v>190.64998698136026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19.166666666666668</v>
      </c>
      <c r="BD23" s="12">
        <f>IF('Données projet'!$A$88&gt;35,BD22+BC23-BL22,IF(A23&lt;'Données projet'!$A$88,$BA$205^A23,IF(A23='Données projet'!$A$88,'Données projet'!$B$88,BD22+BC23-BL22)))</f>
        <v>162.33333333333337</v>
      </c>
      <c r="BE23" s="13">
        <f>BD23*VLOOKUP('Données projet'!$B$11,Paramètres!$A$1:$I$89,3,0)*VLOOKUP('Données projet'!$B$11,Paramètres!$A$1:$I$89,5,0)</f>
        <v>88.634000000000015</v>
      </c>
      <c r="BF23" s="13">
        <f t="shared" si="37"/>
        <v>24.235486014796273</v>
      </c>
      <c r="BG23" s="20">
        <f t="shared" si="7"/>
        <v>196.58102147577017</v>
      </c>
      <c r="BH23" s="59">
        <f t="shared" si="8"/>
        <v>489.91435480910349</v>
      </c>
      <c r="BI23" s="59">
        <f ca="1">AVERAGE(OFFSET($BH$3,0,0,'Données projet'!$E$11+1,1))-AVERAGE(OFFSET($H$3,0,0,'Données projet'!$E$11+1,1))</f>
        <v>159.92263609041913</v>
      </c>
      <c r="BJ23" s="59">
        <f t="shared" si="38"/>
        <v>271.78119133009307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39.251064925695722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39.251064925695722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4.0628205128205126</v>
      </c>
      <c r="BY23" s="12">
        <f>IF('Données projet'!$A$114&gt;35,BY22+BX23-CG22,IF(A23&lt;'Données projet'!$A$114,$BV$205^A23,IF(A23='Données projet'!$A$114,'Données projet'!$B$114,BY22+BX23-CG22)))</f>
        <v>24.582870545650774</v>
      </c>
      <c r="BZ23" s="13">
        <f>BY23*VLOOKUP('Données projet'!$B$12,Paramètres!$A$1:$I$89,3,0)*VLOOKUP('Données projet'!$B$12,Paramètres!$A$1:$I$89,5,0)</f>
        <v>22.242581269704818</v>
      </c>
      <c r="CA23" s="13">
        <f t="shared" si="39"/>
        <v>7.1437277532311274</v>
      </c>
      <c r="CB23" s="20">
        <f t="shared" si="10"/>
        <v>51.181154881613445</v>
      </c>
      <c r="CC23" s="59">
        <f t="shared" si="11"/>
        <v>344.51448821494677</v>
      </c>
      <c r="CD23" s="59">
        <f ca="1">AVERAGE(OFFSET($CC$3,0,0,'Données projet'!$E$12+1,1))-AVERAGE(OFFSET($H$3,0,0,'Données projet'!$E$12+1,1))</f>
        <v>280.25710840677186</v>
      </c>
      <c r="CE23" s="59">
        <f t="shared" si="40"/>
        <v>209.65224013288037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129</v>
      </c>
      <c r="CR23" s="12">
        <f>VLOOKUP(A23,'Données projet'!$A$139:$I$159,9,0)</f>
        <v>11.2</v>
      </c>
      <c r="CS23" s="12">
        <f t="array" ref="CS23">INDEX(CR:CR,MIN(IF(ISNUMBER(CR23:CR219),ROW(CR23:CR219),"")))</f>
        <v>11.2</v>
      </c>
      <c r="CT23" s="12">
        <f>IF('Données projet'!$A$140&gt;35,CT22+CS23-DB22,IF(A23&lt;'Données projet'!$A$140,$CQ$205^A23,IF(A23='Données projet'!$A$140,'Données projet'!$B$140,CT22+CS23-DB22)))</f>
        <v>129</v>
      </c>
      <c r="CU23" s="17">
        <f>CT23*VLOOKUP('Données projet'!$B$13,Paramètres!$A$1:$I$89,3,0)*VLOOKUP('Données projet'!$B$13,Paramètres!$A$1:$I$89,5,0)</f>
        <v>134.83080000000001</v>
      </c>
      <c r="CV23" s="13">
        <f t="shared" si="41"/>
        <v>35.110233978560416</v>
      </c>
      <c r="CW23" s="20">
        <f t="shared" si="13"/>
        <v>295.98063417932605</v>
      </c>
      <c r="CX23" s="59">
        <f t="shared" si="14"/>
        <v>589.31396751265936</v>
      </c>
      <c r="CY23" s="59">
        <f ca="1">AVERAGE(OFFSET($CX$3,0,0,'Données projet'!$E$13+1,1))-AVERAGE(OFFSET($H$3,0,0,'Données projet'!$E$13+1,1))</f>
        <v>330.14201227773452</v>
      </c>
      <c r="CZ23" s="59">
        <f t="shared" si="42"/>
        <v>307.07297894926467</v>
      </c>
      <c r="DA23" s="15">
        <f>IF(ISNA(VLOOKUP(A23,'Données projet'!$A$139:$I$159,3,0)),0,VLOOKUP(A23,'Données projet'!$A$139:$I$159,3,0))</f>
        <v>1</v>
      </c>
      <c r="DB23" s="15" t="str">
        <f>IF(ISNA(VLOOKUP(A23,'Données projet'!$A$139:$I$159,4,0)),0,VLOOKUP(A23,'Données projet'!$A$139:$I$159,4,0))</f>
        <v>54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15.7</v>
      </c>
      <c r="N24" s="13">
        <f>IF('Données projet'!$A$36&gt;35,N23+M24-V23,IF(A24&lt;'Données projet'!$A$36,$K$205^A24,IF(A24='Données projet'!$A$36,'Données projet'!$B$36,N23+M24-V23)))</f>
        <v>112.84615384615383</v>
      </c>
      <c r="O24" s="13">
        <f>N24*VLOOKUP('Données projet'!$B$9,Paramètres!$A$1:$I$89,3,0)*VLOOKUP('Données projet'!$B$9,Paramètres!$A$1:$I$89,5,0)</f>
        <v>67.481999999999985</v>
      </c>
      <c r="P24" s="13">
        <f t="shared" si="33"/>
        <v>19.046822454976283</v>
      </c>
      <c r="Q24" s="20">
        <f t="shared" si="2"/>
        <v>150.70436577575032</v>
      </c>
      <c r="R24" s="59">
        <f t="shared" si="0"/>
        <v>444.03769910908363</v>
      </c>
      <c r="S24" s="59">
        <f ca="1">AVERAGE(OFFSET($R$3,0,0,'Données projet'!$E$9+1,1))-AVERAGE(OFFSET($H$3,0,0,'Données projet'!$E$9+1,1))</f>
        <v>283.73369613548124</v>
      </c>
      <c r="T24" s="59">
        <f t="shared" si="34"/>
        <v>249.77804091581208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8.7669059140748544</v>
      </c>
      <c r="AB24" s="21">
        <f>EXP(-LN(2)/2)*AB23+(1-EXP(-LN(2)/2))/(LN(2)/2)*V24*Y24*VLOOKUP('Données projet'!$B$9,Paramètres!$A$1:$I$89,3,0)*0.475*44/12</f>
        <v>6.9322054648355405</v>
      </c>
      <c r="AC24" s="22">
        <f t="shared" si="3"/>
        <v>15.699111378910395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7.2264102564102561</v>
      </c>
      <c r="AI24" s="13">
        <f>IF('Données projet'!$A$62&gt;35,AI23+AH24-AQ23,IF(A24&lt;'Données projet'!$A$62,$AF$205^A24,IF(A24='Données projet'!$A$62,'Données projet'!$B$62,AI23+AH24-AQ23)))</f>
        <v>43.17483711984115</v>
      </c>
      <c r="AJ24" s="13">
        <f>AI24*VLOOKUP('Données projet'!$B$10,Paramètres!$A$1:$I$89,3,0)*VLOOKUP('Données projet'!$B$10,Paramètres!$A$1:$I$89,5,0)</f>
        <v>20.205823772085658</v>
      </c>
      <c r="AK24" s="13">
        <f t="shared" si="35"/>
        <v>6.5625277686471071</v>
      </c>
      <c r="AL24" s="20">
        <f t="shared" si="4"/>
        <v>46.621545600109563</v>
      </c>
      <c r="AM24" s="59">
        <f t="shared" si="5"/>
        <v>339.9548789334429</v>
      </c>
      <c r="AN24" s="59">
        <f ca="1">AVERAGE(OFFSET($AM$3,0,0,'Données projet'!$E$10+1,1))-AVERAGE(OFFSET($H$3,0,0,'Données projet'!$E$10+1,1))</f>
        <v>205.73717397588365</v>
      </c>
      <c r="AO24" s="59">
        <f t="shared" si="36"/>
        <v>190.64998698136026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19.166666666666668</v>
      </c>
      <c r="BD24" s="12">
        <f>IF('Données projet'!$A$88&gt;35,BD23+BC24-BL23,IF(A24&lt;'Données projet'!$A$88,$BA$205^A24,IF(A24='Données projet'!$A$88,'Données projet'!$B$88,BD23+BC24-BL23)))</f>
        <v>181.50000000000003</v>
      </c>
      <c r="BE24" s="13">
        <f>BD24*VLOOKUP('Données projet'!$B$11,Paramètres!$A$1:$I$89,3,0)*VLOOKUP('Données projet'!$B$11,Paramètres!$A$1:$I$89,5,0)</f>
        <v>99.099000000000004</v>
      </c>
      <c r="BF24" s="13">
        <f t="shared" si="37"/>
        <v>26.747233784597075</v>
      </c>
      <c r="BG24" s="20">
        <f t="shared" si="7"/>
        <v>219.18219050817322</v>
      </c>
      <c r="BH24" s="59">
        <f t="shared" si="8"/>
        <v>512.51552384150659</v>
      </c>
      <c r="BI24" s="59">
        <f ca="1">AVERAGE(OFFSET($BH$3,0,0,'Données projet'!$E$11+1,1))-AVERAGE(OFFSET($H$3,0,0,'Données projet'!$E$11+1,1))</f>
        <v>159.92263609041913</v>
      </c>
      <c r="BJ24" s="59">
        <f t="shared" si="38"/>
        <v>271.78119133009307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38.177742491178776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38.177742491178776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4.0628205128205126</v>
      </c>
      <c r="BY24" s="12">
        <f>IF('Données projet'!$A$114&gt;35,BY23+BX24-CG23,IF(A24&lt;'Données projet'!$A$114,$BV$205^A24,IF(A24='Données projet'!$A$114,'Données projet'!$B$114,BY23+BX24-CG23)))</f>
        <v>28.851222752799568</v>
      </c>
      <c r="BZ24" s="13">
        <f>BY24*VLOOKUP('Données projet'!$B$12,Paramètres!$A$1:$I$89,3,0)*VLOOKUP('Données projet'!$B$12,Paramètres!$A$1:$I$89,5,0)</f>
        <v>26.104586346733051</v>
      </c>
      <c r="CA24" s="13">
        <f t="shared" si="39"/>
        <v>8.2293028123778775</v>
      </c>
      <c r="CB24" s="20">
        <f t="shared" si="10"/>
        <v>59.798190285451518</v>
      </c>
      <c r="CC24" s="59">
        <f t="shared" si="11"/>
        <v>353.13152361878485</v>
      </c>
      <c r="CD24" s="59">
        <f ca="1">AVERAGE(OFFSET($CC$3,0,0,'Données projet'!$E$12+1,1))-AVERAGE(OFFSET($H$3,0,0,'Données projet'!$E$12+1,1))</f>
        <v>280.25710840677186</v>
      </c>
      <c r="CE24" s="59">
        <f t="shared" si="40"/>
        <v>209.65224013288037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10.199999999999999</v>
      </c>
      <c r="CT24" s="12">
        <f>IF('Données projet'!$A$140&gt;35,CT23+CS24-DB23,IF(A24&lt;'Données projet'!$A$140,$CQ$205^A24,IF(A24='Données projet'!$A$140,'Données projet'!$B$140,CT23+CS24-DB23)))</f>
        <v>85.199999999999989</v>
      </c>
      <c r="CU24" s="17">
        <f>CT24*VLOOKUP('Données projet'!$B$13,Paramètres!$A$1:$I$89,3,0)*VLOOKUP('Données projet'!$B$13,Paramètres!$A$1:$I$89,5,0)</f>
        <v>89.05104</v>
      </c>
      <c r="CV24" s="13">
        <f t="shared" si="41"/>
        <v>24.336217692365963</v>
      </c>
      <c r="CW24" s="20">
        <f t="shared" si="13"/>
        <v>197.48280714753739</v>
      </c>
      <c r="CX24" s="59">
        <f t="shared" si="14"/>
        <v>490.81614048087067</v>
      </c>
      <c r="CY24" s="59">
        <f ca="1">AVERAGE(OFFSET($CX$3,0,0,'Données projet'!$E$13+1,1))-AVERAGE(OFFSET($H$3,0,0,'Données projet'!$E$13+1,1))</f>
        <v>330.14201227773452</v>
      </c>
      <c r="CZ24" s="59">
        <f t="shared" si="42"/>
        <v>307.07297894926467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15.7</v>
      </c>
      <c r="N25" s="13">
        <f>IF('Données projet'!$A$36&gt;35,N24+M25-V24,IF(A25&lt;'Données projet'!$A$36,$K$205^A25,IF(A25='Données projet'!$A$36,'Données projet'!$B$36,N24+M25-V24)))</f>
        <v>128.54615384615383</v>
      </c>
      <c r="O25" s="13">
        <f>N25*VLOOKUP('Données projet'!$B$9,Paramètres!$A$1:$I$89,3,0)*VLOOKUP('Données projet'!$B$9,Paramètres!$A$1:$I$89,5,0)</f>
        <v>76.870599999999996</v>
      </c>
      <c r="P25" s="13">
        <f t="shared" si="33"/>
        <v>21.370261683634599</v>
      </c>
      <c r="Q25" s="20">
        <f t="shared" si="2"/>
        <v>171.10283409899691</v>
      </c>
      <c r="R25" s="59">
        <f t="shared" si="0"/>
        <v>464.43616743233019</v>
      </c>
      <c r="S25" s="59">
        <f ca="1">AVERAGE(OFFSET($R$3,0,0,'Données projet'!$E$9+1,1))-AVERAGE(OFFSET($H$3,0,0,'Données projet'!$E$9+1,1))</f>
        <v>283.73369613548124</v>
      </c>
      <c r="T25" s="59">
        <f t="shared" si="34"/>
        <v>249.77804091581208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8.5271744108229317</v>
      </c>
      <c r="AB25" s="21">
        <f>EXP(-LN(2)/2)*AB24+(1-EXP(-LN(2)/2))/(LN(2)/2)*V25*Y25*VLOOKUP('Données projet'!$B$9,Paramètres!$A$1:$I$89,3,0)*0.475*44/12</f>
        <v>4.901809492763654</v>
      </c>
      <c r="AC25" s="22">
        <f t="shared" si="3"/>
        <v>13.428983903586586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7.2264102564102561</v>
      </c>
      <c r="AI25" s="13">
        <f>IF('Données projet'!$A$62&gt;35,AI24+AH25-AQ24,IF(A25&lt;'Données projet'!$A$62,$AF$205^A25,IF(A25='Données projet'!$A$62,'Données projet'!$B$62,AI24+AH25-AQ24)))</f>
        <v>51.653390873361616</v>
      </c>
      <c r="AJ25" s="13">
        <f>AI25*VLOOKUP('Données projet'!$B$10,Paramètres!$A$1:$I$89,3,0)*VLOOKUP('Données projet'!$B$10,Paramètres!$A$1:$I$89,5,0)</f>
        <v>24.173786928733236</v>
      </c>
      <c r="AK25" s="13">
        <f t="shared" si="35"/>
        <v>7.6890986491341353</v>
      </c>
      <c r="AL25" s="20">
        <f t="shared" si="4"/>
        <v>55.494525714785674</v>
      </c>
      <c r="AM25" s="59">
        <f t="shared" si="5"/>
        <v>348.82785904811897</v>
      </c>
      <c r="AN25" s="59">
        <f ca="1">AVERAGE(OFFSET($AM$3,0,0,'Données projet'!$E$10+1,1))-AVERAGE(OFFSET($H$3,0,0,'Données projet'!$E$10+1,1))</f>
        <v>205.73717397588365</v>
      </c>
      <c r="AO25" s="59">
        <f t="shared" si="36"/>
        <v>190.64998698136026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19.166666666666668</v>
      </c>
      <c r="BD25" s="12">
        <f>IF('Données projet'!$A$88&gt;35,BD24+BC25-BL24,IF(A25&lt;'Données projet'!$A$88,$BA$205^A25,IF(A25='Données projet'!$A$88,'Données projet'!$B$88,BD24+BC25-BL24)))</f>
        <v>200.66666666666669</v>
      </c>
      <c r="BE25" s="13">
        <f>BD25*VLOOKUP('Données projet'!$B$11,Paramètres!$A$1:$I$89,3,0)*VLOOKUP('Données projet'!$B$11,Paramètres!$A$1:$I$89,5,0)</f>
        <v>109.56400000000001</v>
      </c>
      <c r="BF25" s="13">
        <f t="shared" si="37"/>
        <v>29.228235839881371</v>
      </c>
      <c r="BG25" s="20">
        <f t="shared" si="7"/>
        <v>241.72981075446003</v>
      </c>
      <c r="BH25" s="59">
        <f t="shared" si="8"/>
        <v>535.06314408779338</v>
      </c>
      <c r="BI25" s="59">
        <f ca="1">AVERAGE(OFFSET($BH$3,0,0,'Données projet'!$E$11+1,1))-AVERAGE(OFFSET($H$3,0,0,'Données projet'!$E$11+1,1))</f>
        <v>159.92263609041913</v>
      </c>
      <c r="BJ25" s="59">
        <f t="shared" si="38"/>
        <v>271.78119133009307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37.133770115077269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37.133770115077269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4.0628205128205126</v>
      </c>
      <c r="BY25" s="12">
        <f>IF('Données projet'!$A$114&gt;35,BY24+BX25-CG24,IF(A25&lt;'Données projet'!$A$114,$BV$205^A25,IF(A25='Données projet'!$A$114,'Données projet'!$B$114,BY24+BX25-CG24)))</f>
        <v>33.860693883812012</v>
      </c>
      <c r="BZ25" s="13">
        <f>BY25*VLOOKUP('Données projet'!$B$12,Paramètres!$A$1:$I$89,3,0)*VLOOKUP('Données projet'!$B$12,Paramètres!$A$1:$I$89,5,0)</f>
        <v>30.637155826073108</v>
      </c>
      <c r="CA25" s="13">
        <f t="shared" si="39"/>
        <v>9.4798440138175533</v>
      </c>
      <c r="CB25" s="20">
        <f t="shared" si="10"/>
        <v>69.870441387809549</v>
      </c>
      <c r="CC25" s="59">
        <f t="shared" si="11"/>
        <v>363.20377472114285</v>
      </c>
      <c r="CD25" s="59">
        <f ca="1">AVERAGE(OFFSET($CC$3,0,0,'Données projet'!$E$12+1,1))-AVERAGE(OFFSET($H$3,0,0,'Données projet'!$E$12+1,1))</f>
        <v>280.25710840677186</v>
      </c>
      <c r="CE25" s="59">
        <f t="shared" si="40"/>
        <v>209.65224013288037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10.199999999999999</v>
      </c>
      <c r="CT25" s="12">
        <f>IF('Données projet'!$A$140&gt;35,CT24+CS25-DB24,IF(A25&lt;'Données projet'!$A$140,$CQ$205^A25,IF(A25='Données projet'!$A$140,'Données projet'!$B$140,CT24+CS25-DB24)))</f>
        <v>95.399999999999991</v>
      </c>
      <c r="CU25" s="17">
        <f>CT25*VLOOKUP('Données projet'!$B$13,Paramètres!$A$1:$I$89,3,0)*VLOOKUP('Données projet'!$B$13,Paramètres!$A$1:$I$89,5,0)</f>
        <v>99.71208</v>
      </c>
      <c r="CV25" s="13">
        <f t="shared" si="41"/>
        <v>26.893393072251083</v>
      </c>
      <c r="CW25" s="20">
        <f t="shared" si="13"/>
        <v>220.50453226750395</v>
      </c>
      <c r="CX25" s="59">
        <f t="shared" si="14"/>
        <v>513.83786560083729</v>
      </c>
      <c r="CY25" s="59">
        <f ca="1">AVERAGE(OFFSET($CX$3,0,0,'Données projet'!$E$13+1,1))-AVERAGE(OFFSET($H$3,0,0,'Données projet'!$E$13+1,1))</f>
        <v>330.14201227773452</v>
      </c>
      <c r="CZ25" s="59">
        <f t="shared" si="42"/>
        <v>307.07297894926467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</v>
      </c>
      <c r="N26" s="13">
        <f>IF('Données projet'!$A$36&gt;35,N25+M26-V25,IF(A26&lt;'Données projet'!$A$36,$K$205^A26,IF(A26='Données projet'!$A$36,'Données projet'!$B$36,N25+M26-V25)))</f>
        <v>144.24615384615382</v>
      </c>
      <c r="O26" s="13">
        <f>N26*VLOOKUP('Données projet'!$B$9,Paramètres!$A$1:$I$89,3,0)*VLOOKUP('Données projet'!$B$9,Paramètres!$A$1:$I$89,5,0)</f>
        <v>86.259199999999993</v>
      </c>
      <c r="P26" s="13">
        <f t="shared" si="33"/>
        <v>23.660817147545782</v>
      </c>
      <c r="Q26" s="20">
        <f t="shared" si="2"/>
        <v>191.44402986530886</v>
      </c>
      <c r="R26" s="59">
        <f t="shared" si="0"/>
        <v>484.77736319864221</v>
      </c>
      <c r="S26" s="59">
        <f ca="1">AVERAGE(OFFSET($R$3,0,0,'Données projet'!$E$9+1,1))-AVERAGE(OFFSET($H$3,0,0,'Données projet'!$E$9+1,1))</f>
        <v>283.73369613548124</v>
      </c>
      <c r="T26" s="59">
        <f t="shared" si="34"/>
        <v>249.77804091581208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8.2939983781343649</v>
      </c>
      <c r="AB26" s="21">
        <f>EXP(-LN(2)/2)*AB25+(1-EXP(-LN(2)/2))/(LN(2)/2)*V26*Y26*VLOOKUP('Données projet'!$B$9,Paramètres!$A$1:$I$89,3,0)*0.475*44/12</f>
        <v>3.4661027324177707</v>
      </c>
      <c r="AC26" s="22">
        <f t="shared" si="3"/>
        <v>11.760101110552135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7.2264102564102561</v>
      </c>
      <c r="AI26" s="13">
        <f>IF('Données projet'!$A$62&gt;35,AI25+AH26-AQ25,IF(A26&lt;'Données projet'!$A$62,$AF$205^A26,IF(A26='Données projet'!$A$62,'Données projet'!$B$62,AI25+AH26-AQ25)))</f>
        <v>61.796939298472864</v>
      </c>
      <c r="AJ26" s="13">
        <f>AI26*VLOOKUP('Données projet'!$B$10,Paramètres!$A$1:$I$89,3,0)*VLOOKUP('Données projet'!$B$10,Paramètres!$A$1:$I$89,5,0)</f>
        <v>28.920967591685301</v>
      </c>
      <c r="AK26" s="13">
        <f t="shared" si="35"/>
        <v>9.0090648177637647</v>
      </c>
      <c r="AL26" s="20">
        <f t="shared" si="4"/>
        <v>66.061473113123796</v>
      </c>
      <c r="AM26" s="59">
        <f t="shared" si="5"/>
        <v>359.3948064464571</v>
      </c>
      <c r="AN26" s="59">
        <f ca="1">AVERAGE(OFFSET($AM$3,0,0,'Données projet'!$E$10+1,1))-AVERAGE(OFFSET($H$3,0,0,'Données projet'!$E$10+1,1))</f>
        <v>205.73717397588365</v>
      </c>
      <c r="AO26" s="59">
        <f t="shared" si="36"/>
        <v>190.64998698136026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19.166666666666668</v>
      </c>
      <c r="BD26" s="12">
        <f>IF('Données projet'!$A$88&gt;35,BD25+BC26-BL25,IF(A26&lt;'Données projet'!$A$88,$BA$205^A26,IF(A26='Données projet'!$A$88,'Données projet'!$B$88,BD25+BC26-BL25)))</f>
        <v>219.83333333333334</v>
      </c>
      <c r="BE26" s="13">
        <f>BD26*VLOOKUP('Données projet'!$B$11,Paramètres!$A$1:$I$89,3,0)*VLOOKUP('Données projet'!$B$11,Paramètres!$A$1:$I$89,5,0)</f>
        <v>120.029</v>
      </c>
      <c r="BF26" s="13">
        <f t="shared" si="37"/>
        <v>31.68176297276506</v>
      </c>
      <c r="BG26" s="20">
        <f t="shared" si="7"/>
        <v>264.22957884423249</v>
      </c>
      <c r="BH26" s="59">
        <f t="shared" si="8"/>
        <v>557.56291217756575</v>
      </c>
      <c r="BI26" s="59">
        <f ca="1">AVERAGE(OFFSET($BH$3,0,0,'Données projet'!$E$11+1,1))-AVERAGE(OFFSET($H$3,0,0,'Données projet'!$E$11+1,1))</f>
        <v>159.92263609041913</v>
      </c>
      <c r="BJ26" s="59">
        <f t="shared" si="38"/>
        <v>271.78119133009307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36.11834521850038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36.11834521850038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4.0628205128205126</v>
      </c>
      <c r="BY26" s="12">
        <f>IF('Données projet'!$A$114&gt;35,BY25+BX26-CG25,IF(A26&lt;'Données projet'!$A$114,$BV$205^A26,IF(A26='Données projet'!$A$114,'Données projet'!$B$114,BY25+BX26-CG25)))</f>
        <v>39.739965273463824</v>
      </c>
      <c r="BZ26" s="13">
        <f>BY26*VLOOKUP('Données projet'!$B$12,Paramètres!$A$1:$I$89,3,0)*VLOOKUP('Données projet'!$B$12,Paramètres!$A$1:$I$89,5,0)</f>
        <v>35.956720579430062</v>
      </c>
      <c r="CA26" s="13">
        <f t="shared" si="39"/>
        <v>10.920419940209383</v>
      </c>
      <c r="CB26" s="20">
        <f t="shared" si="10"/>
        <v>81.644353071705368</v>
      </c>
      <c r="CC26" s="59">
        <f t="shared" si="11"/>
        <v>374.9776864050387</v>
      </c>
      <c r="CD26" s="59">
        <f ca="1">AVERAGE(OFFSET($CC$3,0,0,'Données projet'!$E$12+1,1))-AVERAGE(OFFSET($H$3,0,0,'Données projet'!$E$12+1,1))</f>
        <v>280.25710840677186</v>
      </c>
      <c r="CE26" s="59">
        <f t="shared" si="40"/>
        <v>209.65224013288037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10.199999999999999</v>
      </c>
      <c r="CT26" s="12">
        <f>IF('Données projet'!$A$140&gt;35,CT25+CS26-DB25,IF(A26&lt;'Données projet'!$A$140,$CQ$205^A26,IF(A26='Données projet'!$A$140,'Données projet'!$B$140,CT25+CS26-DB25)))</f>
        <v>105.6</v>
      </c>
      <c r="CU26" s="17">
        <f>CT26*VLOOKUP('Données projet'!$B$13,Paramètres!$A$1:$I$89,3,0)*VLOOKUP('Données projet'!$B$13,Paramètres!$A$1:$I$89,5,0)</f>
        <v>110.37312</v>
      </c>
      <c r="CV26" s="13">
        <f t="shared" si="41"/>
        <v>29.418877221958358</v>
      </c>
      <c r="CW26" s="20">
        <f t="shared" si="13"/>
        <v>243.47106182824413</v>
      </c>
      <c r="CX26" s="59">
        <f t="shared" si="14"/>
        <v>536.80439516157742</v>
      </c>
      <c r="CY26" s="59">
        <f ca="1">AVERAGE(OFFSET($CX$3,0,0,'Données projet'!$E$13+1,1))-AVERAGE(OFFSET($H$3,0,0,'Données projet'!$E$13+1,1))</f>
        <v>330.14201227773452</v>
      </c>
      <c r="CZ26" s="59">
        <f t="shared" si="42"/>
        <v>307.07297894926467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159.94615384615383</v>
      </c>
      <c r="L27" s="12">
        <f>VLOOKUP(A27,'Données projet'!$A$35:$I$55,9,0)</f>
        <v>15.7</v>
      </c>
      <c r="M27" s="12">
        <f t="array" ref="M27">INDEX(L:L,MIN(IF(ISNUMBER(L27:L223),ROW(L27:L223),"")))</f>
        <v>15.7</v>
      </c>
      <c r="N27" s="13">
        <f>IF('Données projet'!$A$36&gt;35,N26+M27-V26,IF(A27&lt;'Données projet'!$A$36,$K$205^A27,IF(A27='Données projet'!$A$36,'Données projet'!$B$36,N26+M27-V26)))</f>
        <v>159.94615384615381</v>
      </c>
      <c r="O27" s="13">
        <f>N27*VLOOKUP('Données projet'!$B$9,Paramètres!$A$1:$I$89,3,0)*VLOOKUP('Données projet'!$B$9,Paramètres!$A$1:$I$89,5,0)</f>
        <v>95.647799999999989</v>
      </c>
      <c r="P27" s="13">
        <f t="shared" si="33"/>
        <v>25.922476046044615</v>
      </c>
      <c r="Q27" s="20">
        <f t="shared" si="2"/>
        <v>211.73489744686097</v>
      </c>
      <c r="R27" s="59">
        <f t="shared" si="0"/>
        <v>505.06823078019431</v>
      </c>
      <c r="S27" s="59">
        <f ca="1">AVERAGE(OFFSET($R$3,0,0,'Données projet'!$E$9+1,1))-AVERAGE(OFFSET($H$3,0,0,'Données projet'!$E$9+1,1))</f>
        <v>283.73369613548124</v>
      </c>
      <c r="T27" s="59">
        <f t="shared" si="34"/>
        <v>249.77804091581208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40.41538461538461</v>
      </c>
      <c r="W27" s="16">
        <f>IF(ISNA(VLOOKUP(A27,'Données projet'!$A$35:$I$55,5,0)),0%,VLOOKUP(A27,'Données projet'!$A$35:$I$55,5,0)*VLOOKUP('Données projet'!$B$9,Paramètres!$A$1:$I$89,7,0))</f>
        <v>0.315</v>
      </c>
      <c r="X27" s="16">
        <f>IF(ISNA(VLOOKUP(A27,'Données projet'!$A$35:$I$55,6,0)),0%,VLOOKUP(A27,'Données projet'!$A$35:$I$55,6,0)*VLOOKUP('Données projet'!$B$9,Paramètres!$A$1:$I$89,7,0))</f>
        <v>7.5600000000000001E-2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10.099196221226169</v>
      </c>
      <c r="AA27" s="21">
        <f>EXP(-LN(2)/25)*AA26+(1-EXP(-LN(2)/25))/(LN(2)/25)*Calculateur!V27*Calculateur!X27*VLOOKUP('Données projet'!$B$9,Paramètres!$A$1:$I$89,3,0)*0.475*44/12</f>
        <v>10.481462197347724</v>
      </c>
      <c r="AB27" s="21">
        <f>EXP(-LN(2)/2)*AB26+(1-EXP(-LN(2)/2))/(LN(2)/2)*V27*Y27*VLOOKUP('Données projet'!$B$9,Paramètres!$A$1:$I$89,3,0)*0.475*44/12</f>
        <v>6.0629848302409268</v>
      </c>
      <c r="AC27" s="22">
        <f t="shared" si="3"/>
        <v>26.643643248814818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7.2264102564102561</v>
      </c>
      <c r="AI27" s="13">
        <f>IF('Données projet'!$A$62&gt;35,AI26+AH27-AQ26,IF(A27&lt;'Données projet'!$A$62,$AF$205^A27,IF(A27='Données projet'!$A$62,'Données projet'!$B$62,AI26+AH27-AQ26)))</f>
        <v>73.932449391789717</v>
      </c>
      <c r="AJ27" s="13">
        <f>AI27*VLOOKUP('Données projet'!$B$10,Paramètres!$A$1:$I$89,3,0)*VLOOKUP('Données projet'!$B$10,Paramètres!$A$1:$I$89,5,0)</f>
        <v>34.600386315357589</v>
      </c>
      <c r="AK27" s="13">
        <f t="shared" si="35"/>
        <v>10.555625905490055</v>
      </c>
      <c r="AL27" s="20">
        <f t="shared" si="4"/>
        <v>78.646721284642979</v>
      </c>
      <c r="AM27" s="59">
        <f t="shared" si="5"/>
        <v>371.98005461797629</v>
      </c>
      <c r="AN27" s="59">
        <f ca="1">AVERAGE(OFFSET($AM$3,0,0,'Données projet'!$E$10+1,1))-AVERAGE(OFFSET($H$3,0,0,'Données projet'!$E$10+1,1))</f>
        <v>205.73717397588365</v>
      </c>
      <c r="AO27" s="59">
        <f t="shared" si="36"/>
        <v>190.64998698136026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239</v>
      </c>
      <c r="BB27" s="12">
        <f>VLOOKUP(A27,'Données projet'!$A$87:$I$107,9,0)</f>
        <v>19.166666666666668</v>
      </c>
      <c r="BC27" s="12">
        <f t="array" ref="BC27">INDEX(BB:BB,MIN(IF(ISNUMBER(BB27:BB223),ROW(BB27:BB223),"")))</f>
        <v>19.166666666666668</v>
      </c>
      <c r="BD27" s="12">
        <f>IF('Données projet'!$A$88&gt;35,BD26+BC27-BL26,IF(A27&lt;'Données projet'!$A$88,$BA$205^A27,IF(A27='Données projet'!$A$88,'Données projet'!$B$88,BD26+BC27-BL26)))</f>
        <v>239</v>
      </c>
      <c r="BE27" s="13">
        <f>BD27*VLOOKUP('Données projet'!$B$11,Paramètres!$A$1:$I$89,3,0)*VLOOKUP('Données projet'!$B$11,Paramètres!$A$1:$I$89,5,0)</f>
        <v>130.494</v>
      </c>
      <c r="BF27" s="13">
        <f t="shared" si="37"/>
        <v>34.110483018610772</v>
      </c>
      <c r="BG27" s="20">
        <f t="shared" si="7"/>
        <v>286.68614125741374</v>
      </c>
      <c r="BH27" s="59">
        <f t="shared" si="8"/>
        <v>580.019474590747</v>
      </c>
      <c r="BI27" s="59">
        <f ca="1">AVERAGE(OFFSET($BH$3,0,0,'Données projet'!$E$11+1,1))-AVERAGE(OFFSET($H$3,0,0,'Données projet'!$E$11+1,1))</f>
        <v>159.92263609041913</v>
      </c>
      <c r="BJ27" s="59">
        <f t="shared" si="38"/>
        <v>271.78119133009307</v>
      </c>
      <c r="BK27" s="15">
        <f>IF(ISNA(VLOOKUP(A27,'Données projet'!$A$87:$I$107,3,0)),0,VLOOKUP(A27,'Données projet'!$A$87:$I$107,3,0))</f>
        <v>4</v>
      </c>
      <c r="BL27" s="15">
        <f>IF(ISNA(VLOOKUP(A27,'Données projet'!$A$87:$I$107,4,0)),0,VLOOKUP(A27,'Données projet'!$A$87:$I$107,4,0))</f>
        <v>84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0.48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64.219645158342004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64.219645158342004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4.0628205128205126</v>
      </c>
      <c r="BY27" s="12">
        <f>IF('Données projet'!$A$114&gt;35,BY26+BX27-CG26,IF(A27&lt;'Données projet'!$A$114,$BV$205^A27,IF(A27='Données projet'!$A$114,'Données projet'!$B$114,BY26+BX27-CG26)))</f>
        <v>46.640061345320483</v>
      </c>
      <c r="BZ27" s="13">
        <f>BY27*VLOOKUP('Données projet'!$B$12,Paramètres!$A$1:$I$89,3,0)*VLOOKUP('Données projet'!$B$12,Paramètres!$A$1:$I$89,5,0)</f>
        <v>42.199927505245967</v>
      </c>
      <c r="CA27" s="13">
        <f t="shared" si="39"/>
        <v>12.579908645827834</v>
      </c>
      <c r="CB27" s="20">
        <f t="shared" si="10"/>
        <v>95.408214629786869</v>
      </c>
      <c r="CC27" s="59">
        <f t="shared" si="11"/>
        <v>388.74154796312018</v>
      </c>
      <c r="CD27" s="59">
        <f ca="1">AVERAGE(OFFSET($CC$3,0,0,'Données projet'!$E$12+1,1))-AVERAGE(OFFSET($H$3,0,0,'Données projet'!$E$12+1,1))</f>
        <v>280.25710840677186</v>
      </c>
      <c r="CE27" s="59">
        <f t="shared" si="40"/>
        <v>209.65224013288037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10.199999999999999</v>
      </c>
      <c r="CT27" s="12">
        <f>IF('Données projet'!$A$140&gt;35,CT26+CS27-DB26,IF(A27&lt;'Données projet'!$A$140,$CQ$205^A27,IF(A27='Données projet'!$A$140,'Données projet'!$B$140,CT26+CS27-DB26)))</f>
        <v>115.8</v>
      </c>
      <c r="CU27" s="17">
        <f>CT27*VLOOKUP('Données projet'!$B$13,Paramètres!$A$1:$I$89,3,0)*VLOOKUP('Données projet'!$B$13,Paramètres!$A$1:$I$89,5,0)</f>
        <v>121.03416</v>
      </c>
      <c r="CV27" s="13">
        <f t="shared" si="41"/>
        <v>31.916079538986775</v>
      </c>
      <c r="CW27" s="20">
        <f t="shared" si="13"/>
        <v>266.38833386373528</v>
      </c>
      <c r="CX27" s="59">
        <f t="shared" si="14"/>
        <v>559.72166719706865</v>
      </c>
      <c r="CY27" s="59">
        <f ca="1">AVERAGE(OFFSET($CX$3,0,0,'Données projet'!$E$13+1,1))-AVERAGE(OFFSET($H$3,0,0,'Données projet'!$E$13+1,1))</f>
        <v>330.14201227773452</v>
      </c>
      <c r="CZ27" s="59">
        <f t="shared" si="42"/>
        <v>307.07297894926467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16.020512820512824</v>
      </c>
      <c r="N28" s="13">
        <f>IF('Données projet'!$A$36&gt;35,N27+M28-V27,IF(A28&lt;'Données projet'!$A$36,$K$205^A28,IF(A28='Données projet'!$A$36,'Données projet'!$B$36,N27+M28-V27)))</f>
        <v>135.55128205128204</v>
      </c>
      <c r="O28" s="13">
        <f>N28*VLOOKUP('Données projet'!$B$9,Paramètres!$A$1:$I$89,3,0)*VLOOKUP('Données projet'!$B$9,Paramètres!$A$1:$I$89,5,0)</f>
        <v>81.059666666666672</v>
      </c>
      <c r="P28" s="13">
        <f t="shared" si="33"/>
        <v>22.396079377742645</v>
      </c>
      <c r="Q28" s="20">
        <f t="shared" si="2"/>
        <v>180.18542436067958</v>
      </c>
      <c r="R28" s="59">
        <f t="shared" si="0"/>
        <v>473.51875769401289</v>
      </c>
      <c r="S28" s="59">
        <f ca="1">AVERAGE(OFFSET($R$3,0,0,'Données projet'!$E$9+1,1))-AVERAGE(OFFSET($H$3,0,0,'Données projet'!$E$9+1,1))</f>
        <v>283.73369613548124</v>
      </c>
      <c r="T28" s="59">
        <f t="shared" si="34"/>
        <v>249.77804091581208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9.9011571432293799</v>
      </c>
      <c r="AA28" s="21">
        <f>EXP(-LN(2)/25)*AA27+(1-EXP(-LN(2)/25))/(LN(2)/25)*Calculateur!V28*Calculateur!X28*VLOOKUP('Données projet'!$B$9,Paramètres!$A$1:$I$89,3,0)*0.475*44/12</f>
        <v>10.19484606236511</v>
      </c>
      <c r="AB28" s="21">
        <f>EXP(-LN(2)/2)*AB27+(1-EXP(-LN(2)/2))/(LN(2)/2)*V28*Y28*VLOOKUP('Données projet'!$B$9,Paramètres!$A$1:$I$89,3,0)*0.475*44/12</f>
        <v>4.2871776876945287</v>
      </c>
      <c r="AC28" s="22">
        <f t="shared" si="3"/>
        <v>24.383180893289023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7.2264102564102561</v>
      </c>
      <c r="AI28" s="13">
        <f>IF('Données projet'!$A$62&gt;35,AI27+AH28-AQ27,IF(A28&lt;'Données projet'!$A$62,$AF$205^A28,IF(A28='Données projet'!$A$62,'Données projet'!$B$62,AI27+AH28-AQ27)))</f>
        <v>88.451097014195071</v>
      </c>
      <c r="AJ28" s="13">
        <f>AI28*VLOOKUP('Données projet'!$B$10,Paramètres!$A$1:$I$89,3,0)*VLOOKUP('Données projet'!$B$10,Paramètres!$A$1:$I$89,5,0)</f>
        <v>41.39511340264329</v>
      </c>
      <c r="AK28" s="13">
        <f t="shared" si="35"/>
        <v>12.367680831528276</v>
      </c>
      <c r="AL28" s="20">
        <f t="shared" si="4"/>
        <v>93.636866624515463</v>
      </c>
      <c r="AM28" s="59">
        <f t="shared" si="5"/>
        <v>386.97019995784876</v>
      </c>
      <c r="AN28" s="59">
        <f ca="1">AVERAGE(OFFSET($AM$3,0,0,'Données projet'!$E$10+1,1))-AVERAGE(OFFSET($H$3,0,0,'Données projet'!$E$10+1,1))</f>
        <v>205.73717397588365</v>
      </c>
      <c r="AO28" s="59">
        <f t="shared" si="36"/>
        <v>190.64998698136026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16.666666666666668</v>
      </c>
      <c r="BD28" s="12">
        <f>IF('Données projet'!$A$88&gt;35,BD27+BC28-BL27,IF(A28&lt;'Données projet'!$A$88,$BA$205^A28,IF(A28='Données projet'!$A$88,'Données projet'!$B$88,BD27+BC28-BL27)))</f>
        <v>171.66666666666666</v>
      </c>
      <c r="BE28" s="13">
        <f>BD28*VLOOKUP('Données projet'!$B$11,Paramètres!$A$1:$I$89,3,0)*VLOOKUP('Données projet'!$B$11,Paramètres!$A$1:$I$89,5,0)</f>
        <v>93.72999999999999</v>
      </c>
      <c r="BF28" s="13">
        <f t="shared" si="37"/>
        <v>25.462674063925309</v>
      </c>
      <c r="BG28" s="20">
        <f t="shared" si="7"/>
        <v>207.59390732800321</v>
      </c>
      <c r="BH28" s="59">
        <f t="shared" si="8"/>
        <v>500.92724066133655</v>
      </c>
      <c r="BI28" s="59">
        <f ca="1">AVERAGE(OFFSET($BH$3,0,0,'Données projet'!$E$11+1,1))-AVERAGE(OFFSET($H$3,0,0,'Données projet'!$E$11+1,1))</f>
        <v>159.92263609041913</v>
      </c>
      <c r="BJ28" s="59">
        <f t="shared" si="38"/>
        <v>271.78119133009307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62.463555584322776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62.463555584322776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4.0628205128205126</v>
      </c>
      <c r="BY28" s="12">
        <f>IF('Données projet'!$A$114&gt;35,BY27+BX28-CG27,IF(A28&lt;'Données projet'!$A$114,$BV$205^A28,IF(A28='Données projet'!$A$114,'Données projet'!$B$114,BY27+BX28-CG27)))</f>
        <v>54.738229068051083</v>
      </c>
      <c r="BZ28" s="13">
        <f>BY28*VLOOKUP('Données projet'!$B$12,Paramètres!$A$1:$I$89,3,0)*VLOOKUP('Données projet'!$B$12,Paramètres!$A$1:$I$89,5,0)</f>
        <v>49.527149660772622</v>
      </c>
      <c r="CA28" s="13">
        <f t="shared" si="39"/>
        <v>14.49157655143614</v>
      </c>
      <c r="CB28" s="20">
        <f t="shared" si="10"/>
        <v>111.49928148626357</v>
      </c>
      <c r="CC28" s="59">
        <f t="shared" si="11"/>
        <v>404.83261481959687</v>
      </c>
      <c r="CD28" s="59">
        <f ca="1">AVERAGE(OFFSET($CC$3,0,0,'Données projet'!$E$12+1,1))-AVERAGE(OFFSET($H$3,0,0,'Données projet'!$E$12+1,1))</f>
        <v>280.25710840677186</v>
      </c>
      <c r="CE28" s="59">
        <f t="shared" si="40"/>
        <v>209.65224013288037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126</v>
      </c>
      <c r="CR28" s="12">
        <f>VLOOKUP(A28,'Données projet'!$A$139:$I$159,9,0)</f>
        <v>10.199999999999999</v>
      </c>
      <c r="CS28" s="12">
        <f t="array" ref="CS28">INDEX(CR:CR,MIN(IF(ISNUMBER(CR28:CR224),ROW(CR28:CR224),"")))</f>
        <v>10.199999999999999</v>
      </c>
      <c r="CT28" s="12">
        <f>IF('Données projet'!$A$140&gt;35,CT27+CS28-DB27,IF(A28&lt;'Données projet'!$A$140,$CQ$205^A28,IF(A28='Données projet'!$A$140,'Données projet'!$B$140,CT27+CS28-DB27)))</f>
        <v>126</v>
      </c>
      <c r="CU28" s="17">
        <f>CT28*VLOOKUP('Données projet'!$B$13,Paramètres!$A$1:$I$89,3,0)*VLOOKUP('Données projet'!$B$13,Paramètres!$A$1:$I$89,5,0)</f>
        <v>131.6952</v>
      </c>
      <c r="CV28" s="13">
        <f t="shared" si="41"/>
        <v>34.387774432362242</v>
      </c>
      <c r="CW28" s="20">
        <f t="shared" si="13"/>
        <v>289.26118046969754</v>
      </c>
      <c r="CX28" s="59">
        <f t="shared" si="14"/>
        <v>582.59451380303085</v>
      </c>
      <c r="CY28" s="59">
        <f ca="1">AVERAGE(OFFSET($CX$3,0,0,'Données projet'!$E$13+1,1))-AVERAGE(OFFSET($H$3,0,0,'Données projet'!$E$13+1,1))</f>
        <v>330.14201227773452</v>
      </c>
      <c r="CZ28" s="59">
        <f t="shared" si="42"/>
        <v>307.07297894926467</v>
      </c>
      <c r="DA28" s="15">
        <f>IF(ISNA(VLOOKUP(A28,'Données projet'!$A$139:$I$159,3,0)),0,VLOOKUP(A28,'Données projet'!$A$139:$I$159,3,0))</f>
        <v>2</v>
      </c>
      <c r="DB28" s="15" t="str">
        <f>IF(ISNA(VLOOKUP(A28,'Données projet'!$A$139:$I$159,4,0)),0,VLOOKUP(A28,'Données projet'!$A$139:$I$159,4,0))</f>
        <v>26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16.020512820512824</v>
      </c>
      <c r="N29" s="13">
        <f>IF('Données projet'!$A$36&gt;35,N28+M29-V28,IF(A29&lt;'Données projet'!$A$36,$K$205^A29,IF(A29='Données projet'!$A$36,'Données projet'!$B$36,N28+M29-V28)))</f>
        <v>151.57179487179488</v>
      </c>
      <c r="O29" s="13">
        <f>N29*VLOOKUP('Données projet'!$B$9,Paramètres!$A$1:$I$89,3,0)*VLOOKUP('Données projet'!$B$9,Paramètres!$A$1:$I$89,5,0)</f>
        <v>90.639933333333346</v>
      </c>
      <c r="P29" s="13">
        <f t="shared" si="33"/>
        <v>24.719497804626467</v>
      </c>
      <c r="Q29" s="20">
        <f t="shared" si="2"/>
        <v>200.91767589861334</v>
      </c>
      <c r="R29" s="59">
        <f t="shared" si="0"/>
        <v>494.25100923194668</v>
      </c>
      <c r="S29" s="59">
        <f ca="1">AVERAGE(OFFSET($R$3,0,0,'Données projet'!$E$9+1,1))-AVERAGE(OFFSET($H$3,0,0,'Données projet'!$E$9+1,1))</f>
        <v>283.73369613548124</v>
      </c>
      <c r="T29" s="59">
        <f t="shared" si="34"/>
        <v>249.77804091581208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9.7070014907601969</v>
      </c>
      <c r="AA29" s="21">
        <f>EXP(-LN(2)/25)*AA28+(1-EXP(-LN(2)/25))/(LN(2)/25)*Calculateur!V29*Calculateur!X29*VLOOKUP('Données projet'!$B$9,Paramètres!$A$1:$I$89,3,0)*0.475*44/12</f>
        <v>9.916067460666083</v>
      </c>
      <c r="AB29" s="21">
        <f>EXP(-LN(2)/2)*AB28+(1-EXP(-LN(2)/2))/(LN(2)/2)*V29*Y29*VLOOKUP('Données projet'!$B$9,Paramètres!$A$1:$I$89,3,0)*0.475*44/12</f>
        <v>3.0314924151204639</v>
      </c>
      <c r="AC29" s="22">
        <f t="shared" si="3"/>
        <v>22.654561366546744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7.2264102564102561</v>
      </c>
      <c r="AI29" s="13">
        <f>IF('Données projet'!$A$62&gt;35,AI28+AH29-AQ28,IF(A29&lt;'Données projet'!$A$62,$AF$205^A29,IF(A29='Données projet'!$A$62,'Données projet'!$B$62,AI28+AH29-AQ28)))</f>
        <v>105.82087604801265</v>
      </c>
      <c r="AJ29" s="13">
        <f>AI29*VLOOKUP('Données projet'!$B$10,Paramètres!$A$1:$I$89,3,0)*VLOOKUP('Données projet'!$B$10,Paramètres!$A$1:$I$89,5,0)</f>
        <v>49.524169990469915</v>
      </c>
      <c r="AK29" s="13">
        <f t="shared" si="35"/>
        <v>14.490806184311312</v>
      </c>
      <c r="AL29" s="20">
        <f t="shared" si="4"/>
        <v>111.4927501710773</v>
      </c>
      <c r="AM29" s="59">
        <f t="shared" si="5"/>
        <v>404.82608350441063</v>
      </c>
      <c r="AN29" s="59">
        <f ca="1">AVERAGE(OFFSET($AM$3,0,0,'Données projet'!$E$10+1,1))-AVERAGE(OFFSET($H$3,0,0,'Données projet'!$E$10+1,1))</f>
        <v>205.73717397588365</v>
      </c>
      <c r="AO29" s="59">
        <f t="shared" si="36"/>
        <v>190.64998698136026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16.666666666666668</v>
      </c>
      <c r="BD29" s="12">
        <f>IF('Données projet'!$A$88&gt;35,BD28+BC29-BL28,IF(A29&lt;'Données projet'!$A$88,$BA$205^A29,IF(A29='Données projet'!$A$88,'Données projet'!$B$88,BD28+BC29-BL28)))</f>
        <v>188.33333333333331</v>
      </c>
      <c r="BE29" s="13">
        <f>BD29*VLOOKUP('Données projet'!$B$11,Paramètres!$A$1:$I$89,3,0)*VLOOKUP('Données projet'!$B$11,Paramètres!$A$1:$I$89,5,0)</f>
        <v>102.83</v>
      </c>
      <c r="BF29" s="13">
        <f t="shared" si="37"/>
        <v>27.635107084401234</v>
      </c>
      <c r="BG29" s="20">
        <f t="shared" si="7"/>
        <v>227.22672817199881</v>
      </c>
      <c r="BH29" s="59">
        <f t="shared" si="8"/>
        <v>520.5600615053321</v>
      </c>
      <c r="BI29" s="59">
        <f ca="1">AVERAGE(OFFSET($BH$3,0,0,'Données projet'!$E$11+1,1))-AVERAGE(OFFSET($H$3,0,0,'Données projet'!$E$11+1,1))</f>
        <v>159.92263609041913</v>
      </c>
      <c r="BJ29" s="59">
        <f t="shared" si="38"/>
        <v>271.78119133009307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60.755486372053845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60.755486372053845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4.0628205128205126</v>
      </c>
      <c r="BY29" s="12">
        <f>IF('Données projet'!$A$114&gt;35,BY28+BX29-CG28,IF(A29&lt;'Données projet'!$A$114,$BV$205^A29,IF(A29='Données projet'!$A$114,'Données projet'!$B$114,BY28+BX29-CG28)))</f>
        <v>64.242491006222849</v>
      </c>
      <c r="BZ29" s="13">
        <f>BY29*VLOOKUP('Données projet'!$B$12,Paramètres!$A$1:$I$89,3,0)*VLOOKUP('Données projet'!$B$12,Paramètres!$A$1:$I$89,5,0)</f>
        <v>58.126605862430431</v>
      </c>
      <c r="CA29" s="13">
        <f t="shared" si="39"/>
        <v>16.69374530917462</v>
      </c>
      <c r="CB29" s="20">
        <f t="shared" si="10"/>
        <v>130.31211162387879</v>
      </c>
      <c r="CC29" s="59">
        <f t="shared" si="11"/>
        <v>423.64544495721213</v>
      </c>
      <c r="CD29" s="59">
        <f ca="1">AVERAGE(OFFSET($CC$3,0,0,'Données projet'!$E$12+1,1))-AVERAGE(OFFSET($H$3,0,0,'Données projet'!$E$12+1,1))</f>
        <v>280.25710840677186</v>
      </c>
      <c r="CE29" s="59">
        <f t="shared" si="40"/>
        <v>209.65224013288037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109.80000000000001</v>
      </c>
      <c r="CU29" s="17">
        <f>CT29*VLOOKUP('Données projet'!$B$13,Paramètres!$A$1:$I$89,3,0)*VLOOKUP('Données projet'!$B$13,Paramètres!$A$1:$I$89,5,0)</f>
        <v>114.76296000000004</v>
      </c>
      <c r="CV29" s="13">
        <f t="shared" si="41"/>
        <v>30.450391685635733</v>
      </c>
      <c r="CW29" s="20">
        <f t="shared" si="13"/>
        <v>252.91325418581559</v>
      </c>
      <c r="CX29" s="59">
        <f t="shared" si="14"/>
        <v>546.24658751914887</v>
      </c>
      <c r="CY29" s="59">
        <f ca="1">AVERAGE(OFFSET($CX$3,0,0,'Données projet'!$E$13+1,1))-AVERAGE(OFFSET($H$3,0,0,'Données projet'!$E$13+1,1))</f>
        <v>330.14201227773452</v>
      </c>
      <c r="CZ29" s="59">
        <f t="shared" si="42"/>
        <v>307.07297894926467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16.020512820512824</v>
      </c>
      <c r="N30" s="13">
        <f>IF('Données projet'!$A$36&gt;35,N29+M30-V29,IF(A30&lt;'Données projet'!$A$36,$K$205^A30,IF(A30='Données projet'!$A$36,'Données projet'!$B$36,N29+M30-V29)))</f>
        <v>167.59230769230771</v>
      </c>
      <c r="O30" s="13">
        <f>N30*VLOOKUP('Données projet'!$B$9,Paramètres!$A$1:$I$89,3,0)*VLOOKUP('Données projet'!$B$9,Paramètres!$A$1:$I$89,5,0)</f>
        <v>100.22020000000002</v>
      </c>
      <c r="P30" s="13">
        <f t="shared" si="33"/>
        <v>27.014450444334749</v>
      </c>
      <c r="Q30" s="20">
        <f t="shared" si="2"/>
        <v>221.60034952388301</v>
      </c>
      <c r="R30" s="59">
        <f t="shared" si="0"/>
        <v>514.93368285721635</v>
      </c>
      <c r="S30" s="59">
        <f ca="1">AVERAGE(OFFSET($R$3,0,0,'Données projet'!$E$9+1,1))-AVERAGE(OFFSET($H$3,0,0,'Données projet'!$E$9+1,1))</f>
        <v>283.73369613548124</v>
      </c>
      <c r="T30" s="59">
        <f t="shared" si="34"/>
        <v>249.77804091581208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9.5166531122126798</v>
      </c>
      <c r="AA30" s="21">
        <f>EXP(-LN(2)/25)*AA29+(1-EXP(-LN(2)/25))/(LN(2)/25)*Calculateur!V30*Calculateur!X30*VLOOKUP('Données projet'!$B$9,Paramètres!$A$1:$I$89,3,0)*0.475*44/12</f>
        <v>9.6449120744908452</v>
      </c>
      <c r="AB30" s="21">
        <f>EXP(-LN(2)/2)*AB29+(1-EXP(-LN(2)/2))/(LN(2)/2)*V30*Y30*VLOOKUP('Données projet'!$B$9,Paramètres!$A$1:$I$89,3,0)*0.475*44/12</f>
        <v>2.1435888438472643</v>
      </c>
      <c r="AC30" s="22">
        <f t="shared" si="3"/>
        <v>21.305154030550792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7.2264102564102561</v>
      </c>
      <c r="AI30" s="13">
        <f>IF('Données projet'!$A$62&gt;35,AI29+AH30-AQ29,IF(A30&lt;'Données projet'!$A$62,$AF$205^A30,IF(A30='Données projet'!$A$62,'Données projet'!$B$62,AI29+AH30-AQ29)))</f>
        <v>126.60168370519743</v>
      </c>
      <c r="AJ30" s="13">
        <f>AI30*VLOOKUP('Données projet'!$B$10,Paramètres!$A$1:$I$89,3,0)*VLOOKUP('Données projet'!$B$10,Paramètres!$A$1:$I$89,5,0)</f>
        <v>59.249587974032401</v>
      </c>
      <c r="AK30" s="13">
        <f t="shared" si="35"/>
        <v>16.97840255838226</v>
      </c>
      <c r="AL30" s="20">
        <f t="shared" si="4"/>
        <v>132.76375017728887</v>
      </c>
      <c r="AM30" s="59">
        <f t="shared" si="5"/>
        <v>426.09708351062216</v>
      </c>
      <c r="AN30" s="59">
        <f ca="1">AVERAGE(OFFSET($AM$3,0,0,'Données projet'!$E$10+1,1))-AVERAGE(OFFSET($H$3,0,0,'Données projet'!$E$10+1,1))</f>
        <v>205.73717397588365</v>
      </c>
      <c r="AO30" s="59">
        <f t="shared" si="36"/>
        <v>190.64998698136026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16.666666666666668</v>
      </c>
      <c r="BD30" s="12">
        <f>IF('Données projet'!$A$88&gt;35,BD29+BC30-BL29,IF(A30&lt;'Données projet'!$A$88,$BA$205^A30,IF(A30='Données projet'!$A$88,'Données projet'!$B$88,BD29+BC30-BL29)))</f>
        <v>204.99999999999997</v>
      </c>
      <c r="BE30" s="13">
        <f>BD30*VLOOKUP('Données projet'!$B$11,Paramètres!$A$1:$I$89,3,0)*VLOOKUP('Données projet'!$B$11,Paramètres!$A$1:$I$89,5,0)</f>
        <v>111.92999999999998</v>
      </c>
      <c r="BF30" s="13">
        <f t="shared" si="37"/>
        <v>29.785246291563833</v>
      </c>
      <c r="BG30" s="20">
        <f t="shared" si="7"/>
        <v>246.82072062447358</v>
      </c>
      <c r="BH30" s="59">
        <f t="shared" si="8"/>
        <v>540.15405395780692</v>
      </c>
      <c r="BI30" s="59">
        <f ca="1">AVERAGE(OFFSET($BH$3,0,0,'Données projet'!$E$11+1,1))-AVERAGE(OFFSET($H$3,0,0,'Données projet'!$E$11+1,1))</f>
        <v>159.92263609041913</v>
      </c>
      <c r="BJ30" s="59">
        <f t="shared" si="38"/>
        <v>271.78119133009307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59.094124402217865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59.094124402217865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4.0628205128205126</v>
      </c>
      <c r="BY30" s="12">
        <f>IF('Données projet'!$A$114&gt;35,BY29+BX30-CG29,IF(A30&lt;'Données projet'!$A$114,$BV$205^A30,IF(A30='Données projet'!$A$114,'Données projet'!$B$114,BY29+BX30-CG29)))</f>
        <v>75.396988922564091</v>
      </c>
      <c r="BZ30" s="13">
        <f>BY30*VLOOKUP('Données projet'!$B$12,Paramètres!$A$1:$I$89,3,0)*VLOOKUP('Données projet'!$B$12,Paramètres!$A$1:$I$89,5,0)</f>
        <v>68.219195577135991</v>
      </c>
      <c r="CA30" s="13">
        <f t="shared" si="39"/>
        <v>19.230560005562129</v>
      </c>
      <c r="CB30" s="20">
        <f t="shared" si="10"/>
        <v>152.30832430653254</v>
      </c>
      <c r="CC30" s="59">
        <f t="shared" si="11"/>
        <v>445.64165763986585</v>
      </c>
      <c r="CD30" s="59">
        <f ca="1">AVERAGE(OFFSET($CC$3,0,0,'Données projet'!$E$12+1,1))-AVERAGE(OFFSET($H$3,0,0,'Données projet'!$E$12+1,1))</f>
        <v>280.25710840677186</v>
      </c>
      <c r="CE30" s="59">
        <f t="shared" si="40"/>
        <v>209.65224013288037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119.60000000000001</v>
      </c>
      <c r="CU30" s="17">
        <f>CT30*VLOOKUP('Données projet'!$B$13,Paramètres!$A$1:$I$89,3,0)*VLOOKUP('Données projet'!$B$13,Paramètres!$A$1:$I$89,5,0)</f>
        <v>125.00592000000002</v>
      </c>
      <c r="CV30" s="13">
        <f t="shared" si="41"/>
        <v>32.839756328142556</v>
      </c>
      <c r="CW30" s="20">
        <f t="shared" si="13"/>
        <v>274.91455293818166</v>
      </c>
      <c r="CX30" s="59">
        <f t="shared" si="14"/>
        <v>568.24788627151497</v>
      </c>
      <c r="CY30" s="59">
        <f ca="1">AVERAGE(OFFSET($CX$3,0,0,'Données projet'!$E$13+1,1))-AVERAGE(OFFSET($H$3,0,0,'Données projet'!$E$13+1,1))</f>
        <v>330.14201227773452</v>
      </c>
      <c r="CZ30" s="59">
        <f t="shared" si="42"/>
        <v>307.07297894926467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16.020512820512824</v>
      </c>
      <c r="N31" s="13">
        <f>IF('Données projet'!$A$36&gt;35,N30+M31-V30,IF(A31&lt;'Données projet'!$A$36,$K$205^A31,IF(A31='Données projet'!$A$36,'Données projet'!$B$36,N30+M31-V30)))</f>
        <v>183.61282051282055</v>
      </c>
      <c r="O31" s="13">
        <f>N31*VLOOKUP('Données projet'!$B$9,Paramètres!$A$1:$I$89,3,0)*VLOOKUP('Données projet'!$B$9,Paramètres!$A$1:$I$89,5,0)</f>
        <v>109.80046666666669</v>
      </c>
      <c r="P31" s="13">
        <f t="shared" si="33"/>
        <v>29.283967996494283</v>
      </c>
      <c r="Q31" s="20">
        <f t="shared" si="2"/>
        <v>242.23872370500536</v>
      </c>
      <c r="R31" s="59">
        <f t="shared" si="0"/>
        <v>535.5720570383387</v>
      </c>
      <c r="S31" s="59">
        <f ca="1">AVERAGE(OFFSET($R$3,0,0,'Données projet'!$E$9+1,1))-AVERAGE(OFFSET($H$3,0,0,'Données projet'!$E$9+1,1))</f>
        <v>283.73369613548124</v>
      </c>
      <c r="T31" s="59">
        <f t="shared" si="34"/>
        <v>249.77804091581208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9.3300373492674318</v>
      </c>
      <c r="AA31" s="21">
        <f>EXP(-LN(2)/25)*AA30+(1-EXP(-LN(2)/25))/(LN(2)/25)*Calculateur!V31*Calculateur!X31*VLOOKUP('Données projet'!$B$9,Paramètres!$A$1:$I$89,3,0)*0.475*44/12</f>
        <v>9.3811714466100113</v>
      </c>
      <c r="AB31" s="21">
        <f>EXP(-LN(2)/2)*AB30+(1-EXP(-LN(2)/2))/(LN(2)/2)*V31*Y31*VLOOKUP('Données projet'!$B$9,Paramètres!$A$1:$I$89,3,0)*0.475*44/12</f>
        <v>1.5157462075602319</v>
      </c>
      <c r="AC31" s="22">
        <f t="shared" si="3"/>
        <v>20.226955003437673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7.2264102564102561</v>
      </c>
      <c r="AI31" s="13">
        <f>IF('Données projet'!$A$62&gt;35,AI30+AH31-AQ30,IF(A31&lt;'Données projet'!$A$62,$AF$205^A31,IF(A31='Données projet'!$A$62,'Données projet'!$B$62,AI30+AH31-AQ30)))</f>
        <v>151.46336824615491</v>
      </c>
      <c r="AJ31" s="13">
        <f>AI31*VLOOKUP('Données projet'!$B$10,Paramètres!$A$1:$I$89,3,0)*VLOOKUP('Données projet'!$B$10,Paramètres!$A$1:$I$89,5,0)</f>
        <v>70.884856339200496</v>
      </c>
      <c r="AK31" s="13">
        <f t="shared" si="35"/>
        <v>19.893037679751526</v>
      </c>
      <c r="AL31" s="20">
        <f t="shared" si="4"/>
        <v>158.10483208300809</v>
      </c>
      <c r="AM31" s="59">
        <f t="shared" si="5"/>
        <v>451.43816541634141</v>
      </c>
      <c r="AN31" s="59">
        <f ca="1">AVERAGE(OFFSET($AM$3,0,0,'Données projet'!$E$10+1,1))-AVERAGE(OFFSET($H$3,0,0,'Données projet'!$E$10+1,1))</f>
        <v>205.73717397588365</v>
      </c>
      <c r="AO31" s="59">
        <f t="shared" si="36"/>
        <v>190.64998698136026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16.666666666666668</v>
      </c>
      <c r="BD31" s="12">
        <f>IF('Données projet'!$A$88&gt;35,BD30+BC31-BL30,IF(A31&lt;'Données projet'!$A$88,$BA$205^A31,IF(A31='Données projet'!$A$88,'Données projet'!$B$88,BD30+BC31-BL30)))</f>
        <v>221.66666666666663</v>
      </c>
      <c r="BE31" s="13">
        <f>BD31*VLOOKUP('Données projet'!$B$11,Paramètres!$A$1:$I$89,3,0)*VLOOKUP('Données projet'!$B$11,Paramètres!$A$1:$I$89,5,0)</f>
        <v>121.02999999999997</v>
      </c>
      <c r="BF31" s="13">
        <f t="shared" si="37"/>
        <v>31.915110254002617</v>
      </c>
      <c r="BG31" s="20">
        <f t="shared" si="7"/>
        <v>266.3794003590545</v>
      </c>
      <c r="BH31" s="59">
        <f t="shared" si="8"/>
        <v>559.71273369238781</v>
      </c>
      <c r="BI31" s="59">
        <f ca="1">AVERAGE(OFFSET($BH$3,0,0,'Données projet'!$E$11+1,1))-AVERAGE(OFFSET($H$3,0,0,'Données projet'!$E$11+1,1))</f>
        <v>159.92263609041913</v>
      </c>
      <c r="BJ31" s="59">
        <f t="shared" si="38"/>
        <v>271.78119133009307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57.478192462814278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57.478192462814278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4.0628205128205126</v>
      </c>
      <c r="BY31" s="12">
        <f>IF('Données projet'!$A$114&gt;35,BY30+BX31-CG30,IF(A31&lt;'Données projet'!$A$114,$BV$205^A31,IF(A31='Données projet'!$A$114,'Données projet'!$B$114,BY30+BX31-CG30)))</f>
        <v>88.488255196060223</v>
      </c>
      <c r="BZ31" s="13">
        <f>BY31*VLOOKUP('Données projet'!$B$12,Paramètres!$A$1:$I$89,3,0)*VLOOKUP('Données projet'!$B$12,Paramètres!$A$1:$I$89,5,0)</f>
        <v>80.064173301395286</v>
      </c>
      <c r="CA31" s="13">
        <f t="shared" si="39"/>
        <v>22.15287410215139</v>
      </c>
      <c r="CB31" s="20">
        <f t="shared" si="10"/>
        <v>178.02802422784376</v>
      </c>
      <c r="CC31" s="59">
        <f t="shared" si="11"/>
        <v>471.3613575611771</v>
      </c>
      <c r="CD31" s="59">
        <f ca="1">AVERAGE(OFFSET($CC$3,0,0,'Données projet'!$E$12+1,1))-AVERAGE(OFFSET($H$3,0,0,'Données projet'!$E$12+1,1))</f>
        <v>280.25710840677186</v>
      </c>
      <c r="CE31" s="59">
        <f t="shared" si="40"/>
        <v>209.65224013288037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129.4</v>
      </c>
      <c r="CU31" s="17">
        <f>CT31*VLOOKUP('Données projet'!$B$13,Paramètres!$A$1:$I$89,3,0)*VLOOKUP('Données projet'!$B$13,Paramètres!$A$1:$I$89,5,0)</f>
        <v>135.24888000000001</v>
      </c>
      <c r="CV31" s="13">
        <f t="shared" si="41"/>
        <v>35.206413236083414</v>
      </c>
      <c r="CW31" s="20">
        <f t="shared" si="13"/>
        <v>296.87630238617862</v>
      </c>
      <c r="CX31" s="59">
        <f t="shared" si="14"/>
        <v>590.20963571951188</v>
      </c>
      <c r="CY31" s="59">
        <f ca="1">AVERAGE(OFFSET($CX$3,0,0,'Données projet'!$E$13+1,1))-AVERAGE(OFFSET($H$3,0,0,'Données projet'!$E$13+1,1))</f>
        <v>330.14201227773452</v>
      </c>
      <c r="CZ31" s="59">
        <f t="shared" si="42"/>
        <v>307.07297894926467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16.020512820512824</v>
      </c>
      <c r="N32" s="13">
        <f>IF('Données projet'!$A$36&gt;35,N31+M32-V31,IF(A32&lt;'Données projet'!$A$36,$K$205^A32,IF(A32='Données projet'!$A$36,'Données projet'!$B$36,N31+M32-V31)))</f>
        <v>199.63333333333338</v>
      </c>
      <c r="O32" s="13">
        <f>N32*VLOOKUP('Données projet'!$B$9,Paramètres!$A$1:$I$89,3,0)*VLOOKUP('Données projet'!$B$9,Paramètres!$A$1:$I$89,5,0)</f>
        <v>119.38073333333337</v>
      </c>
      <c r="P32" s="13">
        <f t="shared" si="33"/>
        <v>31.530522050233152</v>
      </c>
      <c r="Q32" s="20">
        <f t="shared" si="2"/>
        <v>262.83710312637839</v>
      </c>
      <c r="R32" s="59">
        <f t="shared" si="0"/>
        <v>556.17043645971171</v>
      </c>
      <c r="S32" s="59">
        <f ca="1">AVERAGE(OFFSET($R$3,0,0,'Données projet'!$E$9+1,1))-AVERAGE(OFFSET($H$3,0,0,'Données projet'!$E$9+1,1))</f>
        <v>283.73369613548124</v>
      </c>
      <c r="T32" s="59">
        <f t="shared" si="34"/>
        <v>249.77804091581208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9.1470810076091649</v>
      </c>
      <c r="AA32" s="21">
        <f>EXP(-LN(2)/25)*AA31+(1-EXP(-LN(2)/25))/(LN(2)/25)*Calculateur!V32*Calculateur!X32*VLOOKUP('Données projet'!$B$9,Paramètres!$A$1:$I$89,3,0)*0.475*44/12</f>
        <v>9.1246428200680949</v>
      </c>
      <c r="AB32" s="21">
        <f>EXP(-LN(2)/2)*AB31+(1-EXP(-LN(2)/2))/(LN(2)/2)*V32*Y32*VLOOKUP('Données projet'!$B$9,Paramètres!$A$1:$I$89,3,0)*0.475*44/12</f>
        <v>1.0717944219236322</v>
      </c>
      <c r="AC32" s="22">
        <f t="shared" si="3"/>
        <v>19.343518249600891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7.2264102564102561</v>
      </c>
      <c r="AI32" s="13">
        <f>IF('Données projet'!$A$62&gt;35,AI31+AH32-AQ31,IF(A32&lt;'Données projet'!$A$62,$AF$205^A32,IF(A32='Données projet'!$A$62,'Données projet'!$B$62,AI31+AH32-AQ31)))</f>
        <v>181.20732085910257</v>
      </c>
      <c r="AJ32" s="13">
        <f>AI32*VLOOKUP('Données projet'!$B$10,Paramètres!$A$1:$I$89,3,0)*VLOOKUP('Données projet'!$B$10,Paramètres!$A$1:$I$89,5,0)</f>
        <v>84.805026162060003</v>
      </c>
      <c r="AK32" s="13">
        <f t="shared" si="35"/>
        <v>23.308020101846395</v>
      </c>
      <c r="AL32" s="20">
        <f t="shared" si="4"/>
        <v>188.29688890963698</v>
      </c>
      <c r="AM32" s="59">
        <f t="shared" si="5"/>
        <v>481.63022224297026</v>
      </c>
      <c r="AN32" s="59">
        <f ca="1">AVERAGE(OFFSET($AM$3,0,0,'Données projet'!$E$10+1,1))-AVERAGE(OFFSET($H$3,0,0,'Données projet'!$E$10+1,1))</f>
        <v>205.73717397588365</v>
      </c>
      <c r="AO32" s="59">
        <f t="shared" si="36"/>
        <v>190.64998698136026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16.666666666666668</v>
      </c>
      <c r="BD32" s="12">
        <f>IF('Données projet'!$A$88&gt;35,BD31+BC32-BL31,IF(A32&lt;'Données projet'!$A$88,$BA$205^A32,IF(A32='Données projet'!$A$88,'Données projet'!$B$88,BD31+BC32-BL31)))</f>
        <v>238.33333333333329</v>
      </c>
      <c r="BE32" s="13">
        <f>BD32*VLOOKUP('Données projet'!$B$11,Paramètres!$A$1:$I$89,3,0)*VLOOKUP('Données projet'!$B$11,Paramètres!$A$1:$I$89,5,0)</f>
        <v>130.12999999999997</v>
      </c>
      <c r="BF32" s="13">
        <f t="shared" si="37"/>
        <v>34.026396767825609</v>
      </c>
      <c r="BG32" s="20">
        <f t="shared" si="7"/>
        <v>285.90572437062957</v>
      </c>
      <c r="BH32" s="59">
        <f t="shared" si="8"/>
        <v>579.23905770396289</v>
      </c>
      <c r="BI32" s="59">
        <f ca="1">AVERAGE(OFFSET($BH$3,0,0,'Données projet'!$E$11+1,1))-AVERAGE(OFFSET($H$3,0,0,'Données projet'!$E$11+1,1))</f>
        <v>159.92263609041913</v>
      </c>
      <c r="BJ32" s="59">
        <f t="shared" si="38"/>
        <v>271.78119133009307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55.906448267271848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55.906448267271848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4.0628205128205126</v>
      </c>
      <c r="BY32" s="12">
        <f>IF('Données projet'!$A$114&gt;35,BY31+BX32-CG31,IF(A32&lt;'Données projet'!$A$114,$BV$205^A32,IF(A32='Données projet'!$A$114,'Données projet'!$B$114,BY31+BX32-CG31)))</f>
        <v>103.85257315361756</v>
      </c>
      <c r="BZ32" s="13">
        <f>BY32*VLOOKUP('Données projet'!$B$12,Paramètres!$A$1:$I$89,3,0)*VLOOKUP('Données projet'!$B$12,Paramètres!$A$1:$I$89,5,0)</f>
        <v>93.965808189393158</v>
      </c>
      <c r="CA32" s="13">
        <f t="shared" si="39"/>
        <v>25.519268853524185</v>
      </c>
      <c r="CB32" s="20">
        <f t="shared" si="10"/>
        <v>208.10317584974769</v>
      </c>
      <c r="CC32" s="59">
        <f t="shared" si="11"/>
        <v>501.436509183081</v>
      </c>
      <c r="CD32" s="59">
        <f ca="1">AVERAGE(OFFSET($CC$3,0,0,'Données projet'!$E$12+1,1))-AVERAGE(OFFSET($H$3,0,0,'Données projet'!$E$12+1,1))</f>
        <v>280.25710840677186</v>
      </c>
      <c r="CE32" s="59">
        <f t="shared" si="40"/>
        <v>209.65224013288037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139.20000000000002</v>
      </c>
      <c r="CU32" s="17">
        <f>CT32*VLOOKUP('Données projet'!$B$13,Paramètres!$A$1:$I$89,3,0)*VLOOKUP('Données projet'!$B$13,Paramètres!$A$1:$I$89,5,0)</f>
        <v>145.49184000000002</v>
      </c>
      <c r="CV32" s="13">
        <f t="shared" si="41"/>
        <v>37.552277703979321</v>
      </c>
      <c r="CW32" s="20">
        <f t="shared" si="13"/>
        <v>318.80183833443067</v>
      </c>
      <c r="CX32" s="59">
        <f t="shared" si="14"/>
        <v>612.13517166776398</v>
      </c>
      <c r="CY32" s="59">
        <f ca="1">AVERAGE(OFFSET($CX$3,0,0,'Données projet'!$E$13+1,1))-AVERAGE(OFFSET($H$3,0,0,'Données projet'!$E$13+1,1))</f>
        <v>330.14201227773452</v>
      </c>
      <c r="CZ32" s="59">
        <f t="shared" si="42"/>
        <v>307.07297894926467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215.65384615384616</v>
      </c>
      <c r="L33" s="12">
        <f>VLOOKUP(A33,'Données projet'!$A$35:$I$55,9,0)</f>
        <v>16.020512820512824</v>
      </c>
      <c r="M33" s="12">
        <f t="array" ref="M33">INDEX(L:L,MIN(IF(ISNUMBER(L33:L229),ROW(L33:L229),"")))</f>
        <v>16.020512820512824</v>
      </c>
      <c r="N33" s="13">
        <f>IF('Données projet'!$A$36&gt;35,N32+M33-V32,IF(A33&lt;'Données projet'!$A$36,$K$205^A33,IF(A33='Données projet'!$A$36,'Données projet'!$B$36,N32+M33-V32)))</f>
        <v>215.65384615384622</v>
      </c>
      <c r="O33" s="13">
        <f>N33*VLOOKUP('Données projet'!$B$9,Paramètres!$A$1:$I$89,3,0)*VLOOKUP('Données projet'!$B$9,Paramètres!$A$1:$I$89,5,0)</f>
        <v>128.96100000000004</v>
      </c>
      <c r="P33" s="13">
        <f t="shared" si="33"/>
        <v>33.756164929705356</v>
      </c>
      <c r="Q33" s="20">
        <f t="shared" si="2"/>
        <v>283.39906225257022</v>
      </c>
      <c r="R33" s="59">
        <f t="shared" si="0"/>
        <v>576.73239558590353</v>
      </c>
      <c r="S33" s="59">
        <f ca="1">AVERAGE(OFFSET($R$3,0,0,'Données projet'!$E$9+1,1))-AVERAGE(OFFSET($H$3,0,0,'Données projet'!$E$9+1,1))</f>
        <v>283.73369613548124</v>
      </c>
      <c r="T33" s="59">
        <f t="shared" si="34"/>
        <v>249.77804091581208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55.869230769230761</v>
      </c>
      <c r="W33" s="16">
        <f>IF(ISNA(VLOOKUP(A33,'Données projet'!$A$35:$I$55,5,0)),0%,VLOOKUP(A33,'Données projet'!$A$35:$I$55,5,0)*VLOOKUP('Données projet'!$B$9,Paramètres!$A$1:$I$89,7,0))</f>
        <v>0.315</v>
      </c>
      <c r="X33" s="16">
        <f>IF(ISNA(VLOOKUP(A33,'Données projet'!$A$35:$I$55,6,0)),0%,VLOOKUP(A33,'Données projet'!$A$35:$I$55,6,0)*VLOOKUP('Données projet'!$B$9,Paramètres!$A$1:$I$89,7,0))</f>
        <v>7.5600000000000001E-2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22.92859206837181</v>
      </c>
      <c r="AA33" s="21">
        <f>EXP(-LN(2)/25)*AA32+(1-EXP(-LN(2)/25))/(LN(2)/25)*Calculateur!V33*Calculateur!X33*VLOOKUP('Données projet'!$B$9,Paramètres!$A$1:$I$89,3,0)*0.475*44/12</f>
        <v>12.212547487214213</v>
      </c>
      <c r="AB33" s="21">
        <f>EXP(-LN(2)/2)*AB32+(1-EXP(-LN(2)/2))/(LN(2)/2)*V33*Y33*VLOOKUP('Données projet'!$B$9,Paramètres!$A$1:$I$89,3,0)*0.475*44/12</f>
        <v>5.7511235128148783</v>
      </c>
      <c r="AC33" s="22">
        <f t="shared" si="3"/>
        <v>40.892263068400901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216.79230769230767</v>
      </c>
      <c r="AG33" s="12">
        <f>VLOOKUP(A33,'Données projet'!$A$61:$I$81,9,0)</f>
        <v>7.2264102564102561</v>
      </c>
      <c r="AH33" s="12">
        <f t="array" ref="AH33">INDEX(AG:AG,MIN(IF(ISNUMBER(AG33:AG229),ROW(AG33:AG229),"")))</f>
        <v>7.2264102564102561</v>
      </c>
      <c r="AI33" s="13">
        <f>IF('Données projet'!$A$62&gt;35,AI32+AH33-AQ32,IF(A33&lt;'Données projet'!$A$62,$AF$205^A33,IF(A33='Données projet'!$A$62,'Données projet'!$B$62,AI32+AH33-AQ32)))</f>
        <v>216.79230769230767</v>
      </c>
      <c r="AJ33" s="13">
        <f>AI33*VLOOKUP('Données projet'!$B$10,Paramètres!$A$1:$I$89,3,0)*VLOOKUP('Données projet'!$B$10,Paramètres!$A$1:$I$89,5,0)</f>
        <v>101.45879999999998</v>
      </c>
      <c r="AK33" s="13">
        <f t="shared" si="35"/>
        <v>27.309243053465156</v>
      </c>
      <c r="AL33" s="20">
        <f t="shared" si="4"/>
        <v>224.27100831811845</v>
      </c>
      <c r="AM33" s="59">
        <f t="shared" si="5"/>
        <v>517.6043416514517</v>
      </c>
      <c r="AN33" s="59">
        <f ca="1">AVERAGE(OFFSET($AM$3,0,0,'Données projet'!$E$10+1,1))-AVERAGE(OFFSET($H$3,0,0,'Données projet'!$E$10+1,1))</f>
        <v>205.73717397588365</v>
      </c>
      <c r="AO33" s="59">
        <f t="shared" si="36"/>
        <v>190.64998698136026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0.38500000000000001</v>
      </c>
      <c r="AS33" s="16">
        <f>IF(ISNA(VLOOKUP(A33,'Données projet'!$A$61:$I$81,6,0)),0%,VLOOKUP(A33,'Données projet'!$A$61:$I$81,6,0)*VLOOKUP('Données projet'!$B$10,Paramètres!$A$1:$I$89,7,0))</f>
        <v>9.240000000000001E-2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255</v>
      </c>
      <c r="BB33" s="12">
        <f>VLOOKUP(A33,'Données projet'!$A$87:$I$107,9,0)</f>
        <v>16.666666666666668</v>
      </c>
      <c r="BC33" s="12">
        <f t="array" ref="BC33">INDEX(BB:BB,MIN(IF(ISNUMBER(BB33:BB229),ROW(BB33:BB229),"")))</f>
        <v>16.666666666666668</v>
      </c>
      <c r="BD33" s="12">
        <f>IF('Données projet'!$A$88&gt;35,BD32+BC33-BL32,IF(A33&lt;'Données projet'!$A$88,$BA$205^A33,IF(A33='Données projet'!$A$88,'Données projet'!$B$88,BD32+BC33-BL32)))</f>
        <v>254.99999999999994</v>
      </c>
      <c r="BE33" s="13">
        <f>BD33*VLOOKUP('Données projet'!$B$11,Paramètres!$A$1:$I$89,3,0)*VLOOKUP('Données projet'!$B$11,Paramètres!$A$1:$I$89,5,0)</f>
        <v>139.22999999999996</v>
      </c>
      <c r="BF33" s="13">
        <f t="shared" si="37"/>
        <v>36.120552727378737</v>
      </c>
      <c r="BG33" s="20">
        <f t="shared" si="7"/>
        <v>305.4022126668512</v>
      </c>
      <c r="BH33" s="59">
        <f t="shared" si="8"/>
        <v>598.73554600018451</v>
      </c>
      <c r="BI33" s="59">
        <f ca="1">AVERAGE(OFFSET($BH$3,0,0,'Données projet'!$E$11+1,1))-AVERAGE(OFFSET($H$3,0,0,'Données projet'!$E$11+1,1))</f>
        <v>159.92263609041913</v>
      </c>
      <c r="BJ33" s="59">
        <f t="shared" si="38"/>
        <v>271.78119133009307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76</v>
      </c>
      <c r="BM33" s="16">
        <f>IF(ISNA(VLOOKUP(A33,'Données projet'!$A$87:$I$107,5,0)),0%,VLOOKUP(A33,'Données projet'!$A$87:$I$107,5,0)*VLOOKUP('Données projet'!$B$11,Paramètres!$A$1:$I$89,7,0))</f>
        <v>0.18</v>
      </c>
      <c r="BN33" s="16">
        <f>IF(ISNA(VLOOKUP(A33,'Données projet'!$A$87:$I$107,6,0)),0%,VLOOKUP(A33,'Données projet'!$A$87:$I$107,6,0)*VLOOKUP('Données projet'!$B$11,Paramètres!$A$1:$I$89,7,0))</f>
        <v>0.36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9.9084813557254474</v>
      </c>
      <c r="BQ33" s="21">
        <f>EXP(-LN(2)/25)*BQ32+(1-EXP(-LN(2)/25))/(LN(2)/25)*Calculateur!BL33*Calculateur!BN33*VLOOKUP('Données projet'!$B$11,Paramètres!$A$1:$I$89,3,0)*0.475*44/12</f>
        <v>74.116619277812106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84.025100633537548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121.88461538461537</v>
      </c>
      <c r="BW33" s="12">
        <f>VLOOKUP(A33,'Données projet'!$A$113:$I$133,9,0)</f>
        <v>4.0628205128205126</v>
      </c>
      <c r="BX33" s="12">
        <f t="array" ref="BX33">INDEX(BW:BW,MIN(IF(ISNUMBER(BW33:BW229),ROW(BW33:BW229),"")))</f>
        <v>4.0628205128205126</v>
      </c>
      <c r="BY33" s="12">
        <f>IF('Données projet'!$A$114&gt;35,BY32+BX33-CG32,IF(A33&lt;'Données projet'!$A$114,$BV$205^A33,IF(A33='Données projet'!$A$114,'Données projet'!$B$114,BY32+BX33-CG32)))</f>
        <v>121.88461538461537</v>
      </c>
      <c r="BZ33" s="13">
        <f>BY33*VLOOKUP('Données projet'!$B$12,Paramètres!$A$1:$I$89,3,0)*VLOOKUP('Données projet'!$B$12,Paramètres!$A$1:$I$89,5,0)</f>
        <v>110.2812</v>
      </c>
      <c r="CA33" s="13">
        <f t="shared" si="39"/>
        <v>29.397227638069996</v>
      </c>
      <c r="CB33" s="20">
        <f t="shared" si="10"/>
        <v>243.27326146963856</v>
      </c>
      <c r="CC33" s="59">
        <f t="shared" si="11"/>
        <v>536.60659480297181</v>
      </c>
      <c r="CD33" s="59">
        <f ca="1">AVERAGE(OFFSET($CC$3,0,0,'Données projet'!$E$12+1,1))-AVERAGE(OFFSET($H$3,0,0,'Données projet'!$E$12+1,1))</f>
        <v>280.25710840677186</v>
      </c>
      <c r="CE33" s="59">
        <f t="shared" si="40"/>
        <v>209.65224013288037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149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149.00000000000003</v>
      </c>
      <c r="CU33" s="17">
        <f>CT33*VLOOKUP('Données projet'!$B$13,Paramètres!$A$1:$I$89,3,0)*VLOOKUP('Données projet'!$B$13,Paramètres!$A$1:$I$89,5,0)</f>
        <v>155.73480000000004</v>
      </c>
      <c r="CV33" s="13">
        <f t="shared" si="41"/>
        <v>39.878980068529806</v>
      </c>
      <c r="CW33" s="20">
        <f t="shared" si="13"/>
        <v>340.6940002860228</v>
      </c>
      <c r="CX33" s="59">
        <f t="shared" si="14"/>
        <v>634.02733361935611</v>
      </c>
      <c r="CY33" s="59">
        <f ca="1">AVERAGE(OFFSET($CX$3,0,0,'Données projet'!$E$13+1,1))-AVERAGE(OFFSET($H$3,0,0,'Données projet'!$E$13+1,1))</f>
        <v>330.14201227773452</v>
      </c>
      <c r="CZ33" s="59">
        <f t="shared" si="42"/>
        <v>307.07297894926467</v>
      </c>
      <c r="DA33" s="15">
        <f>IF(ISNA(VLOOKUP(A33,'Données projet'!$A$139:$I$159,3,0)),0,VLOOKUP(A33,'Données projet'!$A$139:$I$159,3,0))</f>
        <v>3</v>
      </c>
      <c r="DB33" s="15" t="str">
        <f>IF(ISNA(VLOOKUP(A33,'Données projet'!$A$139:$I$159,4,0)),0,VLOOKUP(A33,'Données projet'!$A$139:$I$159,4,0))</f>
        <v>27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15.48351648351648</v>
      </c>
      <c r="N34" s="13">
        <f>IF('Données projet'!$A$36&gt;35,N33+M34-V33,IF(A34&lt;'Données projet'!$A$36,$K$205^A34,IF(A34='Données projet'!$A$36,'Données projet'!$B$36,N33+M34-V33)))</f>
        <v>175.26813186813192</v>
      </c>
      <c r="O34" s="13">
        <f>N34*VLOOKUP('Données projet'!$B$9,Paramètres!$A$1:$I$89,3,0)*VLOOKUP('Données projet'!$B$9,Paramètres!$A$1:$I$89,5,0)</f>
        <v>104.8103428571429</v>
      </c>
      <c r="P34" s="13">
        <f t="shared" si="33"/>
        <v>28.104843056220705</v>
      </c>
      <c r="Q34" s="20">
        <f t="shared" si="2"/>
        <v>231.49394879910827</v>
      </c>
      <c r="R34" s="59">
        <f t="shared" si="0"/>
        <v>524.82728213244161</v>
      </c>
      <c r="S34" s="59">
        <f ca="1">AVERAGE(OFFSET($R$3,0,0,'Données projet'!$E$9+1,1))-AVERAGE(OFFSET($H$3,0,0,'Données projet'!$E$9+1,1))</f>
        <v>283.73369613548124</v>
      </c>
      <c r="T34" s="59">
        <f t="shared" si="34"/>
        <v>249.77804091581208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22.478976362971292</v>
      </c>
      <c r="AA34" s="21">
        <f>EXP(-LN(2)/25)*AA33+(1-EXP(-LN(2)/25))/(LN(2)/25)*Calculateur!V34*Calculateur!X34*VLOOKUP('Données projet'!$B$9,Paramètres!$A$1:$I$89,3,0)*0.475*44/12</f>
        <v>11.878594733946381</v>
      </c>
      <c r="AB34" s="21">
        <f>EXP(-LN(2)/2)*AB33+(1-EXP(-LN(2)/2))/(LN(2)/2)*V34*Y34*VLOOKUP('Données projet'!$B$9,Paramètres!$A$1:$I$89,3,0)*0.475*44/12</f>
        <v>4.0666584353527986</v>
      </c>
      <c r="AC34" s="22">
        <f t="shared" si="3"/>
        <v>38.424229532270473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16.131410256410259</v>
      </c>
      <c r="AI34" s="13">
        <f>IF('Données projet'!$A$62&gt;35,AI33+AH34-AQ33,IF(A34&lt;'Données projet'!$A$62,$AF$205^A34,IF(A34='Données projet'!$A$62,'Données projet'!$B$62,AI33+AH34-AQ33)))</f>
        <v>232.92371794871792</v>
      </c>
      <c r="AJ34" s="13">
        <f>AI34*VLOOKUP('Données projet'!$B$10,Paramètres!$A$1:$I$89,3,0)*VLOOKUP('Données projet'!$B$10,Paramètres!$A$1:$I$89,5,0)</f>
        <v>109.00829999999998</v>
      </c>
      <c r="AK34" s="13">
        <f t="shared" si="35"/>
        <v>29.097209307093255</v>
      </c>
      <c r="AL34" s="20">
        <f t="shared" si="4"/>
        <v>240.53376204318738</v>
      </c>
      <c r="AM34" s="59">
        <f t="shared" si="5"/>
        <v>533.86709537652064</v>
      </c>
      <c r="AN34" s="59">
        <f ca="1">AVERAGE(OFFSET($AM$3,0,0,'Données projet'!$E$10+1,1))-AVERAGE(OFFSET($H$3,0,0,'Données projet'!$E$10+1,1))</f>
        <v>205.73717397588365</v>
      </c>
      <c r="AO34" s="59">
        <f t="shared" si="36"/>
        <v>190.64998698136026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</v>
      </c>
      <c r="BD34" s="12">
        <f>IF('Données projet'!$A$88&gt;35,BD33+BC34-BL33,IF(A34&lt;'Données projet'!$A$88,$BA$205^A34,IF(A34='Données projet'!$A$88,'Données projet'!$B$88,BD33+BC34-BL33)))</f>
        <v>193.99999999999994</v>
      </c>
      <c r="BE34" s="13">
        <f>BD34*VLOOKUP('Données projet'!$B$11,Paramètres!$A$1:$I$89,3,0)*VLOOKUP('Données projet'!$B$11,Paramètres!$A$1:$I$89,5,0)</f>
        <v>105.92399999999998</v>
      </c>
      <c r="BF34" s="13">
        <f t="shared" si="37"/>
        <v>28.36854701055546</v>
      </c>
      <c r="BG34" s="20">
        <f t="shared" si="7"/>
        <v>233.89285271005073</v>
      </c>
      <c r="BH34" s="59">
        <f t="shared" si="8"/>
        <v>527.22618604338402</v>
      </c>
      <c r="BI34" s="59">
        <f ca="1">AVERAGE(OFFSET($BH$3,0,0,'Données projet'!$E$11+1,1))-AVERAGE(OFFSET($H$3,0,0,'Données projet'!$E$11+1,1))</f>
        <v>159.92263609041913</v>
      </c>
      <c r="BJ34" s="59">
        <f t="shared" si="38"/>
        <v>271.78119133009307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9.7141820799165455</v>
      </c>
      <c r="BQ34" s="21">
        <f>EXP(-LN(2)/25)*BQ33+(1-EXP(-LN(2)/25))/(LN(2)/25)*Calculateur!BL34*Calculateur!BN34*VLOOKUP('Données projet'!$B$11,Paramètres!$A$1:$I$89,3,0)*0.475*44/12</f>
        <v>72.089896426036717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81.804078505953257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8.0564102564102633</v>
      </c>
      <c r="BY34" s="12">
        <f>IF('Données projet'!$A$114&gt;35,BY33+BX34-CG33,IF(A34&lt;'Données projet'!$A$114,$BV$205^A34,IF(A34='Données projet'!$A$114,'Données projet'!$B$114,BY33+BX34-CG33)))</f>
        <v>129.94102564102565</v>
      </c>
      <c r="BZ34" s="13">
        <f>BY34*VLOOKUP('Données projet'!$B$12,Paramètres!$A$1:$I$89,3,0)*VLOOKUP('Données projet'!$B$12,Paramètres!$A$1:$I$89,5,0)</f>
        <v>117.57064000000001</v>
      </c>
      <c r="CA34" s="13">
        <f t="shared" si="39"/>
        <v>31.107718284302781</v>
      </c>
      <c r="CB34" s="20">
        <f t="shared" si="10"/>
        <v>258.94814067849398</v>
      </c>
      <c r="CC34" s="59">
        <f t="shared" si="11"/>
        <v>552.2814740118273</v>
      </c>
      <c r="CD34" s="59">
        <f ca="1">AVERAGE(OFFSET($CC$3,0,0,'Données projet'!$E$12+1,1))-AVERAGE(OFFSET($H$3,0,0,'Données projet'!$E$12+1,1))</f>
        <v>280.25710840677186</v>
      </c>
      <c r="CE34" s="59">
        <f t="shared" si="40"/>
        <v>209.65224013288037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9.1999999999999993</v>
      </c>
      <c r="CT34" s="12">
        <f>IF('Données projet'!$A$140&gt;35,CT33+CS34-DB33,IF(A34&lt;'Données projet'!$A$140,$CQ$205^A34,IF(A34='Données projet'!$A$140,'Données projet'!$B$140,CT33+CS34-DB33)))</f>
        <v>131.20000000000002</v>
      </c>
      <c r="CU34" s="17">
        <f>CT34*VLOOKUP('Données projet'!$B$13,Paramètres!$A$1:$I$89,3,0)*VLOOKUP('Données projet'!$B$13,Paramètres!$A$1:$I$89,5,0)</f>
        <v>137.13024000000001</v>
      </c>
      <c r="CV34" s="13">
        <f t="shared" si="41"/>
        <v>35.638793424767798</v>
      </c>
      <c r="CW34" s="20">
        <f t="shared" si="13"/>
        <v>300.90606654813729</v>
      </c>
      <c r="CX34" s="59">
        <f t="shared" si="14"/>
        <v>594.2393998814706</v>
      </c>
      <c r="CY34" s="59">
        <f ca="1">AVERAGE(OFFSET($CX$3,0,0,'Données projet'!$E$13+1,1))-AVERAGE(OFFSET($H$3,0,0,'Données projet'!$E$13+1,1))</f>
        <v>330.14201227773452</v>
      </c>
      <c r="CZ34" s="59">
        <f t="shared" si="42"/>
        <v>307.07297894926467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15.48351648351648</v>
      </c>
      <c r="N35" s="13">
        <f>IF('Données projet'!$A$36&gt;35,N34+M35-V34,IF(A35&lt;'Données projet'!$A$36,$K$205^A35,IF(A35='Données projet'!$A$36,'Données projet'!$B$36,N34+M35-V34)))</f>
        <v>190.75164835164838</v>
      </c>
      <c r="O35" s="13">
        <f>N35*VLOOKUP('Données projet'!$B$9,Paramètres!$A$1:$I$89,3,0)*VLOOKUP('Données projet'!$B$9,Paramètres!$A$1:$I$89,5,0)</f>
        <v>114.06948571428575</v>
      </c>
      <c r="P35" s="13">
        <f t="shared" si="33"/>
        <v>30.287750600607666</v>
      </c>
      <c r="Q35" s="20">
        <f t="shared" ref="Q35:Q66" si="53">(O35+P35)*0.475*44/12</f>
        <v>251.42218658177271</v>
      </c>
      <c r="R35" s="59">
        <f t="shared" si="0"/>
        <v>544.75551991510599</v>
      </c>
      <c r="S35" s="59">
        <f ca="1">AVERAGE(OFFSET($R$3,0,0,'Données projet'!$E$9+1,1))-AVERAGE(OFFSET($H$3,0,0,'Données projet'!$E$9+1,1))</f>
        <v>283.73369613548124</v>
      </c>
      <c r="T35" s="59">
        <f t="shared" si="34"/>
        <v>249.77804091581208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22.038177347315173</v>
      </c>
      <c r="AA35" s="21">
        <f>EXP(-LN(2)/25)*AA34+(1-EXP(-LN(2)/25))/(LN(2)/25)*Calculateur!V35*Calculateur!X35*VLOOKUP('Données projet'!$B$9,Paramètres!$A$1:$I$89,3,0)*0.475*44/12</f>
        <v>11.553773936278469</v>
      </c>
      <c r="AB35" s="21">
        <f>EXP(-LN(2)/2)*AB34+(1-EXP(-LN(2)/2))/(LN(2)/2)*V35*Y35*VLOOKUP('Données projet'!$B$9,Paramètres!$A$1:$I$89,3,0)*0.475*44/12</f>
        <v>2.8755617564074392</v>
      </c>
      <c r="AC35" s="22">
        <f t="shared" si="3"/>
        <v>36.46751304000108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16.131410256410259</v>
      </c>
      <c r="AI35" s="13">
        <f>IF('Données projet'!$A$62&gt;35,AI34+AH35-AQ34,IF(A35&lt;'Données projet'!$A$62,$AF$205^A35,IF(A35='Données projet'!$A$62,'Données projet'!$B$62,AI34+AH35-AQ34)))</f>
        <v>249.05512820512817</v>
      </c>
      <c r="AJ35" s="13">
        <f>AI35*VLOOKUP('Données projet'!$B$10,Paramètres!$A$1:$I$89,3,0)*VLOOKUP('Données projet'!$B$10,Paramètres!$A$1:$I$89,5,0)</f>
        <v>116.55779999999997</v>
      </c>
      <c r="AK35" s="13">
        <f t="shared" si="35"/>
        <v>30.870807833785406</v>
      </c>
      <c r="AL35" s="20">
        <f t="shared" si="4"/>
        <v>256.7714919771762</v>
      </c>
      <c r="AM35" s="59">
        <f t="shared" si="5"/>
        <v>550.10482531050957</v>
      </c>
      <c r="AN35" s="59">
        <f ca="1">AVERAGE(OFFSET($AM$3,0,0,'Données projet'!$E$10+1,1))-AVERAGE(OFFSET($H$3,0,0,'Données projet'!$E$10+1,1))</f>
        <v>205.73717397588365</v>
      </c>
      <c r="AO35" s="59">
        <f t="shared" si="36"/>
        <v>190.64998698136026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</v>
      </c>
      <c r="BD35" s="12">
        <f>IF('Données projet'!$A$88&gt;35,BD34+BC35-BL34,IF(A35&lt;'Données projet'!$A$88,$BA$205^A35,IF(A35='Données projet'!$A$88,'Données projet'!$B$88,BD34+BC35-BL34)))</f>
        <v>208.99999999999994</v>
      </c>
      <c r="BE35" s="13">
        <f>BD35*VLOOKUP('Données projet'!$B$11,Paramètres!$A$1:$I$89,3,0)*VLOOKUP('Données projet'!$B$11,Paramètres!$A$1:$I$89,5,0)</f>
        <v>114.11399999999996</v>
      </c>
      <c r="BF35" s="13">
        <f t="shared" si="37"/>
        <v>30.298194021728271</v>
      </c>
      <c r="BG35" s="20">
        <f t="shared" si="7"/>
        <v>251.5179045878433</v>
      </c>
      <c r="BH35" s="59">
        <f t="shared" si="8"/>
        <v>544.85123792117656</v>
      </c>
      <c r="BI35" s="59">
        <f ca="1">AVERAGE(OFFSET($BH$3,0,0,'Données projet'!$E$11+1,1))-AVERAGE(OFFSET($H$3,0,0,'Données projet'!$E$11+1,1))</f>
        <v>159.92263609041913</v>
      </c>
      <c r="BJ35" s="59">
        <f t="shared" si="38"/>
        <v>271.78119133009307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9.5236928943953991</v>
      </c>
      <c r="BQ35" s="21">
        <f>EXP(-LN(2)/25)*BQ34+(1-EXP(-LN(2)/25))/(LN(2)/25)*Calculateur!BL35*Calculateur!BN35*VLOOKUP('Données projet'!$B$11,Paramètres!$A$1:$I$89,3,0)*0.475*44/12</f>
        <v>70.118594417223846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79.642287311619242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8.0564102564102633</v>
      </c>
      <c r="BY35" s="12">
        <f>IF('Données projet'!$A$114&gt;35,BY34+BX35-CG34,IF(A35&lt;'Données projet'!$A$114,$BV$205^A35,IF(A35='Données projet'!$A$114,'Données projet'!$B$114,BY34+BX35-CG34)))</f>
        <v>137.99743589743591</v>
      </c>
      <c r="BZ35" s="13">
        <f>BY35*VLOOKUP('Données projet'!$B$12,Paramètres!$A$1:$I$89,3,0)*VLOOKUP('Données projet'!$B$12,Paramètres!$A$1:$I$89,5,0)</f>
        <v>124.86008000000001</v>
      </c>
      <c r="CA35" s="13">
        <f t="shared" si="39"/>
        <v>32.805900674075268</v>
      </c>
      <c r="CB35" s="20">
        <f t="shared" si="10"/>
        <v>274.60158300734776</v>
      </c>
      <c r="CC35" s="59">
        <f t="shared" si="11"/>
        <v>567.93491634068107</v>
      </c>
      <c r="CD35" s="59">
        <f ca="1">AVERAGE(OFFSET($CC$3,0,0,'Données projet'!$E$12+1,1))-AVERAGE(OFFSET($H$3,0,0,'Données projet'!$E$12+1,1))</f>
        <v>280.25710840677186</v>
      </c>
      <c r="CE35" s="59">
        <f t="shared" si="40"/>
        <v>209.65224013288037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9.1999999999999993</v>
      </c>
      <c r="CT35" s="12">
        <f>IF('Données projet'!$A$140&gt;35,CT34+CS35-DB34,IF(A35&lt;'Données projet'!$A$140,$CQ$205^A35,IF(A35='Données projet'!$A$140,'Données projet'!$B$140,CT34+CS35-DB34)))</f>
        <v>140.4</v>
      </c>
      <c r="CU35" s="17">
        <f>CT35*VLOOKUP('Données projet'!$B$13,Paramètres!$A$1:$I$89,3,0)*VLOOKUP('Données projet'!$B$13,Paramètres!$A$1:$I$89,5,0)</f>
        <v>146.74608000000003</v>
      </c>
      <c r="CV35" s="13">
        <f t="shared" si="41"/>
        <v>37.83817941034674</v>
      </c>
      <c r="CW35" s="20">
        <f t="shared" si="13"/>
        <v>321.48425180635394</v>
      </c>
      <c r="CX35" s="59">
        <f t="shared" si="14"/>
        <v>614.81758513968725</v>
      </c>
      <c r="CY35" s="59">
        <f ca="1">AVERAGE(OFFSET($CX$3,0,0,'Données projet'!$E$13+1,1))-AVERAGE(OFFSET($H$3,0,0,'Données projet'!$E$13+1,1))</f>
        <v>330.14201227773452</v>
      </c>
      <c r="CZ35" s="59">
        <f t="shared" si="42"/>
        <v>307.07297894926467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15.48351648351648</v>
      </c>
      <c r="N36" s="13">
        <f>IF('Données projet'!$A$36&gt;35,N35+M36-V35,IF(A36&lt;'Données projet'!$A$36,$K$205^A36,IF(A36='Données projet'!$A$36,'Données projet'!$B$36,N35+M36-V35)))</f>
        <v>206.23516483516485</v>
      </c>
      <c r="O36" s="13">
        <f>N36*VLOOKUP('Données projet'!$B$9,Paramètres!$A$1:$I$89,3,0)*VLOOKUP('Données projet'!$B$9,Paramètres!$A$1:$I$89,5,0)</f>
        <v>123.3286285714286</v>
      </c>
      <c r="P36" s="13">
        <f t="shared" si="33"/>
        <v>32.450106672465495</v>
      </c>
      <c r="Q36" s="20">
        <f t="shared" si="53"/>
        <v>271.31463054978218</v>
      </c>
      <c r="R36" s="59">
        <f t="shared" si="0"/>
        <v>564.64796388311549</v>
      </c>
      <c r="S36" s="59">
        <f ca="1">AVERAGE(OFFSET($R$3,0,0,'Données projet'!$E$9+1,1))-AVERAGE(OFFSET($H$3,0,0,'Données projet'!$E$9+1,1))</f>
        <v>283.73369613548124</v>
      </c>
      <c r="T36" s="59">
        <f t="shared" si="34"/>
        <v>249.77804091581208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21.606022131495219</v>
      </c>
      <c r="AA36" s="21">
        <f>EXP(-LN(2)/25)*AA35+(1-EXP(-LN(2)/25))/(LN(2)/25)*Calculateur!V36*Calculateur!X36*VLOOKUP('Données projet'!$B$9,Paramètres!$A$1:$I$89,3,0)*0.475*44/12</f>
        <v>11.23783538040437</v>
      </c>
      <c r="AB36" s="21">
        <f>EXP(-LN(2)/2)*AB35+(1-EXP(-LN(2)/2))/(LN(2)/2)*V36*Y36*VLOOKUP('Données projet'!$B$9,Paramètres!$A$1:$I$89,3,0)*0.475*44/12</f>
        <v>2.0333292176763993</v>
      </c>
      <c r="AC36" s="22">
        <f t="shared" si="3"/>
        <v>34.877186729575982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16.131410256410259</v>
      </c>
      <c r="AI36" s="13">
        <f>IF('Données projet'!$A$62&gt;35,AI35+AH36-AQ35,IF(A36&lt;'Données projet'!$A$62,$AF$205^A36,IF(A36='Données projet'!$A$62,'Données projet'!$B$62,AI35+AH36-AQ35)))</f>
        <v>265.18653846153842</v>
      </c>
      <c r="AJ36" s="13">
        <f>AI36*VLOOKUP('Données projet'!$B$10,Paramètres!$A$1:$I$89,3,0)*VLOOKUP('Données projet'!$B$10,Paramètres!$A$1:$I$89,5,0)</f>
        <v>124.10729999999997</v>
      </c>
      <c r="AK36" s="13">
        <f t="shared" si="35"/>
        <v>32.631075149258578</v>
      </c>
      <c r="AL36" s="20">
        <f t="shared" si="4"/>
        <v>272.98600338495862</v>
      </c>
      <c r="AM36" s="59">
        <f t="shared" si="5"/>
        <v>566.31933671829188</v>
      </c>
      <c r="AN36" s="59">
        <f ca="1">AVERAGE(OFFSET($AM$3,0,0,'Données projet'!$E$10+1,1))-AVERAGE(OFFSET($H$3,0,0,'Données projet'!$E$10+1,1))</f>
        <v>205.73717397588365</v>
      </c>
      <c r="AO36" s="59">
        <f t="shared" si="36"/>
        <v>190.64998698136026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</v>
      </c>
      <c r="BD36" s="12">
        <f>IF('Données projet'!$A$88&gt;35,BD35+BC36-BL35,IF(A36&lt;'Données projet'!$A$88,$BA$205^A36,IF(A36='Données projet'!$A$88,'Données projet'!$B$88,BD35+BC36-BL35)))</f>
        <v>223.99999999999994</v>
      </c>
      <c r="BE36" s="13">
        <f>BD36*VLOOKUP('Données projet'!$B$11,Paramètres!$A$1:$I$89,3,0)*VLOOKUP('Données projet'!$B$11,Paramètres!$A$1:$I$89,5,0)</f>
        <v>122.30399999999996</v>
      </c>
      <c r="BF36" s="13">
        <f t="shared" si="37"/>
        <v>32.211773226559373</v>
      </c>
      <c r="BG36" s="20">
        <f t="shared" si="7"/>
        <v>269.11497170292415</v>
      </c>
      <c r="BH36" s="59">
        <f t="shared" si="8"/>
        <v>562.44830503625747</v>
      </c>
      <c r="BI36" s="59">
        <f ca="1">AVERAGE(OFFSET($BH$3,0,0,'Données projet'!$E$11+1,1))-AVERAGE(OFFSET($H$3,0,0,'Données projet'!$E$11+1,1))</f>
        <v>159.92263609041913</v>
      </c>
      <c r="BJ36" s="59">
        <f t="shared" si="38"/>
        <v>271.78119133009307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9.3369390856153913</v>
      </c>
      <c r="BQ36" s="21">
        <f>EXP(-LN(2)/25)*BQ35+(1-EXP(-LN(2)/25))/(LN(2)/25)*Calculateur!BL36*Calculateur!BN36*VLOOKUP('Données projet'!$B$11,Paramètres!$A$1:$I$89,3,0)*0.475*44/12</f>
        <v>68.20119776550824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77.538136851123625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8.0564102564102633</v>
      </c>
      <c r="BY36" s="12">
        <f>IF('Données projet'!$A$114&gt;35,BY35+BX36-CG35,IF(A36&lt;'Données projet'!$A$114,$BV$205^A36,IF(A36='Données projet'!$A$114,'Données projet'!$B$114,BY35+BX36-CG35)))</f>
        <v>146.05384615384617</v>
      </c>
      <c r="BZ36" s="13">
        <f>BY36*VLOOKUP('Données projet'!$B$12,Paramètres!$A$1:$I$89,3,0)*VLOOKUP('Données projet'!$B$12,Paramètres!$A$1:$I$89,5,0)</f>
        <v>132.14952</v>
      </c>
      <c r="CA36" s="13">
        <f t="shared" si="39"/>
        <v>34.49257523106499</v>
      </c>
      <c r="CB36" s="20">
        <f t="shared" si="10"/>
        <v>290.23498252743815</v>
      </c>
      <c r="CC36" s="59">
        <f t="shared" si="11"/>
        <v>583.56831586077146</v>
      </c>
      <c r="CD36" s="59">
        <f ca="1">AVERAGE(OFFSET($CC$3,0,0,'Données projet'!$E$12+1,1))-AVERAGE(OFFSET($H$3,0,0,'Données projet'!$E$12+1,1))</f>
        <v>280.25710840677186</v>
      </c>
      <c r="CE36" s="59">
        <f t="shared" si="40"/>
        <v>209.65224013288037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9.1999999999999993</v>
      </c>
      <c r="CT36" s="12">
        <f>IF('Données projet'!$A$140&gt;35,CT35+CS36-DB35,IF(A36&lt;'Données projet'!$A$140,$CQ$205^A36,IF(A36='Données projet'!$A$140,'Données projet'!$B$140,CT35+CS36-DB35)))</f>
        <v>149.6</v>
      </c>
      <c r="CU36" s="17">
        <f>CT36*VLOOKUP('Données projet'!$B$13,Paramètres!$A$1:$I$89,3,0)*VLOOKUP('Données projet'!$B$13,Paramètres!$A$1:$I$89,5,0)</f>
        <v>156.36192</v>
      </c>
      <c r="CV36" s="13">
        <f t="shared" si="41"/>
        <v>40.020841092261293</v>
      </c>
      <c r="CW36" s="20">
        <f t="shared" si="13"/>
        <v>342.03330890235503</v>
      </c>
      <c r="CX36" s="59">
        <f t="shared" si="14"/>
        <v>635.36664223568835</v>
      </c>
      <c r="CY36" s="59">
        <f ca="1">AVERAGE(OFFSET($CX$3,0,0,'Données projet'!$E$13+1,1))-AVERAGE(OFFSET($H$3,0,0,'Données projet'!$E$13+1,1))</f>
        <v>330.14201227773452</v>
      </c>
      <c r="CZ36" s="59">
        <f t="shared" si="42"/>
        <v>307.07297894926467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15.48351648351648</v>
      </c>
      <c r="N37" s="13">
        <f>IF('Données projet'!$A$36&gt;35,N36+M37-V36,IF(A37&lt;'Données projet'!$A$36,$K$205^A37,IF(A37='Données projet'!$A$36,'Données projet'!$B$36,N36+M37-V36)))</f>
        <v>221.71868131868132</v>
      </c>
      <c r="O37" s="13">
        <f>N37*VLOOKUP('Données projet'!$B$9,Paramètres!$A$1:$I$89,3,0)*VLOOKUP('Données projet'!$B$9,Paramètres!$A$1:$I$89,5,0)</f>
        <v>132.58777142857144</v>
      </c>
      <c r="P37" s="13">
        <f t="shared" si="33"/>
        <v>34.593629659414489</v>
      </c>
      <c r="Q37" s="20">
        <f t="shared" si="53"/>
        <v>291.17427356157549</v>
      </c>
      <c r="R37" s="59">
        <f t="shared" si="0"/>
        <v>584.5076068949088</v>
      </c>
      <c r="S37" s="59">
        <f ca="1">AVERAGE(OFFSET($R$3,0,0,'Données projet'!$E$9+1,1))-AVERAGE(OFFSET($H$3,0,0,'Données projet'!$E$9+1,1))</f>
        <v>283.73369613548124</v>
      </c>
      <c r="T37" s="59">
        <f t="shared" si="34"/>
        <v>249.77804091581208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21.182341215868842</v>
      </c>
      <c r="AA37" s="21">
        <f>EXP(-LN(2)/25)*AA36+(1-EXP(-LN(2)/25))/(LN(2)/25)*Calculateur!V37*Calculateur!X37*VLOOKUP('Données projet'!$B$9,Paramètres!$A$1:$I$89,3,0)*0.475*44/12</f>
        <v>10.930536180955134</v>
      </c>
      <c r="AB37" s="21">
        <f>EXP(-LN(2)/2)*AB36+(1-EXP(-LN(2)/2))/(LN(2)/2)*V37*Y37*VLOOKUP('Données projet'!$B$9,Paramètres!$A$1:$I$89,3,0)*0.475*44/12</f>
        <v>1.4377808782037196</v>
      </c>
      <c r="AC37" s="22">
        <f t="shared" si="3"/>
        <v>33.550658275027693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16.131410256410259</v>
      </c>
      <c r="AI37" s="13">
        <f>IF('Données projet'!$A$62&gt;35,AI36+AH37-AQ36,IF(A37&lt;'Données projet'!$A$62,$AF$205^A37,IF(A37='Données projet'!$A$62,'Données projet'!$B$62,AI36+AH37-AQ36)))</f>
        <v>281.3179487179487</v>
      </c>
      <c r="AJ37" s="13">
        <f>AI37*VLOOKUP('Données projet'!$B$10,Paramètres!$A$1:$I$89,3,0)*VLOOKUP('Données projet'!$B$10,Paramètres!$A$1:$I$89,5,0)</f>
        <v>131.65679999999998</v>
      </c>
      <c r="AK37" s="13">
        <f t="shared" si="35"/>
        <v>34.378914540413547</v>
      </c>
      <c r="AL37" s="20">
        <f t="shared" si="4"/>
        <v>289.17886949122021</v>
      </c>
      <c r="AM37" s="59">
        <f t="shared" si="5"/>
        <v>582.51220282455347</v>
      </c>
      <c r="AN37" s="59">
        <f ca="1">AVERAGE(OFFSET($AM$3,0,0,'Données projet'!$E$10+1,1))-AVERAGE(OFFSET($H$3,0,0,'Données projet'!$E$10+1,1))</f>
        <v>205.73717397588365</v>
      </c>
      <c r="AO37" s="59">
        <f t="shared" si="36"/>
        <v>190.64998698136026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</v>
      </c>
      <c r="BD37" s="12">
        <f>IF('Données projet'!$A$88&gt;35,BD36+BC37-BL36,IF(A37&lt;'Données projet'!$A$88,$BA$205^A37,IF(A37='Données projet'!$A$88,'Données projet'!$B$88,BD36+BC37-BL36)))</f>
        <v>238.99999999999994</v>
      </c>
      <c r="BE37" s="13">
        <f>BD37*VLOOKUP('Données projet'!$B$11,Paramètres!$A$1:$I$89,3,0)*VLOOKUP('Données projet'!$B$11,Paramètres!$A$1:$I$89,5,0)</f>
        <v>130.49399999999997</v>
      </c>
      <c r="BF37" s="13">
        <f t="shared" si="37"/>
        <v>34.110483018610772</v>
      </c>
      <c r="BG37" s="20">
        <f t="shared" si="7"/>
        <v>286.68614125741368</v>
      </c>
      <c r="BH37" s="59">
        <f t="shared" si="8"/>
        <v>580.019474590747</v>
      </c>
      <c r="BI37" s="59">
        <f ca="1">AVERAGE(OFFSET($BH$3,0,0,'Données projet'!$E$11+1,1))-AVERAGE(OFFSET($H$3,0,0,'Données projet'!$E$11+1,1))</f>
        <v>159.92263609041913</v>
      </c>
      <c r="BJ37" s="59">
        <f t="shared" si="38"/>
        <v>271.78119133009307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9.1538474051169842</v>
      </c>
      <c r="BQ37" s="21">
        <f>EXP(-LN(2)/25)*BQ36+(1-EXP(-LN(2)/25))/(LN(2)/25)*Calculateur!BL37*Calculateur!BN37*VLOOKUP('Données projet'!$B$11,Paramètres!$A$1:$I$89,3,0)*0.475*44/12</f>
        <v>66.336232426065308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75.4900798311823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8.0564102564102633</v>
      </c>
      <c r="BY37" s="12">
        <f>IF('Données projet'!$A$114&gt;35,BY36+BX37-CG36,IF(A37&lt;'Données projet'!$A$114,$BV$205^A37,IF(A37='Données projet'!$A$114,'Données projet'!$B$114,BY36+BX37-CG36)))</f>
        <v>154.11025641025643</v>
      </c>
      <c r="BZ37" s="13">
        <f>BY37*VLOOKUP('Données projet'!$B$12,Paramètres!$A$1:$I$89,3,0)*VLOOKUP('Données projet'!$B$12,Paramètres!$A$1:$I$89,5,0)</f>
        <v>139.43896000000001</v>
      </c>
      <c r="CA37" s="13">
        <f t="shared" si="39"/>
        <v>36.168449088081644</v>
      </c>
      <c r="CB37" s="20">
        <f t="shared" si="10"/>
        <v>305.8495708284089</v>
      </c>
      <c r="CC37" s="59">
        <f t="shared" si="11"/>
        <v>599.18290416174227</v>
      </c>
      <c r="CD37" s="59">
        <f ca="1">AVERAGE(OFFSET($CC$3,0,0,'Données projet'!$E$12+1,1))-AVERAGE(OFFSET($H$3,0,0,'Données projet'!$E$12+1,1))</f>
        <v>280.25710840677186</v>
      </c>
      <c r="CE37" s="59">
        <f t="shared" si="40"/>
        <v>209.65224013288037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9.1999999999999993</v>
      </c>
      <c r="CT37" s="12">
        <f>IF('Données projet'!$A$140&gt;35,CT36+CS37-DB36,IF(A37&lt;'Données projet'!$A$140,$CQ$205^A37,IF(A37='Données projet'!$A$140,'Données projet'!$B$140,CT36+CS37-DB36)))</f>
        <v>158.79999999999998</v>
      </c>
      <c r="CU37" s="17">
        <f>CT37*VLOOKUP('Données projet'!$B$13,Paramètres!$A$1:$I$89,3,0)*VLOOKUP('Données projet'!$B$13,Paramètres!$A$1:$I$89,5,0)</f>
        <v>165.97776000000002</v>
      </c>
      <c r="CV37" s="13">
        <f t="shared" si="41"/>
        <v>42.18792407593731</v>
      </c>
      <c r="CW37" s="20">
        <f t="shared" si="13"/>
        <v>362.55523309892413</v>
      </c>
      <c r="CX37" s="59">
        <f t="shared" si="14"/>
        <v>655.88856643225745</v>
      </c>
      <c r="CY37" s="59">
        <f ca="1">AVERAGE(OFFSET($CX$3,0,0,'Données projet'!$E$13+1,1))-AVERAGE(OFFSET($H$3,0,0,'Données projet'!$E$13+1,1))</f>
        <v>330.14201227773452</v>
      </c>
      <c r="CZ37" s="59">
        <f t="shared" si="42"/>
        <v>307.07297894926467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15.48351648351648</v>
      </c>
      <c r="N38" s="13">
        <f>IF('Données projet'!$A$36&gt;35,N37+M38-V37,IF(A38&lt;'Données projet'!$A$36,$K$205^A38,IF(A38='Données projet'!$A$36,'Données projet'!$B$36,N37+M38-V37)))</f>
        <v>237.20219780219779</v>
      </c>
      <c r="O38" s="13">
        <f>N38*VLOOKUP('Données projet'!$B$9,Paramètres!$A$1:$I$89,3,0)*VLOOKUP('Données projet'!$B$9,Paramètres!$A$1:$I$89,5,0)</f>
        <v>141.84691428571429</v>
      </c>
      <c r="P38" s="13">
        <f t="shared" si="33"/>
        <v>36.719784353381193</v>
      </c>
      <c r="Q38" s="20">
        <f t="shared" si="53"/>
        <v>311.00366679642457</v>
      </c>
      <c r="R38" s="59">
        <f t="shared" si="0"/>
        <v>604.33700012975783</v>
      </c>
      <c r="S38" s="59">
        <f ca="1">AVERAGE(OFFSET($R$3,0,0,'Données projet'!$E$9+1,1))-AVERAGE(OFFSET($H$3,0,0,'Données projet'!$E$9+1,1))</f>
        <v>283.73369613548124</v>
      </c>
      <c r="T38" s="59">
        <f t="shared" si="34"/>
        <v>249.77804091581208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20.766968424578057</v>
      </c>
      <c r="AA38" s="21">
        <f>EXP(-LN(2)/25)*AA37+(1-EXP(-LN(2)/25))/(LN(2)/25)*Calculateur!V38*Calculateur!X38*VLOOKUP('Données projet'!$B$9,Paramètres!$A$1:$I$89,3,0)*0.475*44/12</f>
        <v>10.631640094274999</v>
      </c>
      <c r="AB38" s="21">
        <f>EXP(-LN(2)/2)*AB37+(1-EXP(-LN(2)/2))/(LN(2)/2)*V38*Y38*VLOOKUP('Données projet'!$B$9,Paramètres!$A$1:$I$89,3,0)*0.475*44/12</f>
        <v>1.0166646088381996</v>
      </c>
      <c r="AC38" s="22">
        <f t="shared" si="3"/>
        <v>32.415273127691258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16.131410256410259</v>
      </c>
      <c r="AI38" s="13">
        <f>IF('Données projet'!$A$62&gt;35,AI37+AH38-AQ37,IF(A38&lt;'Données projet'!$A$62,$AF$205^A38,IF(A38='Données projet'!$A$62,'Données projet'!$B$62,AI37+AH38-AQ37)))</f>
        <v>297.44935897435897</v>
      </c>
      <c r="AJ38" s="13">
        <f>AI38*VLOOKUP('Données projet'!$B$10,Paramètres!$A$1:$I$89,3,0)*VLOOKUP('Données projet'!$B$10,Paramètres!$A$1:$I$89,5,0)</f>
        <v>139.2063</v>
      </c>
      <c r="AK38" s="13">
        <f t="shared" si="35"/>
        <v>36.115119849784641</v>
      </c>
      <c r="AL38" s="20">
        <f t="shared" si="4"/>
        <v>305.35147290504159</v>
      </c>
      <c r="AM38" s="59">
        <f t="shared" si="5"/>
        <v>598.6848062383749</v>
      </c>
      <c r="AN38" s="59">
        <f ca="1">AVERAGE(OFFSET($AM$3,0,0,'Données projet'!$E$10+1,1))-AVERAGE(OFFSET($H$3,0,0,'Données projet'!$E$10+1,1))</f>
        <v>205.73717397588365</v>
      </c>
      <c r="AO38" s="59">
        <f t="shared" si="36"/>
        <v>190.64998698136026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15</v>
      </c>
      <c r="BD38" s="12">
        <f>IF('Données projet'!$A$88&gt;35,BD37+BC38-BL37,IF(A38&lt;'Données projet'!$A$88,$BA$205^A38,IF(A38='Données projet'!$A$88,'Données projet'!$B$88,BD37+BC38-BL37)))</f>
        <v>253.99999999999994</v>
      </c>
      <c r="BE38" s="13">
        <f>BD38*VLOOKUP('Données projet'!$B$11,Paramètres!$A$1:$I$89,3,0)*VLOOKUP('Données projet'!$B$11,Paramètres!$A$1:$I$89,5,0)</f>
        <v>138.68399999999997</v>
      </c>
      <c r="BF38" s="13">
        <f t="shared" si="37"/>
        <v>35.995362862956796</v>
      </c>
      <c r="BG38" s="20">
        <f t="shared" si="7"/>
        <v>304.23322365298299</v>
      </c>
      <c r="BH38" s="59">
        <f t="shared" si="8"/>
        <v>597.5665569863163</v>
      </c>
      <c r="BI38" s="59">
        <f ca="1">AVERAGE(OFFSET($BH$3,0,0,'Données projet'!$E$11+1,1))-AVERAGE(OFFSET($H$3,0,0,'Données projet'!$E$11+1,1))</f>
        <v>159.92263609041913</v>
      </c>
      <c r="BJ38" s="59">
        <f t="shared" si="38"/>
        <v>271.78119133009307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8.9743460407982525</v>
      </c>
      <c r="BQ38" s="21">
        <f>EXP(-LN(2)/25)*BQ37+(1-EXP(-LN(2)/25))/(LN(2)/25)*Calculateur!BL38*Calculateur!BN38*VLOOKUP('Données projet'!$B$11,Paramètres!$A$1:$I$89,3,0)*0.475*44/12</f>
        <v>64.522264661903705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73.496610702701958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162.16666666666669</v>
      </c>
      <c r="BW38" s="12">
        <f>VLOOKUP(A38,'Données projet'!$A$113:$I$133,9,0)</f>
        <v>8.0564102564102633</v>
      </c>
      <c r="BX38" s="12">
        <f t="array" ref="BX38">INDEX(BW:BW,MIN(IF(ISNUMBER(BW38:BW234),ROW(BW38:BW234),"")))</f>
        <v>8.0564102564102633</v>
      </c>
      <c r="BY38" s="12">
        <f>IF('Données projet'!$A$114&gt;35,BY37+BX38-CG37,IF(A38&lt;'Données projet'!$A$114,$BV$205^A38,IF(A38='Données projet'!$A$114,'Données projet'!$B$114,BY37+BX38-CG37)))</f>
        <v>162.16666666666669</v>
      </c>
      <c r="BZ38" s="13">
        <f>BY38*VLOOKUP('Données projet'!$B$12,Paramètres!$A$1:$I$89,3,0)*VLOOKUP('Données projet'!$B$12,Paramètres!$A$1:$I$89,5,0)</f>
        <v>146.72840000000002</v>
      </c>
      <c r="CA38" s="13">
        <f t="shared" si="39"/>
        <v>37.834151268675086</v>
      </c>
      <c r="CB38" s="20">
        <f t="shared" si="10"/>
        <v>321.44644345960916</v>
      </c>
      <c r="CC38" s="59">
        <f t="shared" si="11"/>
        <v>614.77977679294247</v>
      </c>
      <c r="CD38" s="59">
        <f ca="1">AVERAGE(OFFSET($CC$3,0,0,'Données projet'!$E$12+1,1))-AVERAGE(OFFSET($H$3,0,0,'Données projet'!$E$12+1,1))</f>
        <v>280.25710840677186</v>
      </c>
      <c r="CE38" s="59">
        <f t="shared" si="40"/>
        <v>209.65224013288037</v>
      </c>
      <c r="CF38" s="15">
        <f>IF(ISNA(VLOOKUP(A38,'Données projet'!$A$113:$I$133,3,0)),0,VLOOKUP(A38,'Données projet'!$A$113:$I$133,3,0))</f>
        <v>1</v>
      </c>
      <c r="CG38" s="15">
        <f>IF(ISNA(VLOOKUP(A38,'Données projet'!$A$113:$I$133,4,0)),0,VLOOKUP(A38,'Données projet'!$A$113:$I$133,4,0))</f>
        <v>60.602564102564102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168</v>
      </c>
      <c r="CR38" s="12">
        <f>VLOOKUP(A38,'Données projet'!$A$139:$I$159,9,0)</f>
        <v>9.1999999999999993</v>
      </c>
      <c r="CS38" s="12">
        <f t="array" ref="CS38">INDEX(CR:CR,MIN(IF(ISNUMBER(CR38:CR234),ROW(CR38:CR234),"")))</f>
        <v>9.1999999999999993</v>
      </c>
      <c r="CT38" s="12">
        <f>IF('Données projet'!$A$140&gt;35,CT37+CS38-DB37,IF(A38&lt;'Données projet'!$A$140,$CQ$205^A38,IF(A38='Données projet'!$A$140,'Données projet'!$B$140,CT37+CS38-DB37)))</f>
        <v>167.99999999999997</v>
      </c>
      <c r="CU38" s="17">
        <f>CT38*VLOOKUP('Données projet'!$B$13,Paramètres!$A$1:$I$89,3,0)*VLOOKUP('Données projet'!$B$13,Paramètres!$A$1:$I$89,5,0)</f>
        <v>175.59359999999998</v>
      </c>
      <c r="CV38" s="13">
        <f t="shared" si="41"/>
        <v>44.340433728638573</v>
      </c>
      <c r="CW38" s="20">
        <f t="shared" si="13"/>
        <v>383.05177541071208</v>
      </c>
      <c r="CX38" s="59">
        <f t="shared" si="14"/>
        <v>676.3851087440454</v>
      </c>
      <c r="CY38" s="59">
        <f ca="1">AVERAGE(OFFSET($CX$3,0,0,'Données projet'!$E$13+1,1))-AVERAGE(OFFSET($H$3,0,0,'Données projet'!$E$13+1,1))</f>
        <v>330.14201227773452</v>
      </c>
      <c r="CZ38" s="59">
        <f t="shared" si="42"/>
        <v>307.07297894926467</v>
      </c>
      <c r="DA38" s="15">
        <f>IF(ISNA(VLOOKUP(A38,'Données projet'!$A$139:$I$159,3,0)),0,VLOOKUP(A38,'Données projet'!$A$139:$I$159,3,0))</f>
        <v>4</v>
      </c>
      <c r="DB38" s="15" t="str">
        <f>IF(ISNA(VLOOKUP(A38,'Données projet'!$A$139:$I$159,4,0)),0,VLOOKUP(A38,'Données projet'!$A$139:$I$159,4,0))</f>
        <v>27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0.215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6.6809062473653311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6.6809062473653311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15.48351648351648</v>
      </c>
      <c r="N39" s="13">
        <f>IF('Données projet'!$A$36&gt;35,N38+M39-V38,IF(A39&lt;'Données projet'!$A$36,$K$205^A39,IF(A39='Données projet'!$A$36,'Données projet'!$B$36,N38+M39-V38)))</f>
        <v>252.68571428571425</v>
      </c>
      <c r="O39" s="13">
        <f>N39*VLOOKUP('Données projet'!$B$9,Paramètres!$A$1:$I$89,3,0)*VLOOKUP('Données projet'!$B$9,Paramètres!$A$1:$I$89,5,0)</f>
        <v>151.10605714285714</v>
      </c>
      <c r="P39" s="13">
        <f t="shared" si="33"/>
        <v>38.829833501111224</v>
      </c>
      <c r="Q39" s="20">
        <f t="shared" si="53"/>
        <v>330.80500953824486</v>
      </c>
      <c r="R39" s="59">
        <f t="shared" si="0"/>
        <v>624.13834287157817</v>
      </c>
      <c r="S39" s="59">
        <f ca="1">AVERAGE(OFFSET($R$3,0,0,'Données projet'!$E$9+1,1))-AVERAGE(OFFSET($H$3,0,0,'Données projet'!$E$9+1,1))</f>
        <v>283.73369613548124</v>
      </c>
      <c r="T39" s="59">
        <f t="shared" si="34"/>
        <v>249.77804091581208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20.359740840372098</v>
      </c>
      <c r="AA39" s="21">
        <f>EXP(-LN(2)/25)*AA38+(1-EXP(-LN(2)/25))/(LN(2)/25)*Calculateur!V39*Calculateur!X39*VLOOKUP('Données projet'!$B$9,Paramètres!$A$1:$I$89,3,0)*0.475*44/12</f>
        <v>10.340917336803395</v>
      </c>
      <c r="AB39" s="21">
        <f>EXP(-LN(2)/2)*AB38+(1-EXP(-LN(2)/2))/(LN(2)/2)*V39*Y39*VLOOKUP('Données projet'!$B$9,Paramètres!$A$1:$I$89,3,0)*0.475*44/12</f>
        <v>0.71889043910185979</v>
      </c>
      <c r="AC39" s="22">
        <f t="shared" si="3"/>
        <v>31.41954861627735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16.131410256410259</v>
      </c>
      <c r="AI39" s="13">
        <f>IF('Données projet'!$A$62&gt;35,AI38+AH39-AQ38,IF(A39&lt;'Données projet'!$A$62,$AF$205^A39,IF(A39='Données projet'!$A$62,'Données projet'!$B$62,AI38+AH39-AQ38)))</f>
        <v>313.58076923076925</v>
      </c>
      <c r="AJ39" s="13">
        <f>AI39*VLOOKUP('Données projet'!$B$10,Paramètres!$A$1:$I$89,3,0)*VLOOKUP('Données projet'!$B$10,Paramètres!$A$1:$I$89,5,0)</f>
        <v>146.75580000000002</v>
      </c>
      <c r="AK39" s="13">
        <f t="shared" si="35"/>
        <v>37.840393952855997</v>
      </c>
      <c r="AL39" s="20">
        <f t="shared" si="4"/>
        <v>321.5050378012242</v>
      </c>
      <c r="AM39" s="59">
        <f t="shared" si="5"/>
        <v>614.83837113455752</v>
      </c>
      <c r="AN39" s="59">
        <f ca="1">AVERAGE(OFFSET($AM$3,0,0,'Données projet'!$E$10+1,1))-AVERAGE(OFFSET($H$3,0,0,'Données projet'!$E$10+1,1))</f>
        <v>205.73717397588365</v>
      </c>
      <c r="AO39" s="59">
        <f t="shared" si="36"/>
        <v>190.64998698136026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269</v>
      </c>
      <c r="BB39" s="12">
        <f>VLOOKUP(A39,'Données projet'!$A$87:$I$107,9,0)</f>
        <v>15</v>
      </c>
      <c r="BC39" s="12">
        <f t="array" ref="BC39">INDEX(BB:BB,MIN(IF(ISNUMBER(BB39:BB235),ROW(BB39:BB235),"")))</f>
        <v>15</v>
      </c>
      <c r="BD39" s="12">
        <f>IF('Données projet'!$A$88&gt;35,BD38+BC39-BL38,IF(A39&lt;'Données projet'!$A$88,$BA$205^A39,IF(A39='Données projet'!$A$88,'Données projet'!$B$88,BD38+BC39-BL38)))</f>
        <v>268.99999999999994</v>
      </c>
      <c r="BE39" s="13">
        <f>BD39*VLOOKUP('Données projet'!$B$11,Paramètres!$A$1:$I$89,3,0)*VLOOKUP('Données projet'!$B$11,Paramètres!$A$1:$I$89,5,0)</f>
        <v>146.87399999999997</v>
      </c>
      <c r="BF39" s="13">
        <f t="shared" si="37"/>
        <v>37.867322517591383</v>
      </c>
      <c r="BG39" s="20">
        <f t="shared" si="7"/>
        <v>321.75780338480496</v>
      </c>
      <c r="BH39" s="59">
        <f t="shared" si="8"/>
        <v>615.09113671813827</v>
      </c>
      <c r="BI39" s="59">
        <f ca="1">AVERAGE(OFFSET($BH$3,0,0,'Données projet'!$E$11+1,1))-AVERAGE(OFFSET($H$3,0,0,'Données projet'!$E$11+1,1))</f>
        <v>159.92263609041913</v>
      </c>
      <c r="BJ39" s="59">
        <f t="shared" si="38"/>
        <v>271.78119133009307</v>
      </c>
      <c r="BK39" s="15">
        <f>IF(ISNA(VLOOKUP(A39,'Données projet'!$A$87:$I$107,3,0)),0,VLOOKUP(A39,'Données projet'!$A$87:$I$107,3,0))</f>
        <v>6</v>
      </c>
      <c r="BL39" s="15">
        <f>IF(ISNA(VLOOKUP(A39,'Données projet'!$A$87:$I$107,4,0)),0,VLOOKUP(A39,'Données projet'!$A$87:$I$107,4,0))</f>
        <v>75</v>
      </c>
      <c r="BM39" s="16">
        <f>IF(ISNA(VLOOKUP(A39,'Données projet'!$A$87:$I$107,5,0)),0%,VLOOKUP(A39,'Données projet'!$A$87:$I$107,5,0)*VLOOKUP('Données projet'!$B$11,Paramètres!$A$1:$I$89,7,0))</f>
        <v>0.18</v>
      </c>
      <c r="BN39" s="16">
        <f>IF(ISNA(VLOOKUP(A39,'Données projet'!$A$87:$I$107,6,0)),0%,VLOOKUP(A39,'Données projet'!$A$87:$I$107,6,0)*VLOOKUP('Données projet'!$B$11,Paramètres!$A$1:$I$89,7,0))</f>
        <v>0.36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18.576471189793637</v>
      </c>
      <c r="BQ39" s="21">
        <f>EXP(-LN(2)/25)*BQ38+(1-EXP(-LN(2)/25))/(LN(2)/25)*Calculateur!BL39*Calculateur!BN39*VLOOKUP('Données projet'!$B$11,Paramètres!$A$1:$I$89,3,0)*0.475*44/12</f>
        <v>82.237112880857168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100.8135840706508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9.3141025641025621</v>
      </c>
      <c r="BY39" s="12">
        <f>IF('Données projet'!$A$114&gt;35,BY38+BX39-CG38,IF(A39&lt;'Données projet'!$A$114,$BV$205^A39,IF(A39='Données projet'!$A$114,'Données projet'!$B$114,BY38+BX39-CG38)))</f>
        <v>110.87820512820515</v>
      </c>
      <c r="BZ39" s="13">
        <f>BY39*VLOOKUP('Données projet'!$B$12,Paramètres!$A$1:$I$89,3,0)*VLOOKUP('Données projet'!$B$12,Paramètres!$A$1:$I$89,5,0)</f>
        <v>100.32260000000002</v>
      </c>
      <c r="CA39" s="13">
        <f t="shared" si="39"/>
        <v>27.038838137326771</v>
      </c>
      <c r="CB39" s="20">
        <f t="shared" si="10"/>
        <v>221.82117142251082</v>
      </c>
      <c r="CC39" s="59">
        <f t="shared" si="11"/>
        <v>515.15450475584407</v>
      </c>
      <c r="CD39" s="59">
        <f ca="1">AVERAGE(OFFSET($CC$3,0,0,'Données projet'!$E$12+1,1))-AVERAGE(OFFSET($H$3,0,0,'Données projet'!$E$12+1,1))</f>
        <v>280.25710840677186</v>
      </c>
      <c r="CE39" s="59">
        <f t="shared" si="40"/>
        <v>209.65224013288037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8.8000000000000007</v>
      </c>
      <c r="CT39" s="12">
        <f>IF('Données projet'!$A$140&gt;35,CT38+CS39-DB38,IF(A39&lt;'Données projet'!$A$140,$CQ$205^A39,IF(A39='Données projet'!$A$140,'Données projet'!$B$140,CT38+CS39-DB38)))</f>
        <v>149.79999999999998</v>
      </c>
      <c r="CU39" s="17">
        <f>CT39*VLOOKUP('Données projet'!$B$13,Paramètres!$A$1:$I$89,3,0)*VLOOKUP('Données projet'!$B$13,Paramètres!$A$1:$I$89,5,0)</f>
        <v>156.57096000000001</v>
      </c>
      <c r="CV39" s="13">
        <f t="shared" si="41"/>
        <v>40.0681133718019</v>
      </c>
      <c r="CW39" s="20">
        <f t="shared" si="13"/>
        <v>342.4797194558883</v>
      </c>
      <c r="CX39" s="59">
        <f t="shared" si="14"/>
        <v>635.81305278922162</v>
      </c>
      <c r="CY39" s="59">
        <f ca="1">AVERAGE(OFFSET($CX$3,0,0,'Données projet'!$E$13+1,1))-AVERAGE(OFFSET($H$3,0,0,'Données projet'!$E$13+1,1))</f>
        <v>330.14201227773452</v>
      </c>
      <c r="CZ39" s="59">
        <f t="shared" si="42"/>
        <v>307.07297894926467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6.4982165146975364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6.4982165146975364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268.16923076923075</v>
      </c>
      <c r="L40" s="12">
        <f>VLOOKUP(A40,'Données projet'!$A$35:$I$55,9,0)</f>
        <v>15.48351648351648</v>
      </c>
      <c r="M40" s="12">
        <f t="array" ref="M40">INDEX(L:L,MIN(IF(ISNUMBER(L40:L236),ROW(L40:L236),"")))</f>
        <v>15.48351648351648</v>
      </c>
      <c r="N40" s="13">
        <f>IF('Données projet'!$A$36&gt;35,N39+M40-V39,IF(A40&lt;'Données projet'!$A$36,$K$205^A40,IF(A40='Données projet'!$A$36,'Données projet'!$B$36,N39+M40-V39)))</f>
        <v>268.16923076923075</v>
      </c>
      <c r="O40" s="13">
        <f>N40*VLOOKUP('Données projet'!$B$9,Paramètres!$A$1:$I$89,3,0)*VLOOKUP('Données projet'!$B$9,Paramètres!$A$1:$I$89,5,0)</f>
        <v>160.36520000000002</v>
      </c>
      <c r="P40" s="13">
        <f t="shared" si="33"/>
        <v>40.924876352970031</v>
      </c>
      <c r="Q40" s="20">
        <f t="shared" si="53"/>
        <v>350.58021631475617</v>
      </c>
      <c r="R40" s="59">
        <f t="shared" si="0"/>
        <v>643.91354964808943</v>
      </c>
      <c r="S40" s="59">
        <f ca="1">AVERAGE(OFFSET($R$3,0,0,'Données projet'!$E$9+1,1))-AVERAGE(OFFSET($H$3,0,0,'Données projet'!$E$9+1,1))</f>
        <v>283.73369613548124</v>
      </c>
      <c r="T40" s="59">
        <f t="shared" si="34"/>
        <v>249.77804091581208</v>
      </c>
      <c r="U40" s="15">
        <f>IF(ISNA(VLOOKUP(A40,'Données projet'!$A$35:$I$55,3,0)),0,VLOOKUP(A40,'Données projet'!$A$35:$I$55,3,0))</f>
        <v>4</v>
      </c>
      <c r="V40" s="15">
        <f>IF(ISNA(VLOOKUP(A40,'Données projet'!$A$35:$I$55,4,0)),0,VLOOKUP(A40,'Données projet'!$A$35:$I$55,4,0))</f>
        <v>43.623076923076923</v>
      </c>
      <c r="W40" s="16">
        <f>IF(ISNA(VLOOKUP(A40,'Données projet'!$A$35:$I$55,5,0)),0%,VLOOKUP(A40,'Données projet'!$A$35:$I$55,5,0)*VLOOKUP('Données projet'!$B$9,Paramètres!$A$1:$I$89,7,0))</f>
        <v>0.315</v>
      </c>
      <c r="X40" s="16">
        <f>IF(ISNA(VLOOKUP(A40,'Données projet'!$A$35:$I$55,6,0)),0%,VLOOKUP(A40,'Données projet'!$A$35:$I$55,6,0)*VLOOKUP('Données projet'!$B$9,Paramètres!$A$1:$I$89,7,0))</f>
        <v>7.5600000000000001E-2</v>
      </c>
      <c r="Y40" s="16">
        <f>IF(ISNA(VLOOKUP(A40,'Données projet'!$A$35:$I$55,7,0)),0%,VLOOKUP(A40,'Données projet'!$A$35:$I$55,7,0))</f>
        <v>0.13200000000000001</v>
      </c>
      <c r="Z40" s="21">
        <f>EXP(-LN(2)/35)*Z39+(1-EXP(-LN(2)/35))/(LN(2)/35)*V40*W40*VLOOKUP('Données projet'!$B$9,Paramètres!$A$1:$I$89,3,0)*0.475*44/12</f>
        <v>30.861248982537887</v>
      </c>
      <c r="AA40" s="21">
        <f>EXP(-LN(2)/25)*AA39+(1-EXP(-LN(2)/25))/(LN(2)/25)*Calculateur!V40*Calculateur!X40*VLOOKUP('Données projet'!$B$9,Paramètres!$A$1:$I$89,3,0)*0.475*44/12</f>
        <v>12.664023568731189</v>
      </c>
      <c r="AB40" s="21">
        <f>EXP(-LN(2)/2)*AB39+(1-EXP(-LN(2)/2))/(LN(2)/2)*V40*Y40*VLOOKUP('Données projet'!$B$9,Paramètres!$A$1:$I$89,3,0)*0.475*44/12</f>
        <v>4.4070963233694158</v>
      </c>
      <c r="AC40" s="22">
        <f t="shared" si="3"/>
        <v>47.932368874638492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16.131410256410259</v>
      </c>
      <c r="AI40" s="13">
        <f>IF('Données projet'!$A$62&gt;35,AI39+AH40-AQ39,IF(A40&lt;'Données projet'!$A$62,$AF$205^A40,IF(A40='Données projet'!$A$62,'Données projet'!$B$62,AI39+AH40-AQ39)))</f>
        <v>329.71217948717953</v>
      </c>
      <c r="AJ40" s="13">
        <f>AI40*VLOOKUP('Données projet'!$B$10,Paramètres!$A$1:$I$89,3,0)*VLOOKUP('Données projet'!$B$10,Paramètres!$A$1:$I$89,5,0)</f>
        <v>154.30530000000002</v>
      </c>
      <c r="AK40" s="13">
        <f t="shared" si="35"/>
        <v>39.555363325024224</v>
      </c>
      <c r="AL40" s="20">
        <f t="shared" si="4"/>
        <v>337.64065529108387</v>
      </c>
      <c r="AM40" s="59">
        <f t="shared" si="5"/>
        <v>630.97398862441719</v>
      </c>
      <c r="AN40" s="59">
        <f ca="1">AVERAGE(OFFSET($AM$3,0,0,'Données projet'!$E$10+1,1))-AVERAGE(OFFSET($H$3,0,0,'Données projet'!$E$10+1,1))</f>
        <v>205.73717397588365</v>
      </c>
      <c r="AO40" s="59">
        <f t="shared" si="36"/>
        <v>190.64998698136026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14</v>
      </c>
      <c r="BD40" s="12">
        <f>IF('Données projet'!$A$88&gt;35,BD39+BC40-BL39,IF(A40&lt;'Données projet'!$A$88,$BA$205^A40,IF(A40='Données projet'!$A$88,'Données projet'!$B$88,BD39+BC40-BL39)))</f>
        <v>207.99999999999994</v>
      </c>
      <c r="BE40" s="13">
        <f>BD40*VLOOKUP('Données projet'!$B$11,Paramètres!$A$1:$I$89,3,0)*VLOOKUP('Données projet'!$B$11,Paramètres!$A$1:$I$89,5,0)</f>
        <v>113.56799999999997</v>
      </c>
      <c r="BF40" s="13">
        <f t="shared" si="37"/>
        <v>30.170065062058185</v>
      </c>
      <c r="BG40" s="20">
        <f t="shared" si="7"/>
        <v>250.34379664975128</v>
      </c>
      <c r="BH40" s="59">
        <f t="shared" si="8"/>
        <v>543.67712998308457</v>
      </c>
      <c r="BI40" s="59">
        <f ca="1">AVERAGE(OFFSET($BH$3,0,0,'Données projet'!$E$11+1,1))-AVERAGE(OFFSET($H$3,0,0,'Données projet'!$E$11+1,1))</f>
        <v>159.92263609041913</v>
      </c>
      <c r="BJ40" s="59">
        <f t="shared" si="38"/>
        <v>271.78119133009307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18.212197920290411</v>
      </c>
      <c r="BQ40" s="21">
        <f>EXP(-LN(2)/25)*BQ39+(1-EXP(-LN(2)/25))/(LN(2)/25)*Calculateur!BL40*Calculateur!BN40*VLOOKUP('Données projet'!$B$11,Paramètres!$A$1:$I$89,3,0)*0.475*44/12</f>
        <v>79.988334704468315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98.200532624758722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9.3141025641025621</v>
      </c>
      <c r="BY40" s="12">
        <f>IF('Données projet'!$A$114&gt;35,BY39+BX40-CG39,IF(A40&lt;'Données projet'!$A$114,$BV$205^A40,IF(A40='Données projet'!$A$114,'Données projet'!$B$114,BY39+BX40-CG39)))</f>
        <v>120.19230769230771</v>
      </c>
      <c r="BZ40" s="13">
        <f>BY40*VLOOKUP('Données projet'!$B$12,Paramètres!$A$1:$I$89,3,0)*VLOOKUP('Données projet'!$B$12,Paramètres!$A$1:$I$89,5,0)</f>
        <v>108.75000000000001</v>
      </c>
      <c r="CA40" s="13">
        <f t="shared" si="39"/>
        <v>29.036279216217448</v>
      </c>
      <c r="CB40" s="20">
        <f t="shared" si="10"/>
        <v>239.97776963491205</v>
      </c>
      <c r="CC40" s="59">
        <f t="shared" si="11"/>
        <v>533.31110296824534</v>
      </c>
      <c r="CD40" s="59">
        <f ca="1">AVERAGE(OFFSET($CC$3,0,0,'Données projet'!$E$12+1,1))-AVERAGE(OFFSET($H$3,0,0,'Données projet'!$E$12+1,1))</f>
        <v>280.25710840677186</v>
      </c>
      <c r="CE40" s="59">
        <f t="shared" si="40"/>
        <v>209.65224013288037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8.8000000000000007</v>
      </c>
      <c r="CT40" s="12">
        <f>IF('Données projet'!$A$140&gt;35,CT39+CS40-DB39,IF(A40&lt;'Données projet'!$A$140,$CQ$205^A40,IF(A40='Données projet'!$A$140,'Données projet'!$B$140,CT39+CS40-DB39)))</f>
        <v>158.6</v>
      </c>
      <c r="CU40" s="17">
        <f>CT40*VLOOKUP('Données projet'!$B$13,Paramètres!$A$1:$I$89,3,0)*VLOOKUP('Données projet'!$B$13,Paramètres!$A$1:$I$89,5,0)</f>
        <v>165.76872</v>
      </c>
      <c r="CV40" s="13">
        <f t="shared" si="41"/>
        <v>42.140971955776095</v>
      </c>
      <c r="CW40" s="20">
        <f t="shared" si="13"/>
        <v>362.10938015631001</v>
      </c>
      <c r="CX40" s="59">
        <f t="shared" si="14"/>
        <v>655.44271348964332</v>
      </c>
      <c r="CY40" s="59">
        <f ca="1">AVERAGE(OFFSET($CX$3,0,0,'Données projet'!$E$13+1,1))-AVERAGE(OFFSET($H$3,0,0,'Données projet'!$E$13+1,1))</f>
        <v>330.14201227773452</v>
      </c>
      <c r="CZ40" s="59">
        <f t="shared" si="42"/>
        <v>307.07297894926467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6.3205224423767774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6.3205224423767774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15.364102564102561</v>
      </c>
      <c r="N41" s="13">
        <f>IF('Données projet'!$A$36&gt;35,N40+M41-V40,IF(A41&lt;'Données projet'!$A$36,$K$205^A41,IF(A41='Données projet'!$A$36,'Données projet'!$B$36,N40+M41-V40)))</f>
        <v>239.91025641025638</v>
      </c>
      <c r="O41" s="13">
        <f>N41*VLOOKUP('Données projet'!$B$9,Paramètres!$A$1:$I$89,3,0)*VLOOKUP('Données projet'!$B$9,Paramètres!$A$1:$I$89,5,0)</f>
        <v>143.46633333333332</v>
      </c>
      <c r="P41" s="13">
        <f t="shared" si="33"/>
        <v>37.089959908428597</v>
      </c>
      <c r="Q41" s="20">
        <f t="shared" si="53"/>
        <v>314.46887739606865</v>
      </c>
      <c r="R41" s="59">
        <f t="shared" si="0"/>
        <v>607.80221072940196</v>
      </c>
      <c r="S41" s="59">
        <f ca="1">AVERAGE(OFFSET($R$3,0,0,'Données projet'!$E$9+1,1))-AVERAGE(OFFSET($H$3,0,0,'Données projet'!$E$9+1,1))</f>
        <v>283.73369613548124</v>
      </c>
      <c r="T41" s="59">
        <f t="shared" si="34"/>
        <v>249.77804091581208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30.256078713493533</v>
      </c>
      <c r="AA41" s="21">
        <f>EXP(-LN(2)/25)*AA40+(1-EXP(-LN(2)/25))/(LN(2)/25)*Calculateur!V41*Calculateur!X41*VLOOKUP('Données projet'!$B$9,Paramètres!$A$1:$I$89,3,0)*0.475*44/12</f>
        <v>12.317725178272179</v>
      </c>
      <c r="AB41" s="21">
        <f>EXP(-LN(2)/2)*AB40+(1-EXP(-LN(2)/2))/(LN(2)/2)*V41*Y41*VLOOKUP('Données projet'!$B$9,Paramètres!$A$1:$I$89,3,0)*0.475*44/12</f>
        <v>3.116287695596816</v>
      </c>
      <c r="AC41" s="22">
        <f t="shared" si="3"/>
        <v>45.690091587362531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16.131410256410259</v>
      </c>
      <c r="AI41" s="13">
        <f>IF('Données projet'!$A$62&gt;35,AI40+AH41-AQ40,IF(A41&lt;'Données projet'!$A$62,$AF$205^A41,IF(A41='Données projet'!$A$62,'Données projet'!$B$62,AI40+AH41-AQ40)))</f>
        <v>345.8435897435898</v>
      </c>
      <c r="AJ41" s="13">
        <f>AI41*VLOOKUP('Données projet'!$B$10,Paramètres!$A$1:$I$89,3,0)*VLOOKUP('Données projet'!$B$10,Paramètres!$A$1:$I$89,5,0)</f>
        <v>161.85480000000001</v>
      </c>
      <c r="AK41" s="13">
        <f t="shared" si="35"/>
        <v>41.260589676862445</v>
      </c>
      <c r="AL41" s="20">
        <f t="shared" si="4"/>
        <v>353.75930368720213</v>
      </c>
      <c r="AM41" s="59">
        <f t="shared" si="5"/>
        <v>647.09263702053545</v>
      </c>
      <c r="AN41" s="59">
        <f ca="1">AVERAGE(OFFSET($AM$3,0,0,'Données projet'!$E$10+1,1))-AVERAGE(OFFSET($H$3,0,0,'Données projet'!$E$10+1,1))</f>
        <v>205.73717397588365</v>
      </c>
      <c r="AO41" s="59">
        <f t="shared" si="36"/>
        <v>190.64998698136026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14</v>
      </c>
      <c r="BD41" s="12">
        <f>IF('Données projet'!$A$88&gt;35,BD40+BC41-BL40,IF(A41&lt;'Données projet'!$A$88,$BA$205^A41,IF(A41='Données projet'!$A$88,'Données projet'!$B$88,BD40+BC41-BL40)))</f>
        <v>221.99999999999994</v>
      </c>
      <c r="BE41" s="13">
        <f>BD41*VLOOKUP('Données projet'!$B$11,Paramètres!$A$1:$I$89,3,0)*VLOOKUP('Données projet'!$B$11,Paramètres!$A$1:$I$89,5,0)</f>
        <v>121.21199999999996</v>
      </c>
      <c r="BF41" s="13">
        <f t="shared" si="37"/>
        <v>31.95751284761706</v>
      </c>
      <c r="BG41" s="20">
        <f t="shared" si="7"/>
        <v>266.77023487626633</v>
      </c>
      <c r="BH41" s="59">
        <f t="shared" si="8"/>
        <v>560.10356820959964</v>
      </c>
      <c r="BI41" s="59">
        <f ca="1">AVERAGE(OFFSET($BH$3,0,0,'Données projet'!$E$11+1,1))-AVERAGE(OFFSET($H$3,0,0,'Données projet'!$E$11+1,1))</f>
        <v>159.92263609041913</v>
      </c>
      <c r="BJ41" s="59">
        <f t="shared" si="38"/>
        <v>271.78119133009307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17.85506782741739</v>
      </c>
      <c r="BQ41" s="21">
        <f>EXP(-LN(2)/25)*BQ40+(1-EXP(-LN(2)/25))/(LN(2)/25)*Calculateur!BL41*Calculateur!BN41*VLOOKUP('Données projet'!$B$11,Paramètres!$A$1:$I$89,3,0)*0.475*44/12</f>
        <v>77.801049485570928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95.656117312988314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9.3141025641025621</v>
      </c>
      <c r="BY41" s="12">
        <f>IF('Données projet'!$A$114&gt;35,BY40+BX41-CG40,IF(A41&lt;'Données projet'!$A$114,$BV$205^A41,IF(A41='Données projet'!$A$114,'Données projet'!$B$114,BY40+BX41-CG40)))</f>
        <v>129.50641025641028</v>
      </c>
      <c r="BZ41" s="13">
        <f>BY41*VLOOKUP('Données projet'!$B$12,Paramètres!$A$1:$I$89,3,0)*VLOOKUP('Données projet'!$B$12,Paramètres!$A$1:$I$89,5,0)</f>
        <v>117.17740000000002</v>
      </c>
      <c r="CA41" s="13">
        <f t="shared" si="39"/>
        <v>31.015764986886897</v>
      </c>
      <c r="CB41" s="20">
        <f t="shared" si="10"/>
        <v>258.10309568549474</v>
      </c>
      <c r="CC41" s="59">
        <f t="shared" si="11"/>
        <v>551.43642901882799</v>
      </c>
      <c r="CD41" s="59">
        <f ca="1">AVERAGE(OFFSET($CC$3,0,0,'Données projet'!$E$12+1,1))-AVERAGE(OFFSET($H$3,0,0,'Données projet'!$E$12+1,1))</f>
        <v>280.25710840677186</v>
      </c>
      <c r="CE41" s="59">
        <f t="shared" si="40"/>
        <v>209.65224013288037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8.8000000000000007</v>
      </c>
      <c r="CT41" s="12">
        <f>IF('Données projet'!$A$140&gt;35,CT40+CS41-DB40,IF(A41&lt;'Données projet'!$A$140,$CQ$205^A41,IF(A41='Données projet'!$A$140,'Données projet'!$B$140,CT40+CS41-DB40)))</f>
        <v>167.4</v>
      </c>
      <c r="CU41" s="17">
        <f>CT41*VLOOKUP('Données projet'!$B$13,Paramètres!$A$1:$I$89,3,0)*VLOOKUP('Données projet'!$B$13,Paramètres!$A$1:$I$89,5,0)</f>
        <v>174.96648000000002</v>
      </c>
      <c r="CV41" s="13">
        <f t="shared" si="41"/>
        <v>44.20047886519378</v>
      </c>
      <c r="CW41" s="20">
        <f t="shared" si="13"/>
        <v>381.71578669021255</v>
      </c>
      <c r="CX41" s="59">
        <f t="shared" si="14"/>
        <v>675.04912002354581</v>
      </c>
      <c r="CY41" s="59">
        <f ca="1">AVERAGE(OFFSET($CX$3,0,0,'Données projet'!$E$13+1,1))-AVERAGE(OFFSET($H$3,0,0,'Données projet'!$E$13+1,1))</f>
        <v>330.14201227773452</v>
      </c>
      <c r="CZ41" s="59">
        <f t="shared" si="42"/>
        <v>307.07297894926467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6.1476874238081551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6.1476874238081551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15.364102564102561</v>
      </c>
      <c r="N42" s="13">
        <f>IF('Données projet'!$A$36&gt;35,N41+M42-V41,IF(A42&lt;'Données projet'!$A$36,$K$205^A42,IF(A42='Données projet'!$A$36,'Données projet'!$B$36,N41+M42-V41)))</f>
        <v>255.27435897435893</v>
      </c>
      <c r="O42" s="13">
        <f>N42*VLOOKUP('Données projet'!$B$9,Paramètres!$A$1:$I$89,3,0)*VLOOKUP('Données projet'!$B$9,Paramètres!$A$1:$I$89,5,0)</f>
        <v>152.65406666666664</v>
      </c>
      <c r="P42" s="13">
        <f t="shared" si="33"/>
        <v>39.18111473980327</v>
      </c>
      <c r="Q42" s="20">
        <f t="shared" si="53"/>
        <v>334.11294094960175</v>
      </c>
      <c r="R42" s="59">
        <f t="shared" si="0"/>
        <v>627.44627428293506</v>
      </c>
      <c r="S42" s="59">
        <f ca="1">AVERAGE(OFFSET($R$3,0,0,'Données projet'!$E$9+1,1))-AVERAGE(OFFSET($H$3,0,0,'Données projet'!$E$9+1,1))</f>
        <v>283.73369613548124</v>
      </c>
      <c r="T42" s="59">
        <f t="shared" si="34"/>
        <v>249.77804091581208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29.662775464307721</v>
      </c>
      <c r="AA42" s="21">
        <f>EXP(-LN(2)/25)*AA41+(1-EXP(-LN(2)/25))/(LN(2)/25)*Calculateur!V42*Calculateur!X42*VLOOKUP('Données projet'!$B$9,Paramètres!$A$1:$I$89,3,0)*0.475*44/12</f>
        <v>11.980896335511311</v>
      </c>
      <c r="AB42" s="21">
        <f>EXP(-LN(2)/2)*AB41+(1-EXP(-LN(2)/2))/(LN(2)/2)*V42*Y42*VLOOKUP('Données projet'!$B$9,Paramètres!$A$1:$I$89,3,0)*0.475*44/12</f>
        <v>2.2035481616847084</v>
      </c>
      <c r="AC42" s="22">
        <f t="shared" si="3"/>
        <v>43.84721996150374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16.131410256410259</v>
      </c>
      <c r="AI42" s="13">
        <f>IF('Données projet'!$A$62&gt;35,AI41+AH42-AQ41,IF(A42&lt;'Données projet'!$A$62,$AF$205^A42,IF(A42='Données projet'!$A$62,'Données projet'!$B$62,AI41+AH42-AQ41)))</f>
        <v>361.97500000000008</v>
      </c>
      <c r="AJ42" s="13">
        <f>AI42*VLOOKUP('Données projet'!$B$10,Paramètres!$A$1:$I$89,3,0)*VLOOKUP('Données projet'!$B$10,Paramètres!$A$1:$I$89,5,0)</f>
        <v>169.40430000000006</v>
      </c>
      <c r="AK42" s="13">
        <f t="shared" si="35"/>
        <v>42.956579357099159</v>
      </c>
      <c r="AL42" s="20">
        <f t="shared" si="4"/>
        <v>369.86186488028119</v>
      </c>
      <c r="AM42" s="59">
        <f t="shared" si="5"/>
        <v>663.1951982136145</v>
      </c>
      <c r="AN42" s="59">
        <f ca="1">AVERAGE(OFFSET($AM$3,0,0,'Données projet'!$E$10+1,1))-AVERAGE(OFFSET($H$3,0,0,'Données projet'!$E$10+1,1))</f>
        <v>205.73717397588365</v>
      </c>
      <c r="AO42" s="59">
        <f t="shared" si="36"/>
        <v>190.64998698136026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14</v>
      </c>
      <c r="BD42" s="12">
        <f>IF('Données projet'!$A$88&gt;35,BD41+BC42-BL41,IF(A42&lt;'Données projet'!$A$88,$BA$205^A42,IF(A42='Données projet'!$A$88,'Données projet'!$B$88,BD41+BC42-BL41)))</f>
        <v>235.99999999999994</v>
      </c>
      <c r="BE42" s="13">
        <f>BD42*VLOOKUP('Données projet'!$B$11,Paramètres!$A$1:$I$89,3,0)*VLOOKUP('Données projet'!$B$11,Paramètres!$A$1:$I$89,5,0)</f>
        <v>128.85599999999997</v>
      </c>
      <c r="BF42" s="13">
        <f t="shared" si="37"/>
        <v>33.731878688740906</v>
      </c>
      <c r="BG42" s="20">
        <f t="shared" si="7"/>
        <v>283.1738887162237</v>
      </c>
      <c r="BH42" s="59">
        <f t="shared" si="8"/>
        <v>576.50722204955696</v>
      </c>
      <c r="BI42" s="59">
        <f ca="1">AVERAGE(OFFSET($BH$3,0,0,'Données projet'!$E$11+1,1))-AVERAGE(OFFSET($H$3,0,0,'Données projet'!$E$11+1,1))</f>
        <v>159.92263609041913</v>
      </c>
      <c r="BJ42" s="59">
        <f t="shared" si="38"/>
        <v>271.78119133009307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17.504940837837761</v>
      </c>
      <c r="BQ42" s="21">
        <f>EXP(-LN(2)/25)*BQ41+(1-EXP(-LN(2)/25))/(LN(2)/25)*Calculateur!BL42*Calculateur!BN42*VLOOKUP('Données projet'!$B$11,Paramètres!$A$1:$I$89,3,0)*0.475*44/12</f>
        <v>75.673575696008612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93.178516533846377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9.3141025641025621</v>
      </c>
      <c r="BY42" s="12">
        <f>IF('Données projet'!$A$114&gt;35,BY41+BX42-CG41,IF(A42&lt;'Données projet'!$A$114,$BV$205^A42,IF(A42='Données projet'!$A$114,'Données projet'!$B$114,BY41+BX42-CG41)))</f>
        <v>138.82051282051285</v>
      </c>
      <c r="BZ42" s="13">
        <f>BY42*VLOOKUP('Données projet'!$B$12,Paramètres!$A$1:$I$89,3,0)*VLOOKUP('Données projet'!$B$12,Paramètres!$A$1:$I$89,5,0)</f>
        <v>125.60480000000001</v>
      </c>
      <c r="CA42" s="13">
        <f t="shared" si="39"/>
        <v>32.978733659615138</v>
      </c>
      <c r="CB42" s="20">
        <f t="shared" si="10"/>
        <v>276.19965445716304</v>
      </c>
      <c r="CC42" s="59">
        <f t="shared" si="11"/>
        <v>569.53298779049635</v>
      </c>
      <c r="CD42" s="59">
        <f ca="1">AVERAGE(OFFSET($CC$3,0,0,'Données projet'!$E$12+1,1))-AVERAGE(OFFSET($H$3,0,0,'Données projet'!$E$12+1,1))</f>
        <v>280.25710840677186</v>
      </c>
      <c r="CE42" s="59">
        <f t="shared" si="40"/>
        <v>209.65224013288037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8.8000000000000007</v>
      </c>
      <c r="CT42" s="12">
        <f>IF('Données projet'!$A$140&gt;35,CT41+CS42-DB41,IF(A42&lt;'Données projet'!$A$140,$CQ$205^A42,IF(A42='Données projet'!$A$140,'Données projet'!$B$140,CT41+CS42-DB41)))</f>
        <v>176.20000000000002</v>
      </c>
      <c r="CU42" s="17">
        <f>CT42*VLOOKUP('Données projet'!$B$13,Paramètres!$A$1:$I$89,3,0)*VLOOKUP('Données projet'!$B$13,Paramètres!$A$1:$I$89,5,0)</f>
        <v>184.16424000000004</v>
      </c>
      <c r="CV42" s="13">
        <f t="shared" si="41"/>
        <v>46.247416025180279</v>
      </c>
      <c r="CW42" s="20">
        <f t="shared" si="13"/>
        <v>401.30030091052237</v>
      </c>
      <c r="CX42" s="59">
        <f t="shared" si="14"/>
        <v>694.63363424385568</v>
      </c>
      <c r="CY42" s="59">
        <f ca="1">AVERAGE(OFFSET($CX$3,0,0,'Données projet'!$E$13+1,1))-AVERAGE(OFFSET($H$3,0,0,'Données projet'!$E$13+1,1))</f>
        <v>330.14201227773452</v>
      </c>
      <c r="CZ42" s="59">
        <f t="shared" si="42"/>
        <v>307.07297894926467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5.9795785879112904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5.9795785879112904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15.364102564102561</v>
      </c>
      <c r="N43" s="13">
        <f>IF('Données projet'!$A$36&gt;35,N42+M43-V42,IF(A43&lt;'Données projet'!$A$36,$K$205^A43,IF(A43='Données projet'!$A$36,'Données projet'!$B$36,N42+M43-V42)))</f>
        <v>270.63846153846151</v>
      </c>
      <c r="O43" s="13">
        <f>N43*VLOOKUP('Données projet'!$B$9,Paramètres!$A$1:$I$89,3,0)*VLOOKUP('Données projet'!$B$9,Paramètres!$A$1:$I$89,5,0)</f>
        <v>161.84180000000001</v>
      </c>
      <c r="P43" s="13">
        <f t="shared" si="33"/>
        <v>41.257661408086413</v>
      </c>
      <c r="Q43" s="20">
        <f t="shared" si="53"/>
        <v>353.73156195241717</v>
      </c>
      <c r="R43" s="59">
        <f t="shared" si="0"/>
        <v>647.06489528575048</v>
      </c>
      <c r="S43" s="59">
        <f ca="1">AVERAGE(OFFSET($R$3,0,0,'Données projet'!$E$9+1,1))-AVERAGE(OFFSET($H$3,0,0,'Données projet'!$E$9+1,1))</f>
        <v>283.73369613548124</v>
      </c>
      <c r="T43" s="59">
        <f t="shared" si="34"/>
        <v>249.77804091581208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29.081106529959193</v>
      </c>
      <c r="AA43" s="21">
        <f>EXP(-LN(2)/25)*AA42+(1-EXP(-LN(2)/25))/(LN(2)/25)*Calculateur!V43*Calculateur!X43*VLOOKUP('Données projet'!$B$9,Paramètres!$A$1:$I$89,3,0)*0.475*44/12</f>
        <v>11.653278095168798</v>
      </c>
      <c r="AB43" s="21">
        <f>EXP(-LN(2)/2)*AB42+(1-EXP(-LN(2)/2))/(LN(2)/2)*V43*Y43*VLOOKUP('Données projet'!$B$9,Paramètres!$A$1:$I$89,3,0)*0.475*44/12</f>
        <v>1.5581438477984082</v>
      </c>
      <c r="AC43" s="22">
        <f t="shared" si="3"/>
        <v>42.292528472926392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16.131410256410259</v>
      </c>
      <c r="AI43" s="13">
        <f>IF('Données projet'!$A$62&gt;35,AI42+AH43-AQ42,IF(A43&lt;'Données projet'!$A$62,$AF$205^A43,IF(A43='Données projet'!$A$62,'Données projet'!$B$62,AI42+AH43-AQ42)))</f>
        <v>378.10641025641036</v>
      </c>
      <c r="AJ43" s="13">
        <f>AI43*VLOOKUP('Données projet'!$B$10,Paramètres!$A$1:$I$89,3,0)*VLOOKUP('Données projet'!$B$10,Paramètres!$A$1:$I$89,5,0)</f>
        <v>176.95380000000006</v>
      </c>
      <c r="AK43" s="13">
        <f t="shared" si="35"/>
        <v>44.643791032081154</v>
      </c>
      <c r="AL43" s="20">
        <f t="shared" si="4"/>
        <v>385.94913771420806</v>
      </c>
      <c r="AM43" s="59">
        <f t="shared" si="5"/>
        <v>679.28247104754132</v>
      </c>
      <c r="AN43" s="59">
        <f ca="1">AVERAGE(OFFSET($AM$3,0,0,'Données projet'!$E$10+1,1))-AVERAGE(OFFSET($H$3,0,0,'Données projet'!$E$10+1,1))</f>
        <v>205.73717397588365</v>
      </c>
      <c r="AO43" s="59">
        <f t="shared" si="36"/>
        <v>190.64998698136026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14</v>
      </c>
      <c r="BD43" s="12">
        <f>IF('Données projet'!$A$88&gt;35,BD42+BC43-BL42,IF(A43&lt;'Données projet'!$A$88,$BA$205^A43,IF(A43='Données projet'!$A$88,'Données projet'!$B$88,BD42+BC43-BL42)))</f>
        <v>249.99999999999994</v>
      </c>
      <c r="BE43" s="13">
        <f>BD43*VLOOKUP('Données projet'!$B$11,Paramètres!$A$1:$I$89,3,0)*VLOOKUP('Données projet'!$B$11,Paramètres!$A$1:$I$89,5,0)</f>
        <v>136.49999999999997</v>
      </c>
      <c r="BF43" s="13">
        <f t="shared" si="37"/>
        <v>35.494027024087352</v>
      </c>
      <c r="BG43" s="20">
        <f t="shared" si="7"/>
        <v>299.55626373361878</v>
      </c>
      <c r="BH43" s="59">
        <f t="shared" si="8"/>
        <v>592.88959706695209</v>
      </c>
      <c r="BI43" s="59">
        <f ca="1">AVERAGE(OFFSET($BH$3,0,0,'Données projet'!$E$11+1,1))-AVERAGE(OFFSET($H$3,0,0,'Données projet'!$E$11+1,1))</f>
        <v>159.92263609041913</v>
      </c>
      <c r="BJ43" s="59">
        <f t="shared" si="38"/>
        <v>271.78119133009307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17.161679624967412</v>
      </c>
      <c r="BQ43" s="21">
        <f>EXP(-LN(2)/25)*BQ42+(1-EXP(-LN(2)/25))/(LN(2)/25)*Calculateur!BL43*Calculateur!BN43*VLOOKUP('Données projet'!$B$11,Paramètres!$A$1:$I$89,3,0)*0.475*44/12</f>
        <v>73.604277789100863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90.765957414068282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9.3141025641025621</v>
      </c>
      <c r="BY43" s="12">
        <f>IF('Données projet'!$A$114&gt;35,BY42+BX43-CG42,IF(A43&lt;'Données projet'!$A$114,$BV$205^A43,IF(A43='Données projet'!$A$114,'Données projet'!$B$114,BY42+BX43-CG42)))</f>
        <v>148.13461538461542</v>
      </c>
      <c r="BZ43" s="13">
        <f>BY43*VLOOKUP('Données projet'!$B$12,Paramètres!$A$1:$I$89,3,0)*VLOOKUP('Données projet'!$B$12,Paramètres!$A$1:$I$89,5,0)</f>
        <v>134.03220000000002</v>
      </c>
      <c r="CA43" s="13">
        <f t="shared" si="39"/>
        <v>34.926419532696755</v>
      </c>
      <c r="CB43" s="20">
        <f t="shared" si="10"/>
        <v>294.26959568611358</v>
      </c>
      <c r="CC43" s="59">
        <f t="shared" si="11"/>
        <v>587.60292901944695</v>
      </c>
      <c r="CD43" s="59">
        <f ca="1">AVERAGE(OFFSET($CC$3,0,0,'Données projet'!$E$12+1,1))-AVERAGE(OFFSET($H$3,0,0,'Données projet'!$E$12+1,1))</f>
        <v>280.25710840677186</v>
      </c>
      <c r="CE43" s="59">
        <f t="shared" si="40"/>
        <v>209.65224013288037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185</v>
      </c>
      <c r="CR43" s="12">
        <f>VLOOKUP(A43,'Données projet'!$A$139:$I$159,9,0)</f>
        <v>8.8000000000000007</v>
      </c>
      <c r="CS43" s="12">
        <f t="array" ref="CS43">INDEX(CR:CR,MIN(IF(ISNUMBER(CR43:CR239),ROW(CR43:CR239),"")))</f>
        <v>8.8000000000000007</v>
      </c>
      <c r="CT43" s="12">
        <f>IF('Données projet'!$A$140&gt;35,CT42+CS43-DB42,IF(A43&lt;'Données projet'!$A$140,$CQ$205^A43,IF(A43='Données projet'!$A$140,'Données projet'!$B$140,CT42+CS43-DB42)))</f>
        <v>185.00000000000003</v>
      </c>
      <c r="CU43" s="17">
        <f>CT43*VLOOKUP('Données projet'!$B$13,Paramètres!$A$1:$I$89,3,0)*VLOOKUP('Données projet'!$B$13,Paramètres!$A$1:$I$89,5,0)</f>
        <v>193.36200000000005</v>
      </c>
      <c r="CV43" s="13">
        <f t="shared" si="41"/>
        <v>48.282482845036888</v>
      </c>
      <c r="CW43" s="20">
        <f t="shared" si="13"/>
        <v>420.864140955106</v>
      </c>
      <c r="CX43" s="59">
        <f t="shared" si="14"/>
        <v>714.19747428843925</v>
      </c>
      <c r="CY43" s="59">
        <f ca="1">AVERAGE(OFFSET($CX$3,0,0,'Données projet'!$E$13+1,1))-AVERAGE(OFFSET($H$3,0,0,'Données projet'!$E$13+1,1))</f>
        <v>330.14201227773452</v>
      </c>
      <c r="CZ43" s="59">
        <f t="shared" si="42"/>
        <v>307.07297894926467</v>
      </c>
      <c r="DA43" s="15">
        <f>IF(ISNA(VLOOKUP(A43,'Données projet'!$A$139:$I$159,3,0)),0,VLOOKUP(A43,'Données projet'!$A$139:$I$159,3,0))</f>
        <v>5</v>
      </c>
      <c r="DB43" s="15" t="str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0.215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12.496972944337816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12.496972944337816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15.364102564102561</v>
      </c>
      <c r="N44" s="13">
        <f>IF('Données projet'!$A$36&gt;35,N43+M44-V43,IF(A44&lt;'Données projet'!$A$36,$K$205^A44,IF(A44='Données projet'!$A$36,'Données projet'!$B$36,N43+M44-V43)))</f>
        <v>286.00256410256407</v>
      </c>
      <c r="O44" s="13">
        <f>N44*VLOOKUP('Données projet'!$B$9,Paramètres!$A$1:$I$89,3,0)*VLOOKUP('Données projet'!$B$9,Paramètres!$A$1:$I$89,5,0)</f>
        <v>171.02953333333335</v>
      </c>
      <c r="P44" s="13">
        <f t="shared" si="33"/>
        <v>43.320523714936215</v>
      </c>
      <c r="Q44" s="20">
        <f t="shared" si="53"/>
        <v>373.32634935906952</v>
      </c>
      <c r="R44" s="59">
        <f t="shared" si="0"/>
        <v>666.65968269240284</v>
      </c>
      <c r="S44" s="59">
        <f ca="1">AVERAGE(OFFSET($R$3,0,0,'Données projet'!$E$9+1,1))-AVERAGE(OFFSET($H$3,0,0,'Données projet'!$E$9+1,1))</f>
        <v>283.73369613548124</v>
      </c>
      <c r="T44" s="59">
        <f t="shared" si="34"/>
        <v>249.77804091581208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28.51084376863022</v>
      </c>
      <c r="AA44" s="21">
        <f>EXP(-LN(2)/25)*AA43+(1-EXP(-LN(2)/25))/(LN(2)/25)*Calculateur!V44*Calculateur!X44*VLOOKUP('Données projet'!$B$9,Paramètres!$A$1:$I$89,3,0)*0.475*44/12</f>
        <v>11.334618592837145</v>
      </c>
      <c r="AB44" s="21">
        <f>EXP(-LN(2)/2)*AB43+(1-EXP(-LN(2)/2))/(LN(2)/2)*V44*Y44*VLOOKUP('Données projet'!$B$9,Paramètres!$A$1:$I$89,3,0)*0.475*44/12</f>
        <v>1.1017740808423544</v>
      </c>
      <c r="AC44" s="22">
        <f t="shared" si="3"/>
        <v>40.947236442309723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16.131410256410259</v>
      </c>
      <c r="AI44" s="13">
        <f>IF('Données projet'!$A$62&gt;35,AI43+AH44-AQ43,IF(A44&lt;'Données projet'!$A$62,$AF$205^A44,IF(A44='Données projet'!$A$62,'Données projet'!$B$62,AI43+AH44-AQ43)))</f>
        <v>394.23782051282063</v>
      </c>
      <c r="AJ44" s="13">
        <f>AI44*VLOOKUP('Données projet'!$B$10,Paramètres!$A$1:$I$89,3,0)*VLOOKUP('Données projet'!$B$10,Paramètres!$A$1:$I$89,5,0)</f>
        <v>184.50330000000005</v>
      </c>
      <c r="AK44" s="13">
        <f t="shared" si="35"/>
        <v>46.32264201774467</v>
      </c>
      <c r="AL44" s="20">
        <f t="shared" si="4"/>
        <v>402.02184901423874</v>
      </c>
      <c r="AM44" s="59">
        <f t="shared" si="5"/>
        <v>695.35518234757205</v>
      </c>
      <c r="AN44" s="59">
        <f ca="1">AVERAGE(OFFSET($AM$3,0,0,'Données projet'!$E$10+1,1))-AVERAGE(OFFSET($H$3,0,0,'Données projet'!$E$10+1,1))</f>
        <v>205.73717397588365</v>
      </c>
      <c r="AO44" s="59">
        <f t="shared" si="36"/>
        <v>190.64998698136026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14</v>
      </c>
      <c r="BD44" s="12">
        <f>IF('Données projet'!$A$88&gt;35,BD43+BC44-BL43,IF(A44&lt;'Données projet'!$A$88,$BA$205^A44,IF(A44='Données projet'!$A$88,'Données projet'!$B$88,BD43+BC44-BL43)))</f>
        <v>263.99999999999994</v>
      </c>
      <c r="BE44" s="13">
        <f>BD44*VLOOKUP('Données projet'!$B$11,Paramètres!$A$1:$I$89,3,0)*VLOOKUP('Données projet'!$B$11,Paramètres!$A$1:$I$89,5,0)</f>
        <v>144.14399999999995</v>
      </c>
      <c r="BF44" s="13">
        <f t="shared" si="37"/>
        <v>37.244720006976216</v>
      </c>
      <c r="BG44" s="20">
        <f t="shared" si="7"/>
        <v>315.91868734548348</v>
      </c>
      <c r="BH44" s="59">
        <f t="shared" si="8"/>
        <v>609.25202067881673</v>
      </c>
      <c r="BI44" s="59">
        <f ca="1">AVERAGE(OFFSET($BH$3,0,0,'Données projet'!$E$11+1,1))-AVERAGE(OFFSET($H$3,0,0,'Données projet'!$E$11+1,1))</f>
        <v>159.92263609041913</v>
      </c>
      <c r="BJ44" s="59">
        <f t="shared" si="38"/>
        <v>271.78119133009307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16.825149555112784</v>
      </c>
      <c r="BQ44" s="21">
        <f>EXP(-LN(2)/25)*BQ43+(1-EXP(-LN(2)/25))/(LN(2)/25)*Calculateur!BL44*Calculateur!BN44*VLOOKUP('Données projet'!$B$11,Paramètres!$A$1:$I$89,3,0)*0.475*44/12</f>
        <v>71.591564942277159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88.416714497389947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157.44871794871796</v>
      </c>
      <c r="BW44" s="12">
        <f>VLOOKUP(A44,'Données projet'!$A$113:$I$133,9,0)</f>
        <v>9.3141025641025621</v>
      </c>
      <c r="BX44" s="12">
        <f t="array" ref="BX44">INDEX(BW:BW,MIN(IF(ISNUMBER(BW44:BW240),ROW(BW44:BW240),"")))</f>
        <v>9.3141025641025621</v>
      </c>
      <c r="BY44" s="12">
        <f>IF('Données projet'!$A$114&gt;35,BY43+BX44-CG43,IF(A44&lt;'Données projet'!$A$114,$BV$205^A44,IF(A44='Données projet'!$A$114,'Données projet'!$B$114,BY43+BX44-CG43)))</f>
        <v>157.44871794871798</v>
      </c>
      <c r="BZ44" s="13">
        <f>BY44*VLOOKUP('Données projet'!$B$12,Paramètres!$A$1:$I$89,3,0)*VLOOKUP('Données projet'!$B$12,Paramètres!$A$1:$I$89,5,0)</f>
        <v>142.45960000000002</v>
      </c>
      <c r="CA44" s="13">
        <f t="shared" si="39"/>
        <v>36.859892915688405</v>
      </c>
      <c r="CB44" s="20">
        <f t="shared" si="10"/>
        <v>312.31478349482404</v>
      </c>
      <c r="CC44" s="59">
        <f t="shared" si="11"/>
        <v>605.6481168281573</v>
      </c>
      <c r="CD44" s="59">
        <f ca="1">AVERAGE(OFFSET($CC$3,0,0,'Données projet'!$E$12+1,1))-AVERAGE(OFFSET($H$3,0,0,'Données projet'!$E$12+1,1))</f>
        <v>280.25710840677186</v>
      </c>
      <c r="CE44" s="59">
        <f t="shared" si="40"/>
        <v>209.65224013288037</v>
      </c>
      <c r="CF44" s="15">
        <f>IF(ISNA(VLOOKUP(A44,'Données projet'!$A$113:$I$133,3,0)),0,VLOOKUP(A44,'Données projet'!$A$113:$I$133,3,0))</f>
        <v>2</v>
      </c>
      <c r="CG44" s="15">
        <f>IF(ISNA(VLOOKUP(A44,'Données projet'!$A$113:$I$133,4,0)),0,VLOOKUP(A44,'Données projet'!$A$113:$I$133,4,0))</f>
        <v>38.512820512820511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</v>
      </c>
      <c r="CT44" s="12">
        <f>IF('Données projet'!$A$140&gt;35,CT43+CS44-DB43,IF(A44&lt;'Données projet'!$A$140,$CQ$205^A44,IF(A44='Données projet'!$A$140,'Données projet'!$B$140,CT43+CS44-DB43)))</f>
        <v>166.00000000000003</v>
      </c>
      <c r="CU44" s="17">
        <f>CT44*VLOOKUP('Données projet'!$B$13,Paramètres!$A$1:$I$89,3,0)*VLOOKUP('Données projet'!$B$13,Paramètres!$A$1:$I$89,5,0)</f>
        <v>173.50320000000005</v>
      </c>
      <c r="CV44" s="13">
        <f t="shared" si="41"/>
        <v>43.873689992225962</v>
      </c>
      <c r="CW44" s="20">
        <f t="shared" si="13"/>
        <v>378.59808340312696</v>
      </c>
      <c r="CX44" s="59">
        <f t="shared" si="14"/>
        <v>671.93141673646028</v>
      </c>
      <c r="CY44" s="59">
        <f ca="1">AVERAGE(OFFSET($CX$3,0,0,'Données projet'!$E$13+1,1))-AVERAGE(OFFSET($H$3,0,0,'Données projet'!$E$13+1,1))</f>
        <v>330.14201227773452</v>
      </c>
      <c r="CZ44" s="59">
        <f t="shared" si="42"/>
        <v>307.07297894926467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12.155242561987654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12.155242561987654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15.364102564102561</v>
      </c>
      <c r="N45" s="13">
        <f>IF('Données projet'!$A$36&gt;35,N44+M45-V44,IF(A45&lt;'Données projet'!$A$36,$K$205^A45,IF(A45='Données projet'!$A$36,'Données projet'!$B$36,N44+M45-V44)))</f>
        <v>301.36666666666662</v>
      </c>
      <c r="O45" s="13">
        <f>N45*VLOOKUP('Données projet'!$B$9,Paramètres!$A$1:$I$89,3,0)*VLOOKUP('Données projet'!$B$9,Paramètres!$A$1:$I$89,5,0)</f>
        <v>180.21726666666666</v>
      </c>
      <c r="P45" s="13">
        <f t="shared" si="33"/>
        <v>45.370520602809727</v>
      </c>
      <c r="Q45" s="20">
        <f t="shared" si="53"/>
        <v>392.89872949433806</v>
      </c>
      <c r="R45" s="59">
        <f t="shared" si="0"/>
        <v>686.23206282767137</v>
      </c>
      <c r="S45" s="59">
        <f ca="1">AVERAGE(OFFSET($R$3,0,0,'Données projet'!$E$9+1,1))-AVERAGE(OFFSET($H$3,0,0,'Données projet'!$E$9+1,1))</f>
        <v>283.73369613548124</v>
      </c>
      <c r="T45" s="59">
        <f t="shared" si="34"/>
        <v>249.77804091581208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27.951763512224971</v>
      </c>
      <c r="AA45" s="21">
        <f>EXP(-LN(2)/25)*AA44+(1-EXP(-LN(2)/25))/(LN(2)/25)*Calculateur!V45*Calculateur!X45*VLOOKUP('Données projet'!$B$9,Paramètres!$A$1:$I$89,3,0)*0.475*44/12</f>
        <v>11.024672851354328</v>
      </c>
      <c r="AB45" s="21">
        <f>EXP(-LN(2)/2)*AB44+(1-EXP(-LN(2)/2))/(LN(2)/2)*V45*Y45*VLOOKUP('Données projet'!$B$9,Paramètres!$A$1:$I$89,3,0)*0.475*44/12</f>
        <v>0.77907192389920432</v>
      </c>
      <c r="AC45" s="22">
        <f t="shared" si="3"/>
        <v>39.755508287478499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410.3692307692308</v>
      </c>
      <c r="AG45" s="12">
        <f>VLOOKUP(A45,'Données projet'!$A$61:$I$81,9,0)</f>
        <v>16.131410256410259</v>
      </c>
      <c r="AH45" s="12">
        <f t="array" ref="AH45">INDEX(AG:AG,MIN(IF(ISNUMBER(AG45:AG241),ROW(AG45:AG241),"")))</f>
        <v>16.131410256410259</v>
      </c>
      <c r="AI45" s="13">
        <f>IF('Données projet'!$A$62&gt;35,AI44+AH45-AQ44,IF(A45&lt;'Données projet'!$A$62,$AF$205^A45,IF(A45='Données projet'!$A$62,'Données projet'!$B$62,AI44+AH45-AQ44)))</f>
        <v>410.36923076923091</v>
      </c>
      <c r="AJ45" s="13">
        <f>AI45*VLOOKUP('Données projet'!$B$10,Paramètres!$A$1:$I$89,3,0)*VLOOKUP('Données projet'!$B$10,Paramètres!$A$1:$I$89,5,0)</f>
        <v>192.05280000000008</v>
      </c>
      <c r="AK45" s="13">
        <f t="shared" si="35"/>
        <v>47.993513546032311</v>
      </c>
      <c r="AL45" s="20">
        <f t="shared" si="4"/>
        <v>418.08066275933976</v>
      </c>
      <c r="AM45" s="59">
        <f t="shared" si="5"/>
        <v>711.41399609267307</v>
      </c>
      <c r="AN45" s="59">
        <f ca="1">AVERAGE(OFFSET($AM$3,0,0,'Données projet'!$E$10+1,1))-AVERAGE(OFFSET($H$3,0,0,'Données projet'!$E$10+1,1))</f>
        <v>205.73717397588365</v>
      </c>
      <c r="AO45" s="59">
        <f t="shared" si="36"/>
        <v>190.64998698136026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179.84615384615384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0.30800000000000005</v>
      </c>
      <c r="AT45" s="16">
        <f>IF(ISNA(VLOOKUP(A45,'Données projet'!$A$61:$I$81,7,0)),0%,VLOOKUP(A45,'Données projet'!$A$61:$I$81,7,0))</f>
        <v>0.44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34.254112709103957</v>
      </c>
      <c r="AW45" s="21">
        <f>EXP(-LN(2)/2)*AW44+(1-EXP(-LN(2)/2))/(LN(2)/2)*AQ45*AT45*VLOOKUP('Données projet'!$B$10,Paramètres!$A$1:$I$89,3,0)*0.475*44/12</f>
        <v>41.931000328011329</v>
      </c>
      <c r="AX45" s="21">
        <f t="shared" si="6"/>
        <v>76.185113037115286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278</v>
      </c>
      <c r="BB45" s="12">
        <f>VLOOKUP(A45,'Données projet'!$A$87:$I$107,9,0)</f>
        <v>14</v>
      </c>
      <c r="BC45" s="12">
        <f t="array" ref="BC45">INDEX(BB:BB,MIN(IF(ISNUMBER(BB45:BB241),ROW(BB45:BB241),"")))</f>
        <v>14</v>
      </c>
      <c r="BD45" s="12">
        <f>IF('Données projet'!$A$88&gt;35,BD44+BC45-BL44,IF(A45&lt;'Données projet'!$A$88,$BA$205^A45,IF(A45='Données projet'!$A$88,'Données projet'!$B$88,BD44+BC45-BL44)))</f>
        <v>277.99999999999994</v>
      </c>
      <c r="BE45" s="13">
        <f>BD45*VLOOKUP('Données projet'!$B$11,Paramètres!$A$1:$I$89,3,0)*VLOOKUP('Données projet'!$B$11,Paramètres!$A$1:$I$89,5,0)</f>
        <v>151.78799999999998</v>
      </c>
      <c r="BF45" s="13">
        <f t="shared" si="37"/>
        <v>38.984634390835623</v>
      </c>
      <c r="BG45" s="20">
        <f t="shared" si="7"/>
        <v>332.26233823070532</v>
      </c>
      <c r="BH45" s="59">
        <f t="shared" si="8"/>
        <v>625.59567156403864</v>
      </c>
      <c r="BI45" s="59">
        <f ca="1">AVERAGE(OFFSET($BH$3,0,0,'Données projet'!$E$11+1,1))-AVERAGE(OFFSET($H$3,0,0,'Données projet'!$E$11+1,1))</f>
        <v>159.92263609041913</v>
      </c>
      <c r="BJ45" s="59">
        <f t="shared" si="38"/>
        <v>271.78119133009307</v>
      </c>
      <c r="BK45" s="15" t="str">
        <f>IF(ISNA(VLOOKUP(A45,'Données projet'!$A$87:$I$107,3,0)),0,VLOOKUP(A45,'Données projet'!$A$87:$I$107,3,0))</f>
        <v>CR</v>
      </c>
      <c r="BL45" s="15">
        <f>IF(ISNA(VLOOKUP(A45,'Données projet'!$A$87:$I$107,4,0)),0,VLOOKUP(A45,'Données projet'!$A$87:$I$107,4,0))</f>
        <v>278</v>
      </c>
      <c r="BM45" s="16">
        <f>IF(ISNA(VLOOKUP(A45,'Données projet'!$A$87:$I$107,5,0)),0%,VLOOKUP(A45,'Données projet'!$A$87:$I$107,5,0)*VLOOKUP('Données projet'!$B$11,Paramètres!$A$1:$I$89,7,0))</f>
        <v>0.24</v>
      </c>
      <c r="BN45" s="16">
        <f>IF(ISNA(VLOOKUP(A45,'Données projet'!$A$87:$I$107,6,0)),0%,VLOOKUP(A45,'Données projet'!$A$87:$I$107,6,0)*VLOOKUP('Données projet'!$B$11,Paramètres!$A$1:$I$89,7,0))</f>
        <v>0.36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64.820794369606588</v>
      </c>
      <c r="BQ45" s="21">
        <f>EXP(-LN(2)/25)*BQ44+(1-EXP(-LN(2)/25))/(LN(2)/25)*Calculateur!BL45*Calculateur!BN45*VLOOKUP('Données projet'!$B$11,Paramètres!$A$1:$I$89,3,0)*0.475*44/12</f>
        <v>141.83683912877169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206.65763349837829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9.3452380952380913</v>
      </c>
      <c r="BY45" s="12">
        <f>IF('Données projet'!$A$114&gt;35,BY44+BX45-CG44,IF(A45&lt;'Données projet'!$A$114,$BV$205^A45,IF(A45='Données projet'!$A$114,'Données projet'!$B$114,BY44+BX45-CG44)))</f>
        <v>128.28113553113559</v>
      </c>
      <c r="BZ45" s="13">
        <f>BY45*VLOOKUP('Données projet'!$B$12,Paramètres!$A$1:$I$89,3,0)*VLOOKUP('Données projet'!$B$12,Paramètres!$A$1:$I$89,5,0)</f>
        <v>116.06877142857148</v>
      </c>
      <c r="CA45" s="13">
        <f t="shared" si="39"/>
        <v>30.75633490516044</v>
      </c>
      <c r="CB45" s="20">
        <f t="shared" si="10"/>
        <v>255.72039353124975</v>
      </c>
      <c r="CC45" s="59">
        <f t="shared" si="11"/>
        <v>549.05372686458304</v>
      </c>
      <c r="CD45" s="59">
        <f ca="1">AVERAGE(OFFSET($CC$3,0,0,'Données projet'!$E$12+1,1))-AVERAGE(OFFSET($H$3,0,0,'Données projet'!$E$12+1,1))</f>
        <v>280.25710840677186</v>
      </c>
      <c r="CE45" s="59">
        <f t="shared" si="40"/>
        <v>209.65224013288037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</v>
      </c>
      <c r="CT45" s="12">
        <f>IF('Données projet'!$A$140&gt;35,CT44+CS45-DB44,IF(A45&lt;'Données projet'!$A$140,$CQ$205^A45,IF(A45='Données projet'!$A$140,'Données projet'!$B$140,CT44+CS45-DB44)))</f>
        <v>174.00000000000003</v>
      </c>
      <c r="CU45" s="17">
        <f>CT45*VLOOKUP('Données projet'!$B$13,Paramètres!$A$1:$I$89,3,0)*VLOOKUP('Données projet'!$B$13,Paramètres!$A$1:$I$89,5,0)</f>
        <v>181.86480000000006</v>
      </c>
      <c r="CV45" s="13">
        <f t="shared" si="41"/>
        <v>45.73682061391029</v>
      </c>
      <c r="CW45" s="20">
        <f t="shared" si="13"/>
        <v>396.40615590256056</v>
      </c>
      <c r="CX45" s="59">
        <f t="shared" si="14"/>
        <v>689.73948923589387</v>
      </c>
      <c r="CY45" s="59">
        <f ca="1">AVERAGE(OFFSET($CX$3,0,0,'Données projet'!$E$13+1,1))-AVERAGE(OFFSET($H$3,0,0,'Données projet'!$E$13+1,1))</f>
        <v>330.14201227773452</v>
      </c>
      <c r="CZ45" s="59">
        <f t="shared" si="42"/>
        <v>307.07297894926467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11.822856814913676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11.822856814913676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15.364102564102561</v>
      </c>
      <c r="N46" s="13">
        <f>IF('Données projet'!$A$36&gt;35,N45+M46-V45,IF(A46&lt;'Données projet'!$A$36,$K$205^A46,IF(A46='Données projet'!$A$36,'Données projet'!$B$36,N45+M46-V45)))</f>
        <v>316.73076923076917</v>
      </c>
      <c r="O46" s="13">
        <f>N46*VLOOKUP('Données projet'!$B$9,Paramètres!$A$1:$I$89,3,0)*VLOOKUP('Données projet'!$B$9,Paramètres!$A$1:$I$89,5,0)</f>
        <v>189.405</v>
      </c>
      <c r="P46" s="13">
        <f t="shared" si="33"/>
        <v>47.408382795872441</v>
      </c>
      <c r="Q46" s="20">
        <f t="shared" si="53"/>
        <v>412.44997503614445</v>
      </c>
      <c r="R46" s="59">
        <f t="shared" si="0"/>
        <v>705.78330836947771</v>
      </c>
      <c r="S46" s="59">
        <f ca="1">AVERAGE(OFFSET($R$3,0,0,'Données projet'!$E$9+1,1))-AVERAGE(OFFSET($H$3,0,0,'Données projet'!$E$9+1,1))</f>
        <v>283.73369613548124</v>
      </c>
      <c r="T46" s="59">
        <f t="shared" si="34"/>
        <v>249.77804091581208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27.403646478642543</v>
      </c>
      <c r="AA46" s="21">
        <f>EXP(-LN(2)/25)*AA45+(1-EXP(-LN(2)/25))/(LN(2)/25)*Calculateur!V46*Calculateur!X46*VLOOKUP('Données projet'!$B$9,Paramètres!$A$1:$I$89,3,0)*0.475*44/12</f>
        <v>10.723202592471695</v>
      </c>
      <c r="AB46" s="21">
        <f>EXP(-LN(2)/2)*AB45+(1-EXP(-LN(2)/2))/(LN(2)/2)*V46*Y46*VLOOKUP('Données projet'!$B$9,Paramètres!$A$1:$I$89,3,0)*0.475*44/12</f>
        <v>0.55088704042117731</v>
      </c>
      <c r="AC46" s="22">
        <f t="shared" si="3"/>
        <v>38.677736111535417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15.618681318681309</v>
      </c>
      <c r="AI46" s="13">
        <f>IF('Données projet'!$A$62&gt;35,AI45+AH46-AQ45,IF(A46&lt;'Données projet'!$A$62,$AF$205^A46,IF(A46='Données projet'!$A$62,'Données projet'!$B$62,AI45+AH46-AQ45)))</f>
        <v>246.14175824175837</v>
      </c>
      <c r="AJ46" s="13">
        <f>AI46*VLOOKUP('Données projet'!$B$10,Paramètres!$A$1:$I$89,3,0)*VLOOKUP('Données projet'!$B$10,Paramètres!$A$1:$I$89,5,0)</f>
        <v>115.19434285714291</v>
      </c>
      <c r="AK46" s="13">
        <f t="shared" si="35"/>
        <v>30.5515065129288</v>
      </c>
      <c r="AL46" s="20">
        <f t="shared" si="4"/>
        <v>253.84068765287489</v>
      </c>
      <c r="AM46" s="59">
        <f t="shared" si="5"/>
        <v>547.17402098620823</v>
      </c>
      <c r="AN46" s="59">
        <f ca="1">AVERAGE(OFFSET($AM$3,0,0,'Données projet'!$E$10+1,1))-AVERAGE(OFFSET($H$3,0,0,'Données projet'!$E$10+1,1))</f>
        <v>205.73717397588365</v>
      </c>
      <c r="AO46" s="59">
        <f t="shared" si="36"/>
        <v>190.64998698136026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33.31743219572801</v>
      </c>
      <c r="AW46" s="21">
        <f>EXP(-LN(2)/2)*AW45+(1-EXP(-LN(2)/2))/(LN(2)/2)*AQ46*AT46*VLOOKUP('Données projet'!$B$10,Paramètres!$A$1:$I$89,3,0)*0.475*44/12</f>
        <v>29.649694673872162</v>
      </c>
      <c r="AX46" s="21">
        <f t="shared" si="6"/>
        <v>62.967126869600172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-5.6843418860808015E-14</v>
      </c>
      <c r="BE46" s="13">
        <f>BD46*VLOOKUP('Données projet'!$B$11,Paramètres!$A$1:$I$89,3,0)*VLOOKUP('Données projet'!$B$11,Paramètres!$A$1:$I$89,5,0)</f>
        <v>-3.1036506698001178E-14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159.92263609041913</v>
      </c>
      <c r="BJ46" s="59">
        <f t="shared" si="38"/>
        <v>271.78119133009307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63.549698128799236</v>
      </c>
      <c r="BQ46" s="21">
        <f>EXP(-LN(2)/25)*BQ45+(1-EXP(-LN(2)/25))/(LN(2)/25)*Calculateur!BL46*Calculateur!BN46*VLOOKUP('Données projet'!$B$11,Paramètres!$A$1:$I$89,3,0)*0.475*44/12</f>
        <v>137.95830330392022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201.50800143271945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9.3452380952380913</v>
      </c>
      <c r="BY46" s="12">
        <f>IF('Données projet'!$A$114&gt;35,BY45+BX46-CG45,IF(A46&lt;'Données projet'!$A$114,$BV$205^A46,IF(A46='Données projet'!$A$114,'Données projet'!$B$114,BY45+BX46-CG45)))</f>
        <v>137.62637362637369</v>
      </c>
      <c r="BZ46" s="13">
        <f>BY46*VLOOKUP('Données projet'!$B$12,Paramètres!$A$1:$I$89,3,0)*VLOOKUP('Données projet'!$B$12,Paramètres!$A$1:$I$89,5,0)</f>
        <v>124.52434285714291</v>
      </c>
      <c r="CA46" s="13">
        <f t="shared" si="39"/>
        <v>32.727944326790649</v>
      </c>
      <c r="CB46" s="20">
        <f t="shared" si="10"/>
        <v>273.88106684535092</v>
      </c>
      <c r="CC46" s="59">
        <f t="shared" si="11"/>
        <v>567.21440017868417</v>
      </c>
      <c r="CD46" s="59">
        <f ca="1">AVERAGE(OFFSET($CC$3,0,0,'Données projet'!$E$12+1,1))-AVERAGE(OFFSET($H$3,0,0,'Données projet'!$E$12+1,1))</f>
        <v>280.25710840677186</v>
      </c>
      <c r="CE46" s="59">
        <f t="shared" si="40"/>
        <v>209.65224013288037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</v>
      </c>
      <c r="CT46" s="12">
        <f>IF('Données projet'!$A$140&gt;35,CT45+CS46-DB45,IF(A46&lt;'Données projet'!$A$140,$CQ$205^A46,IF(A46='Données projet'!$A$140,'Données projet'!$B$140,CT45+CS46-DB45)))</f>
        <v>182.00000000000003</v>
      </c>
      <c r="CU46" s="17">
        <f>CT46*VLOOKUP('Données projet'!$B$13,Paramètres!$A$1:$I$89,3,0)*VLOOKUP('Données projet'!$B$13,Paramètres!$A$1:$I$89,5,0)</f>
        <v>190.22640000000004</v>
      </c>
      <c r="CV46" s="13">
        <f t="shared" si="41"/>
        <v>47.590003207063162</v>
      </c>
      <c r="CW46" s="20">
        <f t="shared" si="13"/>
        <v>414.19690225230175</v>
      </c>
      <c r="CX46" s="59">
        <f t="shared" si="14"/>
        <v>707.53023558563507</v>
      </c>
      <c r="CY46" s="59">
        <f ca="1">AVERAGE(OFFSET($CX$3,0,0,'Données projet'!$E$13+1,1))-AVERAGE(OFFSET($H$3,0,0,'Données projet'!$E$13+1,1))</f>
        <v>330.14201227773452</v>
      </c>
      <c r="CZ46" s="59">
        <f t="shared" si="42"/>
        <v>307.07297894926467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11.499560173572844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11.499560173572844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15.364102564102561</v>
      </c>
      <c r="N47" s="13">
        <f>IF('Données projet'!$A$36&gt;35,N46+M47-V46,IF(A47&lt;'Données projet'!$A$36,$K$205^A47,IF(A47='Données projet'!$A$36,'Données projet'!$B$36,N46+M47-V46)))</f>
        <v>332.09487179487172</v>
      </c>
      <c r="O47" s="13">
        <f>N47*VLOOKUP('Données projet'!$B$9,Paramètres!$A$1:$I$89,3,0)*VLOOKUP('Données projet'!$B$9,Paramètres!$A$1:$I$89,5,0)</f>
        <v>198.59273333333329</v>
      </c>
      <c r="P47" s="13">
        <f t="shared" si="33"/>
        <v>49.434766120428968</v>
      </c>
      <c r="Q47" s="20">
        <f t="shared" si="53"/>
        <v>431.98122821530256</v>
      </c>
      <c r="R47" s="59">
        <f t="shared" si="0"/>
        <v>725.31456154863588</v>
      </c>
      <c r="S47" s="59">
        <f ca="1">AVERAGE(OFFSET($R$3,0,0,'Données projet'!$E$9+1,1))-AVERAGE(OFFSET($H$3,0,0,'Données projet'!$E$9+1,1))</f>
        <v>283.73369613548124</v>
      </c>
      <c r="T47" s="59">
        <f t="shared" si="34"/>
        <v>249.77804091581208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26.866277685770289</v>
      </c>
      <c r="AA47" s="21">
        <f>EXP(-LN(2)/25)*AA46+(1-EXP(-LN(2)/25))/(LN(2)/25)*Calculateur!V47*Calculateur!X47*VLOOKUP('Données projet'!$B$9,Paramètres!$A$1:$I$89,3,0)*0.475*44/12</f>
        <v>10.42997605367184</v>
      </c>
      <c r="AB47" s="21">
        <f>EXP(-LN(2)/2)*AB46+(1-EXP(-LN(2)/2))/(LN(2)/2)*V47*Y47*VLOOKUP('Données projet'!$B$9,Paramètres!$A$1:$I$89,3,0)*0.475*44/12</f>
        <v>0.38953596194960222</v>
      </c>
      <c r="AC47" s="22">
        <f t="shared" si="3"/>
        <v>37.685789701391734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15.618681318681309</v>
      </c>
      <c r="AI47" s="13">
        <f>IF('Données projet'!$A$62&gt;35,AI46+AH47-AQ46,IF(A47&lt;'Données projet'!$A$62,$AF$205^A47,IF(A47='Données projet'!$A$62,'Données projet'!$B$62,AI46+AH47-AQ46)))</f>
        <v>261.76043956043969</v>
      </c>
      <c r="AJ47" s="13">
        <f>AI47*VLOOKUP('Données projet'!$B$10,Paramètres!$A$1:$I$89,3,0)*VLOOKUP('Données projet'!$B$10,Paramètres!$A$1:$I$89,5,0)</f>
        <v>122.50388571428577</v>
      </c>
      <c r="AK47" s="13">
        <f t="shared" si="35"/>
        <v>32.258285776503719</v>
      </c>
      <c r="AL47" s="20">
        <f t="shared" si="4"/>
        <v>269.54411534645834</v>
      </c>
      <c r="AM47" s="59">
        <f t="shared" si="5"/>
        <v>562.87744867979166</v>
      </c>
      <c r="AN47" s="59">
        <f ca="1">AVERAGE(OFFSET($AM$3,0,0,'Données projet'!$E$10+1,1))-AVERAGE(OFFSET($H$3,0,0,'Données projet'!$E$10+1,1))</f>
        <v>205.73717397588365</v>
      </c>
      <c r="AO47" s="59">
        <f t="shared" si="36"/>
        <v>190.64998698136026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32.406365260248215</v>
      </c>
      <c r="AW47" s="21">
        <f>EXP(-LN(2)/2)*AW46+(1-EXP(-LN(2)/2))/(LN(2)/2)*AQ47*AT47*VLOOKUP('Données projet'!$B$10,Paramètres!$A$1:$I$89,3,0)*0.475*44/12</f>
        <v>20.965500164005668</v>
      </c>
      <c r="AX47" s="21">
        <f t="shared" si="6"/>
        <v>53.371865424253883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-5.6843418860808015E-14</v>
      </c>
      <c r="BE47" s="13">
        <f>BD47*VLOOKUP('Données projet'!$B$11,Paramètres!$A$1:$I$89,3,0)*VLOOKUP('Données projet'!$B$11,Paramètres!$A$1:$I$89,5,0)</f>
        <v>-3.1036506698001178E-14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159.92263609041913</v>
      </c>
      <c r="BJ47" s="59">
        <f t="shared" si="38"/>
        <v>271.78119133009307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62.303527309981959</v>
      </c>
      <c r="BQ47" s="21">
        <f>EXP(-LN(2)/25)*BQ46+(1-EXP(-LN(2)/25))/(LN(2)/25)*Calculateur!BL47*Calculateur!BN47*VLOOKUP('Données projet'!$B$11,Paramètres!$A$1:$I$89,3,0)*0.475*44/12</f>
        <v>134.18582624516264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196.48935355514459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9.3452380952380913</v>
      </c>
      <c r="BY47" s="12">
        <f>IF('Données projet'!$A$114&gt;35,BY46+BX47-CG46,IF(A47&lt;'Données projet'!$A$114,$BV$205^A47,IF(A47='Données projet'!$A$114,'Données projet'!$B$114,BY46+BX47-CG46)))</f>
        <v>146.97161172161179</v>
      </c>
      <c r="BZ47" s="13">
        <f>BY47*VLOOKUP('Données projet'!$B$12,Paramètres!$A$1:$I$89,3,0)*VLOOKUP('Données projet'!$B$12,Paramètres!$A$1:$I$89,5,0)</f>
        <v>132.97991428571436</v>
      </c>
      <c r="CA47" s="13">
        <f t="shared" si="39"/>
        <v>34.684019161942608</v>
      </c>
      <c r="CB47" s="20">
        <f t="shared" si="10"/>
        <v>292.01468408800253</v>
      </c>
      <c r="CC47" s="59">
        <f t="shared" si="11"/>
        <v>585.34801742133584</v>
      </c>
      <c r="CD47" s="59">
        <f ca="1">AVERAGE(OFFSET($CC$3,0,0,'Données projet'!$E$12+1,1))-AVERAGE(OFFSET($H$3,0,0,'Données projet'!$E$12+1,1))</f>
        <v>280.25710840677186</v>
      </c>
      <c r="CE47" s="59">
        <f t="shared" si="40"/>
        <v>209.65224013288037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</v>
      </c>
      <c r="CT47" s="12">
        <f>IF('Données projet'!$A$140&gt;35,CT46+CS47-DB46,IF(A47&lt;'Données projet'!$A$140,$CQ$205^A47,IF(A47='Données projet'!$A$140,'Données projet'!$B$140,CT46+CS47-DB46)))</f>
        <v>190.00000000000003</v>
      </c>
      <c r="CU47" s="17">
        <f>CT47*VLOOKUP('Données projet'!$B$13,Paramètres!$A$1:$I$89,3,0)*VLOOKUP('Données projet'!$B$13,Paramètres!$A$1:$I$89,5,0)</f>
        <v>198.58800000000005</v>
      </c>
      <c r="CV47" s="13">
        <f t="shared" si="41"/>
        <v>49.433725020229176</v>
      </c>
      <c r="CW47" s="20">
        <f t="shared" si="13"/>
        <v>431.97117107689922</v>
      </c>
      <c r="CX47" s="59">
        <f t="shared" si="14"/>
        <v>725.30450441023254</v>
      </c>
      <c r="CY47" s="59">
        <f ca="1">AVERAGE(OFFSET($CX$3,0,0,'Données projet'!$E$13+1,1))-AVERAGE(OFFSET($H$3,0,0,'Données projet'!$E$13+1,1))</f>
        <v>330.14201227773452</v>
      </c>
      <c r="CZ47" s="59">
        <f t="shared" si="42"/>
        <v>307.07297894926467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11.185104095890907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11.185104095890907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15.364102564102561</v>
      </c>
      <c r="N48" s="13">
        <f>IF('Données projet'!$A$36&gt;35,N47+M48-V47,IF(A48&lt;'Données projet'!$A$36,$K$205^A48,IF(A48='Données projet'!$A$36,'Données projet'!$B$36,N47+M48-V47)))</f>
        <v>347.45897435897427</v>
      </c>
      <c r="O48" s="13">
        <f>N48*VLOOKUP('Données projet'!$B$9,Paramètres!$A$1:$I$89,3,0)*VLOOKUP('Données projet'!$B$9,Paramètres!$A$1:$I$89,5,0)</f>
        <v>207.78046666666665</v>
      </c>
      <c r="P48" s="13">
        <f t="shared" si="33"/>
        <v>51.450262290579353</v>
      </c>
      <c r="Q48" s="20">
        <f t="shared" si="53"/>
        <v>451.49351960053679</v>
      </c>
      <c r="R48" s="59">
        <f t="shared" si="0"/>
        <v>744.8268529338701</v>
      </c>
      <c r="S48" s="59">
        <f ca="1">AVERAGE(OFFSET($R$3,0,0,'Données projet'!$E$9+1,1))-AVERAGE(OFFSET($H$3,0,0,'Données projet'!$E$9+1,1))</f>
        <v>283.73369613548124</v>
      </c>
      <c r="T48" s="59">
        <f t="shared" si="34"/>
        <v>249.77804091581208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26.33944636716366</v>
      </c>
      <c r="AA48" s="21">
        <f>EXP(-LN(2)/25)*AA47+(1-EXP(-LN(2)/25))/(LN(2)/25)*Calculateur!V48*Calculateur!X48*VLOOKUP('Données projet'!$B$9,Paramètres!$A$1:$I$89,3,0)*0.475*44/12</f>
        <v>10.144767809995582</v>
      </c>
      <c r="AB48" s="21">
        <f>EXP(-LN(2)/2)*AB47+(1-EXP(-LN(2)/2))/(LN(2)/2)*V48*Y48*VLOOKUP('Données projet'!$B$9,Paramètres!$A$1:$I$89,3,0)*0.475*44/12</f>
        <v>0.27544352021058871</v>
      </c>
      <c r="AC48" s="22">
        <f t="shared" si="3"/>
        <v>36.759657697369832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15.618681318681309</v>
      </c>
      <c r="AI48" s="13">
        <f>IF('Données projet'!$A$62&gt;35,AI47+AH48-AQ47,IF(A48&lt;'Données projet'!$A$62,$AF$205^A48,IF(A48='Données projet'!$A$62,'Données projet'!$B$62,AI47+AH48-AQ47)))</f>
        <v>277.37912087912099</v>
      </c>
      <c r="AJ48" s="13">
        <f>AI48*VLOOKUP('Données projet'!$B$10,Paramètres!$A$1:$I$89,3,0)*VLOOKUP('Données projet'!$B$10,Paramètres!$A$1:$I$89,5,0)</f>
        <v>129.81342857142863</v>
      </c>
      <c r="AK48" s="13">
        <f t="shared" si="35"/>
        <v>33.953244550224326</v>
      </c>
      <c r="AL48" s="20">
        <f t="shared" si="4"/>
        <v>285.22695568687891</v>
      </c>
      <c r="AM48" s="59">
        <f t="shared" si="5"/>
        <v>578.56028902021217</v>
      </c>
      <c r="AN48" s="59">
        <f ca="1">AVERAGE(OFFSET($AM$3,0,0,'Données projet'!$E$10+1,1))-AVERAGE(OFFSET($H$3,0,0,'Données projet'!$E$10+1,1))</f>
        <v>205.73717397588365</v>
      </c>
      <c r="AO48" s="59">
        <f t="shared" si="36"/>
        <v>190.64998698136026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31.520211498030044</v>
      </c>
      <c r="AW48" s="21">
        <f>EXP(-LN(2)/2)*AW47+(1-EXP(-LN(2)/2))/(LN(2)/2)*AQ48*AT48*VLOOKUP('Données projet'!$B$10,Paramètres!$A$1:$I$89,3,0)*0.475*44/12</f>
        <v>14.824847336936083</v>
      </c>
      <c r="AX48" s="21">
        <f t="shared" si="6"/>
        <v>46.345058834966125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-5.6843418860808015E-14</v>
      </c>
      <c r="BE48" s="13">
        <f>BD48*VLOOKUP('Données projet'!$B$11,Paramètres!$A$1:$I$89,3,0)*VLOOKUP('Données projet'!$B$11,Paramètres!$A$1:$I$89,5,0)</f>
        <v>-3.1036506698001178E-14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159.92263609041913</v>
      </c>
      <c r="BJ48" s="59">
        <f t="shared" si="38"/>
        <v>271.78119133009307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61.081793140832545</v>
      </c>
      <c r="BQ48" s="21">
        <f>EXP(-LN(2)/25)*BQ47+(1-EXP(-LN(2)/25))/(LN(2)/25)*Calculateur!BL48*Calculateur!BN48*VLOOKUP('Données projet'!$B$11,Paramètres!$A$1:$I$89,3,0)*0.475*44/12</f>
        <v>130.51650776996274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191.59830091079527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9.3452380952380913</v>
      </c>
      <c r="BY48" s="12">
        <f>IF('Données projet'!$A$114&gt;35,BY47+BX48-CG47,IF(A48&lt;'Données projet'!$A$114,$BV$205^A48,IF(A48='Données projet'!$A$114,'Données projet'!$B$114,BY47+BX48-CG47)))</f>
        <v>156.3168498168499</v>
      </c>
      <c r="BZ48" s="13">
        <f>BY48*VLOOKUP('Données projet'!$B$12,Paramètres!$A$1:$I$89,3,0)*VLOOKUP('Données projet'!$B$12,Paramètres!$A$1:$I$89,5,0)</f>
        <v>141.43548571428576</v>
      </c>
      <c r="CA48" s="13">
        <f t="shared" si="39"/>
        <v>36.625659617511197</v>
      </c>
      <c r="CB48" s="20">
        <f t="shared" si="10"/>
        <v>310.12316145287969</v>
      </c>
      <c r="CC48" s="59">
        <f t="shared" si="11"/>
        <v>603.45649478621294</v>
      </c>
      <c r="CD48" s="59">
        <f ca="1">AVERAGE(OFFSET($CC$3,0,0,'Données projet'!$E$12+1,1))-AVERAGE(OFFSET($H$3,0,0,'Données projet'!$E$12+1,1))</f>
        <v>280.25710840677186</v>
      </c>
      <c r="CE48" s="59">
        <f t="shared" si="40"/>
        <v>209.65224013288037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198</v>
      </c>
      <c r="CR48" s="12">
        <f>VLOOKUP(A48,'Données projet'!$A$139:$I$159,9,0)</f>
        <v>8</v>
      </c>
      <c r="CS48" s="12">
        <f t="array" ref="CS48">INDEX(CR:CR,MIN(IF(ISNUMBER(CR48:CR244),ROW(CR48:CR244),"")))</f>
        <v>8</v>
      </c>
      <c r="CT48" s="12">
        <f>IF('Données projet'!$A$140&gt;35,CT47+CS48-DB47,IF(A48&lt;'Données projet'!$A$140,$CQ$205^A48,IF(A48='Données projet'!$A$140,'Données projet'!$B$140,CT47+CS48-DB47)))</f>
        <v>198.00000000000003</v>
      </c>
      <c r="CU48" s="17">
        <f>CT48*VLOOKUP('Données projet'!$B$13,Paramètres!$A$1:$I$89,3,0)*VLOOKUP('Données projet'!$B$13,Paramètres!$A$1:$I$89,5,0)</f>
        <v>206.94960000000003</v>
      </c>
      <c r="CV48" s="13">
        <f t="shared" si="41"/>
        <v>51.268429949375587</v>
      </c>
      <c r="CW48" s="20">
        <f t="shared" si="13"/>
        <v>449.72973549516246</v>
      </c>
      <c r="CX48" s="59">
        <f t="shared" si="14"/>
        <v>743.06306882849572</v>
      </c>
      <c r="CY48" s="59">
        <f ca="1">AVERAGE(OFFSET($CX$3,0,0,'Données projet'!$E$13+1,1))-AVERAGE(OFFSET($H$3,0,0,'Données projet'!$E$13+1,1))</f>
        <v>330.14201227773452</v>
      </c>
      <c r="CZ48" s="59">
        <f t="shared" si="42"/>
        <v>307.07297894926467</v>
      </c>
      <c r="DA48" s="15">
        <f>IF(ISNA(VLOOKUP(A48,'Données projet'!$A$139:$I$159,3,0)),0,VLOOKUP(A48,'Données projet'!$A$139:$I$159,3,0))</f>
        <v>6</v>
      </c>
      <c r="DB48" s="15" t="str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0.17200000000000001</v>
      </c>
      <c r="DD48" s="16">
        <f>IF(ISNA(VLOOKUP(A48,'Données projet'!$A$139:$I$159,6,0)),0%,VLOOKUP(A48,'Données projet'!$A$139:$I$159,6,0)*VLOOKUP('Données projet'!$B$13,Paramètres!$A$1:$I$89,7,0))</f>
        <v>0.17200000000000001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5.1671171291560194</v>
      </c>
      <c r="DG48" s="21">
        <f>EXP(-LN(2)/25)*DG47+(1-EXP(-LN(2)/25))/(LN(2)/25)*Calculateur!DB48*Calculateur!DD48*VLOOKUP('Données projet'!$B$13,Paramètres!$A$1:$I$89,3,0)*0.475*44/12</f>
        <v>16.02601905638226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21.193136185538279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362.82307692307688</v>
      </c>
      <c r="L49" s="12">
        <f>VLOOKUP(A49,'Données projet'!$A$35:$I$55,9,0)</f>
        <v>15.364102564102561</v>
      </c>
      <c r="M49" s="12">
        <f t="array" ref="M49">INDEX(L:L,MIN(IF(ISNUMBER(L49:L245),ROW(L49:L245),"")))</f>
        <v>15.364102564102561</v>
      </c>
      <c r="N49" s="13">
        <f>IF('Données projet'!$A$36&gt;35,N48+M49-V48,IF(A49&lt;'Données projet'!$A$36,$K$205^A49,IF(A49='Données projet'!$A$36,'Données projet'!$B$36,N48+M49-V48)))</f>
        <v>362.82307692307683</v>
      </c>
      <c r="O49" s="13">
        <f>N49*VLOOKUP('Données projet'!$B$9,Paramètres!$A$1:$I$89,3,0)*VLOOKUP('Données projet'!$B$9,Paramètres!$A$1:$I$89,5,0)</f>
        <v>216.96819999999994</v>
      </c>
      <c r="P49" s="13">
        <f t="shared" si="33"/>
        <v>53.455407732310803</v>
      </c>
      <c r="Q49" s="20">
        <f t="shared" si="53"/>
        <v>470.98778346710793</v>
      </c>
      <c r="R49" s="59">
        <f t="shared" si="0"/>
        <v>764.32111680044125</v>
      </c>
      <c r="S49" s="59">
        <f ca="1">AVERAGE(OFFSET($R$3,0,0,'Données projet'!$E$9+1,1))-AVERAGE(OFFSET($H$3,0,0,'Données projet'!$E$9+1,1))</f>
        <v>283.73369613548124</v>
      </c>
      <c r="T49" s="59">
        <f t="shared" si="34"/>
        <v>249.77804091581208</v>
      </c>
      <c r="U49" s="15">
        <f>IF(ISNA(VLOOKUP(A49,'Données projet'!$A$35:$I$55,3,0)),0,VLOOKUP(A49,'Données projet'!$A$35:$I$55,3,0))</f>
        <v>5</v>
      </c>
      <c r="V49" s="15">
        <f>IF(ISNA(VLOOKUP(A49,'Données projet'!$A$35:$I$55,4,0)),0,VLOOKUP(A49,'Données projet'!$A$35:$I$55,4,0))</f>
        <v>72.561538461538461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7.5600000000000001E-2</v>
      </c>
      <c r="Y49" s="16">
        <f>IF(ISNA(VLOOKUP(A49,'Données projet'!$A$35:$I$55,7,0)),0%,VLOOKUP(A49,'Données projet'!$A$35:$I$55,7,0))</f>
        <v>0.13200000000000001</v>
      </c>
      <c r="Z49" s="21">
        <f>EXP(-LN(2)/35)*Z48+(1-EXP(-LN(2)/35))/(LN(2)/35)*V49*W49*VLOOKUP('Données projet'!$B$9,Paramètres!$A$1:$I$89,3,0)*0.475*44/12</f>
        <v>43.95498204370508</v>
      </c>
      <c r="AA49" s="21">
        <f>EXP(-LN(2)/25)*AA48+(1-EXP(-LN(2)/25))/(LN(2)/25)*Calculateur!V49*Calculateur!X49*VLOOKUP('Données projet'!$B$9,Paramètres!$A$1:$I$89,3,0)*0.475*44/12</f>
        <v>14.201913021334352</v>
      </c>
      <c r="AB49" s="21">
        <f>EXP(-LN(2)/2)*AB48+(1-EXP(-LN(2)/2))/(LN(2)/2)*V49*Y49*VLOOKUP('Données projet'!$B$9,Paramètres!$A$1:$I$89,3,0)*0.475*44/12</f>
        <v>6.6798748388055769</v>
      </c>
      <c r="AC49" s="22">
        <f t="shared" si="3"/>
        <v>64.83676990384501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15.618681318681309</v>
      </c>
      <c r="AI49" s="13">
        <f>IF('Données projet'!$A$62&gt;35,AI48+AH49-AQ48,IF(A49&lt;'Données projet'!$A$62,$AF$205^A49,IF(A49='Données projet'!$A$62,'Données projet'!$B$62,AI48+AH49-AQ48)))</f>
        <v>292.99780219780229</v>
      </c>
      <c r="AJ49" s="13">
        <f>AI49*VLOOKUP('Données projet'!$B$10,Paramètres!$A$1:$I$89,3,0)*VLOOKUP('Données projet'!$B$10,Paramètres!$A$1:$I$89,5,0)</f>
        <v>137.12297142857147</v>
      </c>
      <c r="AK49" s="13">
        <f t="shared" si="35"/>
        <v>35.63712427284996</v>
      </c>
      <c r="AL49" s="20">
        <f t="shared" si="4"/>
        <v>300.89050001330901</v>
      </c>
      <c r="AM49" s="59">
        <f t="shared" si="5"/>
        <v>594.22383334664232</v>
      </c>
      <c r="AN49" s="59">
        <f ca="1">AVERAGE(OFFSET($AM$3,0,0,'Données projet'!$E$10+1,1))-AVERAGE(OFFSET($H$3,0,0,'Données projet'!$E$10+1,1))</f>
        <v>205.73717397588365</v>
      </c>
      <c r="AO49" s="59">
        <f t="shared" si="36"/>
        <v>190.64998698136026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30.65828965704053</v>
      </c>
      <c r="AW49" s="21">
        <f>EXP(-LN(2)/2)*AW48+(1-EXP(-LN(2)/2))/(LN(2)/2)*AQ49*AT49*VLOOKUP('Données projet'!$B$10,Paramètres!$A$1:$I$89,3,0)*0.475*44/12</f>
        <v>10.482750082002836</v>
      </c>
      <c r="AX49" s="21">
        <f t="shared" si="6"/>
        <v>41.141039739043364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-5.6843418860808015E-14</v>
      </c>
      <c r="BE49" s="13">
        <f>BD49*VLOOKUP('Données projet'!$B$11,Paramètres!$A$1:$I$89,3,0)*VLOOKUP('Données projet'!$B$11,Paramètres!$A$1:$I$89,5,0)</f>
        <v>-3.1036506698001178E-14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159.92263609041913</v>
      </c>
      <c r="BJ49" s="59">
        <f t="shared" si="38"/>
        <v>271.78119133009307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59.884016433555892</v>
      </c>
      <c r="BQ49" s="21">
        <f>EXP(-LN(2)/25)*BQ48+(1-EXP(-LN(2)/25))/(LN(2)/25)*Calculateur!BL49*Calculateur!BN49*VLOOKUP('Données projet'!$B$11,Paramètres!$A$1:$I$89,3,0)*0.475*44/12</f>
        <v>126.94752700142827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186.83154343498416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9.3452380952380913</v>
      </c>
      <c r="BY49" s="12">
        <f>IF('Données projet'!$A$114&gt;35,BY48+BX49-CG48,IF(A49&lt;'Données projet'!$A$114,$BV$205^A49,IF(A49='Données projet'!$A$114,'Données projet'!$B$114,BY48+BX49-CG48)))</f>
        <v>165.662087912088</v>
      </c>
      <c r="BZ49" s="13">
        <f>BY49*VLOOKUP('Données projet'!$B$12,Paramètres!$A$1:$I$89,3,0)*VLOOKUP('Données projet'!$B$12,Paramètres!$A$1:$I$89,5,0)</f>
        <v>149.89105714285722</v>
      </c>
      <c r="CA49" s="13">
        <f t="shared" si="39"/>
        <v>38.553826918856579</v>
      </c>
      <c r="CB49" s="20">
        <f t="shared" si="10"/>
        <v>328.20817307415149</v>
      </c>
      <c r="CC49" s="59">
        <f t="shared" si="11"/>
        <v>621.5415064074848</v>
      </c>
      <c r="CD49" s="59">
        <f ca="1">AVERAGE(OFFSET($CC$3,0,0,'Données projet'!$E$12+1,1))-AVERAGE(OFFSET($H$3,0,0,'Données projet'!$E$12+1,1))</f>
        <v>280.25710840677186</v>
      </c>
      <c r="CE49" s="59">
        <f t="shared" si="40"/>
        <v>209.65224013288037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7.4</v>
      </c>
      <c r="CT49" s="12">
        <f>IF('Données projet'!$A$140&gt;35,CT48+CS49-DB48,IF(A49&lt;'Données projet'!$A$140,$CQ$205^A49,IF(A49='Données projet'!$A$140,'Données projet'!$B$140,CT48+CS49-DB48)))</f>
        <v>179.40000000000003</v>
      </c>
      <c r="CU49" s="17">
        <f>CT49*VLOOKUP('Données projet'!$B$13,Paramètres!$A$1:$I$89,3,0)*VLOOKUP('Données projet'!$B$13,Paramètres!$A$1:$I$89,5,0)</f>
        <v>187.50888000000006</v>
      </c>
      <c r="CV49" s="13">
        <f t="shared" si="41"/>
        <v>46.988779262414276</v>
      </c>
      <c r="CW49" s="20">
        <f t="shared" si="13"/>
        <v>408.416756548705</v>
      </c>
      <c r="CX49" s="59">
        <f t="shared" si="14"/>
        <v>701.75008988203831</v>
      </c>
      <c r="CY49" s="59">
        <f ca="1">AVERAGE(OFFSET($CX$3,0,0,'Données projet'!$E$13+1,1))-AVERAGE(OFFSET($H$3,0,0,'Données projet'!$E$13+1,1))</f>
        <v>330.14201227773452</v>
      </c>
      <c r="CZ49" s="59">
        <f t="shared" si="42"/>
        <v>307.07297894926467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5.0657931138835206</v>
      </c>
      <c r="DG49" s="21">
        <f>EXP(-LN(2)/25)*DG48+(1-EXP(-LN(2)/25))/(LN(2)/25)*Calculateur!DB49*Calculateur!DD49*VLOOKUP('Données projet'!$B$13,Paramètres!$A$1:$I$89,3,0)*0.475*44/12</f>
        <v>15.587786722513773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20.653579836397292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13.793846153846165</v>
      </c>
      <c r="N50" s="13">
        <f>IF('Données projet'!$A$36&gt;35,N49+M50-V49,IF(A50&lt;'Données projet'!$A$36,$K$205^A50,IF(A50='Données projet'!$A$36,'Données projet'!$B$36,N49+M50-V49)))</f>
        <v>304.05538461538453</v>
      </c>
      <c r="O50" s="13">
        <f>N50*VLOOKUP('Données projet'!$B$9,Paramètres!$A$1:$I$89,3,0)*VLOOKUP('Données projet'!$B$9,Paramètres!$A$1:$I$89,5,0)</f>
        <v>181.82511999999997</v>
      </c>
      <c r="P50" s="13">
        <f t="shared" si="33"/>
        <v>45.72800301768045</v>
      </c>
      <c r="Q50" s="20">
        <f t="shared" si="53"/>
        <v>396.32168925579339</v>
      </c>
      <c r="R50" s="59">
        <f t="shared" si="0"/>
        <v>689.6550225891267</v>
      </c>
      <c r="S50" s="59">
        <f ca="1">AVERAGE(OFFSET($R$3,0,0,'Données projet'!$E$9+1,1))-AVERAGE(OFFSET($H$3,0,0,'Données projet'!$E$9+1,1))</f>
        <v>283.73369613548124</v>
      </c>
      <c r="T50" s="59">
        <f t="shared" si="34"/>
        <v>249.77804091581208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43.093051655719812</v>
      </c>
      <c r="AA50" s="21">
        <f>EXP(-LN(2)/25)*AA49+(1-EXP(-LN(2)/25))/(LN(2)/25)*Calculateur!V50*Calculateur!X50*VLOOKUP('Données projet'!$B$9,Paramètres!$A$1:$I$89,3,0)*0.475*44/12</f>
        <v>13.813560962919817</v>
      </c>
      <c r="AB50" s="21">
        <f>EXP(-LN(2)/2)*AB49+(1-EXP(-LN(2)/2))/(LN(2)/2)*V50*Y50*VLOOKUP('Données projet'!$B$9,Paramètres!$A$1:$I$89,3,0)*0.475*44/12</f>
        <v>4.7233847959968198</v>
      </c>
      <c r="AC50" s="22">
        <f t="shared" si="3"/>
        <v>61.629997414636449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15.618681318681309</v>
      </c>
      <c r="AI50" s="13">
        <f>IF('Données projet'!$A$62&gt;35,AI49+AH50-AQ49,IF(A50&lt;'Données projet'!$A$62,$AF$205^A50,IF(A50='Données projet'!$A$62,'Données projet'!$B$62,AI49+AH50-AQ49)))</f>
        <v>308.61648351648358</v>
      </c>
      <c r="AJ50" s="13">
        <f>AI50*VLOOKUP('Données projet'!$B$10,Paramètres!$A$1:$I$89,3,0)*VLOOKUP('Données projet'!$B$10,Paramètres!$A$1:$I$89,5,0)</f>
        <v>144.43251428571432</v>
      </c>
      <c r="AK50" s="13">
        <f t="shared" si="35"/>
        <v>37.310582871696397</v>
      </c>
      <c r="AL50" s="20">
        <f t="shared" si="4"/>
        <v>316.5358942158237</v>
      </c>
      <c r="AM50" s="59">
        <f t="shared" si="5"/>
        <v>609.86922754915702</v>
      </c>
      <c r="AN50" s="59">
        <f ca="1">AVERAGE(OFFSET($AM$3,0,0,'Données projet'!$E$10+1,1))-AVERAGE(OFFSET($H$3,0,0,'Données projet'!$E$10+1,1))</f>
        <v>205.73717397588365</v>
      </c>
      <c r="AO50" s="59">
        <f t="shared" si="36"/>
        <v>190.64998698136026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29.819937114119373</v>
      </c>
      <c r="AW50" s="21">
        <f>EXP(-LN(2)/2)*AW49+(1-EXP(-LN(2)/2))/(LN(2)/2)*AQ50*AT50*VLOOKUP('Données projet'!$B$10,Paramètres!$A$1:$I$89,3,0)*0.475*44/12</f>
        <v>7.4124236684680431</v>
      </c>
      <c r="AX50" s="21">
        <f t="shared" si="6"/>
        <v>37.232360782587413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-5.6843418860808015E-14</v>
      </c>
      <c r="BE50" s="13">
        <f>BD50*VLOOKUP('Données projet'!$B$11,Paramètres!$A$1:$I$89,3,0)*VLOOKUP('Données projet'!$B$11,Paramètres!$A$1:$I$89,5,0)</f>
        <v>-3.1036506698001178E-14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159.92263609041913</v>
      </c>
      <c r="BJ50" s="59">
        <f t="shared" si="38"/>
        <v>271.78119133009307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58.709727396937275</v>
      </c>
      <c r="BQ50" s="21">
        <f>EXP(-LN(2)/25)*BQ49+(1-EXP(-LN(2)/25))/(LN(2)/25)*Calculateur!BL50*Calculateur!BN50*VLOOKUP('Données projet'!$B$11,Paramètres!$A$1:$I$89,3,0)*0.475*44/12</f>
        <v>123.47614019969392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182.1858675966312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9.3452380952380913</v>
      </c>
      <c r="BY50" s="12">
        <f>IF('Données projet'!$A$114&gt;35,BY49+BX50-CG49,IF(A50&lt;'Données projet'!$A$114,$BV$205^A50,IF(A50='Données projet'!$A$114,'Données projet'!$B$114,BY49+BX50-CG49)))</f>
        <v>175.0073260073261</v>
      </c>
      <c r="BZ50" s="13">
        <f>BY50*VLOOKUP('Données projet'!$B$12,Paramètres!$A$1:$I$89,3,0)*VLOOKUP('Données projet'!$B$12,Paramètres!$A$1:$I$89,5,0)</f>
        <v>158.34662857142865</v>
      </c>
      <c r="CA50" s="13">
        <f t="shared" si="39"/>
        <v>40.469367717876509</v>
      </c>
      <c r="CB50" s="20">
        <f t="shared" si="10"/>
        <v>346.2711935372065</v>
      </c>
      <c r="CC50" s="59">
        <f t="shared" si="11"/>
        <v>639.60452687053976</v>
      </c>
      <c r="CD50" s="59">
        <f ca="1">AVERAGE(OFFSET($CC$3,0,0,'Données projet'!$E$12+1,1))-AVERAGE(OFFSET($H$3,0,0,'Données projet'!$E$12+1,1))</f>
        <v>280.25710840677186</v>
      </c>
      <c r="CE50" s="59">
        <f t="shared" si="40"/>
        <v>209.65224013288037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7.4</v>
      </c>
      <c r="CT50" s="12">
        <f>IF('Données projet'!$A$140&gt;35,CT49+CS50-DB49,IF(A50&lt;'Données projet'!$A$140,$CQ$205^A50,IF(A50='Données projet'!$A$140,'Données projet'!$B$140,CT49+CS50-DB49)))</f>
        <v>186.80000000000004</v>
      </c>
      <c r="CU50" s="17">
        <f>CT50*VLOOKUP('Données projet'!$B$13,Paramètres!$A$1:$I$89,3,0)*VLOOKUP('Données projet'!$B$13,Paramètres!$A$1:$I$89,5,0)</f>
        <v>195.24336000000005</v>
      </c>
      <c r="CV50" s="13">
        <f t="shared" si="41"/>
        <v>48.697342276114703</v>
      </c>
      <c r="CW50" s="20">
        <f t="shared" si="13"/>
        <v>424.86338979756653</v>
      </c>
      <c r="CX50" s="59">
        <f t="shared" si="14"/>
        <v>718.19672313089984</v>
      </c>
      <c r="CY50" s="59">
        <f ca="1">AVERAGE(OFFSET($CX$3,0,0,'Données projet'!$E$13+1,1))-AVERAGE(OFFSET($H$3,0,0,'Données projet'!$E$13+1,1))</f>
        <v>330.14201227773452</v>
      </c>
      <c r="CZ50" s="59">
        <f t="shared" si="42"/>
        <v>307.07297894926467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4.9664560007489689</v>
      </c>
      <c r="DG50" s="21">
        <f>EXP(-LN(2)/25)*DG49+(1-EXP(-LN(2)/25))/(LN(2)/25)*Calculateur!DB50*Calculateur!DD50*VLOOKUP('Données projet'!$B$13,Paramètres!$A$1:$I$89,3,0)*0.475*44/12</f>
        <v>15.161537874860556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20.127993875609526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13.793846153846165</v>
      </c>
      <c r="N51" s="13">
        <f>IF('Données projet'!$A$36&gt;35,N50+M51-V50,IF(A51&lt;'Données projet'!$A$36,$K$205^A51,IF(A51='Données projet'!$A$36,'Données projet'!$B$36,N50+M51-V50)))</f>
        <v>317.8492307692307</v>
      </c>
      <c r="O51" s="13">
        <f>N51*VLOOKUP('Données projet'!$B$9,Paramètres!$A$1:$I$89,3,0)*VLOOKUP('Données projet'!$B$9,Paramètres!$A$1:$I$89,5,0)</f>
        <v>190.07383999999999</v>
      </c>
      <c r="P51" s="13">
        <f t="shared" si="33"/>
        <v>47.556277457641151</v>
      </c>
      <c r="Q51" s="20">
        <f t="shared" si="53"/>
        <v>413.87245457205836</v>
      </c>
      <c r="R51" s="59">
        <f t="shared" si="0"/>
        <v>707.20578790539162</v>
      </c>
      <c r="S51" s="59">
        <f ca="1">AVERAGE(OFFSET($R$3,0,0,'Données projet'!$E$9+1,1))-AVERAGE(OFFSET($H$3,0,0,'Données projet'!$E$9+1,1))</f>
        <v>283.73369613548124</v>
      </c>
      <c r="T51" s="59">
        <f t="shared" si="34"/>
        <v>249.77804091581208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42.248023196917309</v>
      </c>
      <c r="AA51" s="21">
        <f>EXP(-LN(2)/25)*AA50+(1-EXP(-LN(2)/25))/(LN(2)/25)*Calculateur!V51*Calculateur!X51*VLOOKUP('Données projet'!$B$9,Paramètres!$A$1:$I$89,3,0)*0.475*44/12</f>
        <v>13.435828411965176</v>
      </c>
      <c r="AB51" s="21">
        <f>EXP(-LN(2)/2)*AB50+(1-EXP(-LN(2)/2))/(LN(2)/2)*V51*Y51*VLOOKUP('Données projet'!$B$9,Paramètres!$A$1:$I$89,3,0)*0.475*44/12</f>
        <v>3.3399374194027889</v>
      </c>
      <c r="AC51" s="22">
        <f t="shared" si="3"/>
        <v>59.023789028285272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15.618681318681309</v>
      </c>
      <c r="AI51" s="13">
        <f>IF('Données projet'!$A$62&gt;35,AI50+AH51-AQ50,IF(A51&lt;'Données projet'!$A$62,$AF$205^A51,IF(A51='Données projet'!$A$62,'Données projet'!$B$62,AI50+AH51-AQ50)))</f>
        <v>324.23516483516488</v>
      </c>
      <c r="AJ51" s="13">
        <f>AI51*VLOOKUP('Données projet'!$B$10,Paramètres!$A$1:$I$89,3,0)*VLOOKUP('Données projet'!$B$10,Paramètres!$A$1:$I$89,5,0)</f>
        <v>151.74205714285716</v>
      </c>
      <c r="AK51" s="13">
        <f t="shared" si="35"/>
        <v>38.974207918733512</v>
      </c>
      <c r="AL51" s="20">
        <f t="shared" si="4"/>
        <v>332.16416164893707</v>
      </c>
      <c r="AM51" s="59">
        <f t="shared" si="5"/>
        <v>625.49749498227038</v>
      </c>
      <c r="AN51" s="59">
        <f ca="1">AVERAGE(OFFSET($AM$3,0,0,'Données projet'!$E$10+1,1))-AVERAGE(OFFSET($H$3,0,0,'Données projet'!$E$10+1,1))</f>
        <v>205.73717397588365</v>
      </c>
      <c r="AO51" s="59">
        <f t="shared" si="36"/>
        <v>190.64998698136026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29.00450936557144</v>
      </c>
      <c r="AW51" s="21">
        <f>EXP(-LN(2)/2)*AW50+(1-EXP(-LN(2)/2))/(LN(2)/2)*AQ51*AT51*VLOOKUP('Données projet'!$B$10,Paramètres!$A$1:$I$89,3,0)*0.475*44/12</f>
        <v>5.2413750410014188</v>
      </c>
      <c r="AX51" s="21">
        <f t="shared" si="6"/>
        <v>34.245884406572856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-5.6843418860808015E-14</v>
      </c>
      <c r="BE51" s="13">
        <f>BD51*VLOOKUP('Données projet'!$B$11,Paramètres!$A$1:$I$89,3,0)*VLOOKUP('Données projet'!$B$11,Paramètres!$A$1:$I$89,5,0)</f>
        <v>-3.1036506698001178E-14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159.92263609041913</v>
      </c>
      <c r="BJ51" s="59">
        <f t="shared" si="38"/>
        <v>271.78119133009307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57.558465452081165</v>
      </c>
      <c r="BQ51" s="21">
        <f>EXP(-LN(2)/25)*BQ50+(1-EXP(-LN(2)/25))/(LN(2)/25)*Calculateur!BL51*Calculateur!BN51*VLOOKUP('Données projet'!$B$11,Paramètres!$A$1:$I$89,3,0)*0.475*44/12</f>
        <v>120.09967865260528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177.65814410468644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184.35256410256409</v>
      </c>
      <c r="BW51" s="12">
        <f>VLOOKUP(A51,'Données projet'!$A$113:$I$133,9,0)</f>
        <v>9.3452380952380913</v>
      </c>
      <c r="BX51" s="12">
        <f t="array" ref="BX51">INDEX(BW:BW,MIN(IF(ISNUMBER(BW51:BW247),ROW(BW51:BW247),"")))</f>
        <v>9.3452380952380913</v>
      </c>
      <c r="BY51" s="12">
        <f>IF('Données projet'!$A$114&gt;35,BY50+BX51-CG50,IF(A51&lt;'Données projet'!$A$114,$BV$205^A51,IF(A51='Données projet'!$A$114,'Données projet'!$B$114,BY50+BX51-CG50)))</f>
        <v>184.3525641025642</v>
      </c>
      <c r="BZ51" s="13">
        <f>BY51*VLOOKUP('Données projet'!$B$12,Paramètres!$A$1:$I$89,3,0)*VLOOKUP('Données projet'!$B$12,Paramètres!$A$1:$I$89,5,0)</f>
        <v>166.80220000000008</v>
      </c>
      <c r="CA51" s="13">
        <f t="shared" si="39"/>
        <v>42.373033138688463</v>
      </c>
      <c r="CB51" s="20">
        <f t="shared" si="10"/>
        <v>364.31353104988256</v>
      </c>
      <c r="CC51" s="59">
        <f t="shared" si="11"/>
        <v>657.64686438321587</v>
      </c>
      <c r="CD51" s="59">
        <f ca="1">AVERAGE(OFFSET($CC$3,0,0,'Données projet'!$E$12+1,1))-AVERAGE(OFFSET($H$3,0,0,'Données projet'!$E$12+1,1))</f>
        <v>280.25710840677186</v>
      </c>
      <c r="CE51" s="59">
        <f t="shared" si="40"/>
        <v>209.65224013288037</v>
      </c>
      <c r="CF51" s="15">
        <f>IF(ISNA(VLOOKUP(A51,'Données projet'!$A$113:$I$133,3,0)),0,VLOOKUP(A51,'Données projet'!$A$113:$I$133,3,0))</f>
        <v>3</v>
      </c>
      <c r="CG51" s="15">
        <f>IF(ISNA(VLOOKUP(A51,'Données projet'!$A$113:$I$133,4,0)),0,VLOOKUP(A51,'Données projet'!$A$113:$I$133,4,0))</f>
        <v>48.025641025641022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7.4</v>
      </c>
      <c r="CT51" s="12">
        <f>IF('Données projet'!$A$140&gt;35,CT50+CS51-DB50,IF(A51&lt;'Données projet'!$A$140,$CQ$205^A51,IF(A51='Données projet'!$A$140,'Données projet'!$B$140,CT50+CS51-DB50)))</f>
        <v>194.20000000000005</v>
      </c>
      <c r="CU51" s="17">
        <f>CT51*VLOOKUP('Données projet'!$B$13,Paramètres!$A$1:$I$89,3,0)*VLOOKUP('Données projet'!$B$13,Paramètres!$A$1:$I$89,5,0)</f>
        <v>202.97784000000007</v>
      </c>
      <c r="CV51" s="13">
        <f t="shared" si="41"/>
        <v>50.398042839657315</v>
      </c>
      <c r="CW51" s="20">
        <f t="shared" si="13"/>
        <v>441.29632927906988</v>
      </c>
      <c r="CX51" s="59">
        <f t="shared" si="14"/>
        <v>734.62966261240319</v>
      </c>
      <c r="CY51" s="59">
        <f ca="1">AVERAGE(OFFSET($CX$3,0,0,'Données projet'!$E$13+1,1))-AVERAGE(OFFSET($H$3,0,0,'Données projet'!$E$13+1,1))</f>
        <v>330.14201227773452</v>
      </c>
      <c r="CZ51" s="59">
        <f t="shared" si="42"/>
        <v>307.07297894926467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4.8690668278133291</v>
      </c>
      <c r="DG51" s="21">
        <f>EXP(-LN(2)/25)*DG50+(1-EXP(-LN(2)/25))/(LN(2)/25)*Calculateur!DB51*Calculateur!DD51*VLOOKUP('Données projet'!$B$13,Paramètres!$A$1:$I$89,3,0)*0.475*44/12</f>
        <v>14.74694482436187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19.616011652175199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13.793846153846165</v>
      </c>
      <c r="N52" s="13">
        <f>IF('Données projet'!$A$36&gt;35,N51+M52-V51,IF(A52&lt;'Données projet'!$A$36,$K$205^A52,IF(A52='Données projet'!$A$36,'Données projet'!$B$36,N51+M52-V51)))</f>
        <v>331.64307692307688</v>
      </c>
      <c r="O52" s="13">
        <f>N52*VLOOKUP('Données projet'!$B$9,Paramètres!$A$1:$I$89,3,0)*VLOOKUP('Données projet'!$B$9,Paramètres!$A$1:$I$89,5,0)</f>
        <v>198.32255999999998</v>
      </c>
      <c r="P52" s="13">
        <f t="shared" si="33"/>
        <v>49.375336669033487</v>
      </c>
      <c r="Q52" s="20">
        <f t="shared" si="53"/>
        <v>431.40717003189997</v>
      </c>
      <c r="R52" s="59">
        <f t="shared" si="0"/>
        <v>724.74050336523328</v>
      </c>
      <c r="S52" s="59">
        <f ca="1">AVERAGE(OFFSET($R$3,0,0,'Données projet'!$E$9+1,1))-AVERAGE(OFFSET($H$3,0,0,'Données projet'!$E$9+1,1))</f>
        <v>283.73369613548124</v>
      </c>
      <c r="T52" s="59">
        <f t="shared" si="34"/>
        <v>249.77804091581208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41.419565230775461</v>
      </c>
      <c r="AA52" s="21">
        <f>EXP(-LN(2)/25)*AA51+(1-EXP(-LN(2)/25))/(LN(2)/25)*Calculateur!V52*Calculateur!X52*VLOOKUP('Données projet'!$B$9,Paramètres!$A$1:$I$89,3,0)*0.475*44/12</f>
        <v>13.068424977480479</v>
      </c>
      <c r="AB52" s="21">
        <f>EXP(-LN(2)/2)*AB51+(1-EXP(-LN(2)/2))/(LN(2)/2)*V52*Y52*VLOOKUP('Données projet'!$B$9,Paramètres!$A$1:$I$89,3,0)*0.475*44/12</f>
        <v>2.3616923979984104</v>
      </c>
      <c r="AC52" s="22">
        <f t="shared" si="3"/>
        <v>56.849682606254348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339.85384615384612</v>
      </c>
      <c r="AG52" s="12">
        <f>VLOOKUP(A52,'Données projet'!$A$61:$I$81,9,0)</f>
        <v>15.618681318681309</v>
      </c>
      <c r="AH52" s="12">
        <f t="array" ref="AH52">INDEX(AG:AG,MIN(IF(ISNUMBER(AG52:AG248),ROW(AG52:AG248),"")))</f>
        <v>15.618681318681309</v>
      </c>
      <c r="AI52" s="13">
        <f>IF('Données projet'!$A$62&gt;35,AI51+AH52-AQ51,IF(A52&lt;'Données projet'!$A$62,$AF$205^A52,IF(A52='Données projet'!$A$62,'Données projet'!$B$62,AI51+AH52-AQ51)))</f>
        <v>339.85384615384618</v>
      </c>
      <c r="AJ52" s="13">
        <f>AI52*VLOOKUP('Données projet'!$B$10,Paramètres!$A$1:$I$89,3,0)*VLOOKUP('Données projet'!$B$10,Paramètres!$A$1:$I$89,5,0)</f>
        <v>159.05160000000001</v>
      </c>
      <c r="AK52" s="13">
        <f t="shared" si="35"/>
        <v>40.628527179850586</v>
      </c>
      <c r="AL52" s="20">
        <f t="shared" si="4"/>
        <v>347.77622150490646</v>
      </c>
      <c r="AM52" s="59">
        <f t="shared" si="5"/>
        <v>641.10955483823977</v>
      </c>
      <c r="AN52" s="59">
        <f ca="1">AVERAGE(OFFSET($AM$3,0,0,'Données projet'!$E$10+1,1))-AVERAGE(OFFSET($H$3,0,0,'Données projet'!$E$10+1,1))</f>
        <v>205.73717397588365</v>
      </c>
      <c r="AO52" s="59">
        <f t="shared" si="36"/>
        <v>190.64998698136026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94.476923076923072</v>
      </c>
      <c r="AR52" s="16">
        <f>IF(ISNA(VLOOKUP(A52,'Données projet'!$A$61:$I$81,5,0)),0%,VLOOKUP(A52,'Données projet'!$A$61:$I$81,5,0)*VLOOKUP('Données projet'!$B$10,Paramètres!$A$1:$I$89,7,0))</f>
        <v>0.38500000000000001</v>
      </c>
      <c r="AS52" s="16">
        <f>IF(ISNA(VLOOKUP(A52,'Données projet'!$A$61:$I$81,6,0)),0%,VLOOKUP(A52,'Données projet'!$A$61:$I$81,6,0)*VLOOKUP('Données projet'!$B$10,Paramètres!$A$1:$I$89,7,0))</f>
        <v>9.240000000000001E-2</v>
      </c>
      <c r="AT52" s="16">
        <f>IF(ISNA(VLOOKUP(A52,'Données projet'!$A$61:$I$81,7,0)),0%,VLOOKUP(A52,'Données projet'!$A$61:$I$81,7,0))</f>
        <v>0.13200000000000001</v>
      </c>
      <c r="AU52" s="21">
        <f>EXP(-LN(2)/35)*AU51+(1-EXP(-LN(2)/35))/(LN(2)/35)*AQ52*AR52*VLOOKUP('Données projet'!$B$10,Paramètres!$A$1:$I$89,3,0)*0.475*44/12</f>
        <v>22.581910393407885</v>
      </c>
      <c r="AV52" s="21">
        <f>EXP(-LN(2)/25)*AV51+(1-EXP(-LN(2)/25))/(LN(2)/25)*Calculateur!AQ52*Calculateur!AS52*VLOOKUP('Données projet'!$B$10,Paramètres!$A$1:$I$89,3,0)*0.475*44/12</f>
        <v>33.609698765562619</v>
      </c>
      <c r="AW52" s="21">
        <f>EXP(-LN(2)/2)*AW51+(1-EXP(-LN(2)/2))/(LN(2)/2)*AQ52*AT52*VLOOKUP('Données projet'!$B$10,Paramètres!$A$1:$I$89,3,0)*0.475*44/12</f>
        <v>10.314379661804189</v>
      </c>
      <c r="AX52" s="21">
        <f t="shared" si="6"/>
        <v>66.505988820774689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-5.6843418860808015E-14</v>
      </c>
      <c r="BE52" s="13">
        <f>BD52*VLOOKUP('Données projet'!$B$11,Paramètres!$A$1:$I$89,3,0)*VLOOKUP('Données projet'!$B$11,Paramètres!$A$1:$I$89,5,0)</f>
        <v>-3.1036506698001178E-14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159.92263609041913</v>
      </c>
      <c r="BJ52" s="59">
        <f t="shared" si="38"/>
        <v>271.78119133009307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56.429779051763234</v>
      </c>
      <c r="BQ52" s="21">
        <f>EXP(-LN(2)/25)*BQ51+(1-EXP(-LN(2)/25))/(LN(2)/25)*Calculateur!BL52*Calculateur!BN52*VLOOKUP('Données projet'!$B$11,Paramètres!$A$1:$I$89,3,0)*0.475*44/12</f>
        <v>116.81554662408217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173.24532567584541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8.8736263736263741</v>
      </c>
      <c r="BY52" s="12">
        <f>IF('Données projet'!$A$114&gt;35,BY51+BX52-CG51,IF(A52&lt;'Données projet'!$A$114,$BV$205^A52,IF(A52='Données projet'!$A$114,'Données projet'!$B$114,BY51+BX52-CG51)))</f>
        <v>145.20054945054954</v>
      </c>
      <c r="BZ52" s="13">
        <f>BY52*VLOOKUP('Données projet'!$B$12,Paramètres!$A$1:$I$89,3,0)*VLOOKUP('Données projet'!$B$12,Paramètres!$A$1:$I$89,5,0)</f>
        <v>131.37745714285722</v>
      </c>
      <c r="CA52" s="13">
        <f t="shared" si="39"/>
        <v>34.314453722516539</v>
      </c>
      <c r="CB52" s="20">
        <f t="shared" si="10"/>
        <v>288.58007809052594</v>
      </c>
      <c r="CC52" s="59">
        <f t="shared" si="11"/>
        <v>581.91341142385932</v>
      </c>
      <c r="CD52" s="59">
        <f ca="1">AVERAGE(OFFSET($CC$3,0,0,'Données projet'!$E$12+1,1))-AVERAGE(OFFSET($H$3,0,0,'Données projet'!$E$12+1,1))</f>
        <v>280.25710840677186</v>
      </c>
      <c r="CE52" s="59">
        <f t="shared" si="40"/>
        <v>209.65224013288037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7.4</v>
      </c>
      <c r="CT52" s="12">
        <f>IF('Données projet'!$A$140&gt;35,CT51+CS52-DB51,IF(A52&lt;'Données projet'!$A$140,$CQ$205^A52,IF(A52='Données projet'!$A$140,'Données projet'!$B$140,CT51+CS52-DB51)))</f>
        <v>201.60000000000005</v>
      </c>
      <c r="CU52" s="17">
        <f>CT52*VLOOKUP('Données projet'!$B$13,Paramètres!$A$1:$I$89,3,0)*VLOOKUP('Données projet'!$B$13,Paramètres!$A$1:$I$89,5,0)</f>
        <v>210.71232000000006</v>
      </c>
      <c r="CV52" s="13">
        <f t="shared" si="41"/>
        <v>52.091214849236422</v>
      </c>
      <c r="CW52" s="20">
        <f t="shared" si="13"/>
        <v>457.71615652908685</v>
      </c>
      <c r="CX52" s="59">
        <f t="shared" si="14"/>
        <v>751.04948986242016</v>
      </c>
      <c r="CY52" s="59">
        <f ca="1">AVERAGE(OFFSET($CX$3,0,0,'Données projet'!$E$13+1,1))-AVERAGE(OFFSET($H$3,0,0,'Données projet'!$E$13+1,1))</f>
        <v>330.14201227773452</v>
      </c>
      <c r="CZ52" s="59">
        <f t="shared" si="42"/>
        <v>307.07297894926467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4.7735873971574279</v>
      </c>
      <c r="DG52" s="21">
        <f>EXP(-LN(2)/25)*DG51+(1-EXP(-LN(2)/25))/(LN(2)/25)*Calculateur!DB52*Calculateur!DD52*VLOOKUP('Données projet'!$B$13,Paramètres!$A$1:$I$89,3,0)*0.475*44/12</f>
        <v>14.343688842631572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19.117276239789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13.793846153846165</v>
      </c>
      <c r="N53" s="13">
        <f>IF('Données projet'!$A$36&gt;35,N52+M53-V52,IF(A53&lt;'Données projet'!$A$36,$K$205^A53,IF(A53='Données projet'!$A$36,'Données projet'!$B$36,N52+M53-V52)))</f>
        <v>345.43692307692305</v>
      </c>
      <c r="O53" s="13">
        <f>N53*VLOOKUP('Données projet'!$B$9,Paramètres!$A$1:$I$89,3,0)*VLOOKUP('Données projet'!$B$9,Paramètres!$A$1:$I$89,5,0)</f>
        <v>206.57128</v>
      </c>
      <c r="P53" s="13">
        <f t="shared" si="33"/>
        <v>51.185607766999659</v>
      </c>
      <c r="Q53" s="20">
        <f t="shared" si="53"/>
        <v>448.92657952752438</v>
      </c>
      <c r="R53" s="59">
        <f t="shared" si="0"/>
        <v>742.25991286085764</v>
      </c>
      <c r="S53" s="59">
        <f ca="1">AVERAGE(OFFSET($R$3,0,0,'Données projet'!$E$9+1,1))-AVERAGE(OFFSET($H$3,0,0,'Données projet'!$E$9+1,1))</f>
        <v>283.73369613548124</v>
      </c>
      <c r="T53" s="59">
        <f t="shared" si="34"/>
        <v>249.77804091581208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40.607352820040191</v>
      </c>
      <c r="AA53" s="21">
        <f>EXP(-LN(2)/25)*AA52+(1-EXP(-LN(2)/25))/(LN(2)/25)*Calculateur!V53*Calculateur!X53*VLOOKUP('Données projet'!$B$9,Paramètres!$A$1:$I$89,3,0)*0.475*44/12</f>
        <v>12.711068209232675</v>
      </c>
      <c r="AB53" s="21">
        <f>EXP(-LN(2)/2)*AB52+(1-EXP(-LN(2)/2))/(LN(2)/2)*V53*Y53*VLOOKUP('Données projet'!$B$9,Paramètres!$A$1:$I$89,3,0)*0.475*44/12</f>
        <v>1.6699687097013949</v>
      </c>
      <c r="AC53" s="22">
        <f t="shared" si="3"/>
        <v>54.988389738974263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14.668131868131875</v>
      </c>
      <c r="AI53" s="13">
        <f>IF('Données projet'!$A$62&gt;35,AI52+AH53-AQ52,IF(A53&lt;'Données projet'!$A$62,$AF$205^A53,IF(A53='Données projet'!$A$62,'Données projet'!$B$62,AI52+AH53-AQ52)))</f>
        <v>260.04505494505497</v>
      </c>
      <c r="AJ53" s="13">
        <f>AI53*VLOOKUP('Données projet'!$B$10,Paramètres!$A$1:$I$89,3,0)*VLOOKUP('Données projet'!$B$10,Paramètres!$A$1:$I$89,5,0)</f>
        <v>121.70108571428571</v>
      </c>
      <c r="AK53" s="13">
        <f t="shared" si="35"/>
        <v>32.071423986344442</v>
      </c>
      <c r="AL53" s="20">
        <f t="shared" si="4"/>
        <v>267.82045439526422</v>
      </c>
      <c r="AM53" s="59">
        <f t="shared" si="5"/>
        <v>561.15378772859754</v>
      </c>
      <c r="AN53" s="59">
        <f ca="1">AVERAGE(OFFSET($AM$3,0,0,'Données projet'!$E$10+1,1))-AVERAGE(OFFSET($H$3,0,0,'Données projet'!$E$10+1,1))</f>
        <v>205.73717397588365</v>
      </c>
      <c r="AO53" s="59">
        <f t="shared" si="36"/>
        <v>190.64998698136026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22.139092904198467</v>
      </c>
      <c r="AV53" s="21">
        <f>EXP(-LN(2)/25)*AV52+(1-EXP(-LN(2)/25))/(LN(2)/25)*Calculateur!AQ53*Calculateur!AS53*VLOOKUP('Données projet'!$B$10,Paramètres!$A$1:$I$89,3,0)*0.475*44/12</f>
        <v>32.690639785361064</v>
      </c>
      <c r="AW53" s="21">
        <f>EXP(-LN(2)/2)*AW52+(1-EXP(-LN(2)/2))/(LN(2)/2)*AQ53*AT53*VLOOKUP('Données projet'!$B$10,Paramètres!$A$1:$I$89,3,0)*0.475*44/12</f>
        <v>7.2933678025943509</v>
      </c>
      <c r="AX53" s="21">
        <f t="shared" si="6"/>
        <v>62.123100492153888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-5.6843418860808015E-14</v>
      </c>
      <c r="BE53" s="13">
        <f>BD53*VLOOKUP('Données projet'!$B$11,Paramètres!$A$1:$I$89,3,0)*VLOOKUP('Données projet'!$B$11,Paramètres!$A$1:$I$89,5,0)</f>
        <v>-3.1036506698001178E-14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159.92263609041913</v>
      </c>
      <c r="BJ53" s="59">
        <f t="shared" si="38"/>
        <v>271.78119133009307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55.323225503324807</v>
      </c>
      <c r="BQ53" s="21">
        <f>EXP(-LN(2)/25)*BQ52+(1-EXP(-LN(2)/25))/(LN(2)/25)*Calculateur!BL53*Calculateur!BN53*VLOOKUP('Données projet'!$B$11,Paramètres!$A$1:$I$89,3,0)*0.475*44/12</f>
        <v>113.62121935858404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168.94444486190883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8.8736263736263741</v>
      </c>
      <c r="BY53" s="12">
        <f>IF('Données projet'!$A$114&gt;35,BY52+BX53-CG52,IF(A53&lt;'Données projet'!$A$114,$BV$205^A53,IF(A53='Données projet'!$A$114,'Données projet'!$B$114,BY52+BX53-CG52)))</f>
        <v>154.07417582417591</v>
      </c>
      <c r="BZ53" s="13">
        <f>BY53*VLOOKUP('Données projet'!$B$12,Paramètres!$A$1:$I$89,3,0)*VLOOKUP('Données projet'!$B$12,Paramètres!$A$1:$I$89,5,0)</f>
        <v>139.40631428571436</v>
      </c>
      <c r="CA53" s="13">
        <f t="shared" si="39"/>
        <v>36.160966815041384</v>
      </c>
      <c r="CB53" s="20">
        <f t="shared" si="10"/>
        <v>305.77968125048289</v>
      </c>
      <c r="CC53" s="59">
        <f t="shared" si="11"/>
        <v>599.11301458381627</v>
      </c>
      <c r="CD53" s="59">
        <f ca="1">AVERAGE(OFFSET($CC$3,0,0,'Données projet'!$E$12+1,1))-AVERAGE(OFFSET($H$3,0,0,'Données projet'!$E$12+1,1))</f>
        <v>280.25710840677186</v>
      </c>
      <c r="CE53" s="59">
        <f t="shared" si="40"/>
        <v>209.65224013288037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209</v>
      </c>
      <c r="CR53" s="12">
        <f>VLOOKUP(A53,'Données projet'!$A$139:$I$159,9,0)</f>
        <v>7.4</v>
      </c>
      <c r="CS53" s="12">
        <f t="array" ref="CS53">INDEX(CR:CR,MIN(IF(ISNUMBER(CR53:CR249),ROW(CR53:CR249),"")))</f>
        <v>7.4</v>
      </c>
      <c r="CT53" s="12">
        <f>IF('Données projet'!$A$140&gt;35,CT52+CS53-DB52,IF(A53&lt;'Données projet'!$A$140,$CQ$205^A53,IF(A53='Données projet'!$A$140,'Données projet'!$B$140,CT52+CS53-DB52)))</f>
        <v>209.00000000000006</v>
      </c>
      <c r="CU53" s="17">
        <f>CT53*VLOOKUP('Données projet'!$B$13,Paramètres!$A$1:$I$89,3,0)*VLOOKUP('Données projet'!$B$13,Paramètres!$A$1:$I$89,5,0)</f>
        <v>218.44680000000011</v>
      </c>
      <c r="CV53" s="13">
        <f t="shared" si="41"/>
        <v>53.777166299799873</v>
      </c>
      <c r="CW53" s="20">
        <f t="shared" si="13"/>
        <v>474.12340797215165</v>
      </c>
      <c r="CX53" s="59">
        <f t="shared" si="14"/>
        <v>767.45674130548491</v>
      </c>
      <c r="CY53" s="59">
        <f ca="1">AVERAGE(OFFSET($CX$3,0,0,'Données projet'!$E$13+1,1))-AVERAGE(OFFSET($H$3,0,0,'Données projet'!$E$13+1,1))</f>
        <v>330.14201227773452</v>
      </c>
      <c r="CZ53" s="59">
        <f t="shared" si="42"/>
        <v>307.07297894926467</v>
      </c>
      <c r="DA53" s="15">
        <f>IF(ISNA(VLOOKUP(A53,'Données projet'!$A$139:$I$159,3,0)),0,VLOOKUP(A53,'Données projet'!$A$139:$I$159,3,0))</f>
        <v>7</v>
      </c>
      <c r="DB53" s="15" t="str">
        <f>IF(ISNA(VLOOKUP(A53,'Données projet'!$A$139:$I$159,4,0)),0,VLOOKUP(A53,'Données projet'!$A$139:$I$159,4,0))</f>
        <v>24</v>
      </c>
      <c r="DC53" s="16">
        <f>IF(ISNA(VLOOKUP(A53,'Données projet'!$A$139:$I$159,5,0)),0%,VLOOKUP(A53,'Données projet'!$A$139:$I$159,5,0)*VLOOKUP('Données projet'!$B$13,Paramètres!$A$1:$I$89,7,0))</f>
        <v>0.17200000000000001</v>
      </c>
      <c r="DD53" s="16">
        <f>IF(ISNA(VLOOKUP(A53,'Données projet'!$A$139:$I$159,6,0)),0%,VLOOKUP(A53,'Données projet'!$A$139:$I$159,6,0)*VLOOKUP('Données projet'!$B$13,Paramètres!$A$1:$I$89,7,0))</f>
        <v>0.17200000000000001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9.4496268406593877</v>
      </c>
      <c r="DG53" s="21">
        <f>EXP(-LN(2)/25)*DG52+(1-EXP(-LN(2)/25))/(LN(2)/25)*Calculateur!DB53*Calculateur!DD53*VLOOKUP('Données projet'!$B$13,Paramètres!$A$1:$I$89,3,0)*0.475*44/12</f>
        <v>18.702326581721124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28.151953422380512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13.793846153846165</v>
      </c>
      <c r="N54" s="13">
        <f>IF('Données projet'!$A$36&gt;35,N53+M54-V53,IF(A54&lt;'Données projet'!$A$36,$K$205^A54,IF(A54='Données projet'!$A$36,'Données projet'!$B$36,N53+M54-V53)))</f>
        <v>359.23076923076923</v>
      </c>
      <c r="O54" s="13">
        <f>N54*VLOOKUP('Données projet'!$B$9,Paramètres!$A$1:$I$89,3,0)*VLOOKUP('Données projet'!$B$9,Paramètres!$A$1:$I$89,5,0)</f>
        <v>214.82</v>
      </c>
      <c r="P54" s="13">
        <f t="shared" si="33"/>
        <v>52.987481825087599</v>
      </c>
      <c r="Q54" s="20">
        <f t="shared" si="53"/>
        <v>466.43136417869431</v>
      </c>
      <c r="R54" s="59">
        <f t="shared" si="0"/>
        <v>759.76469751202762</v>
      </c>
      <c r="S54" s="59">
        <f ca="1">AVERAGE(OFFSET($R$3,0,0,'Données projet'!$E$9+1,1))-AVERAGE(OFFSET($H$3,0,0,'Données projet'!$E$9+1,1))</f>
        <v>283.73369613548124</v>
      </c>
      <c r="T54" s="59">
        <f t="shared" si="34"/>
        <v>249.77804091581208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39.811067399278784</v>
      </c>
      <c r="AA54" s="21">
        <f>EXP(-LN(2)/25)*AA53+(1-EXP(-LN(2)/25))/(LN(2)/25)*Calculateur!V54*Calculateur!X54*VLOOKUP('Données projet'!$B$9,Paramètres!$A$1:$I$89,3,0)*0.475*44/12</f>
        <v>12.363483380605182</v>
      </c>
      <c r="AB54" s="21">
        <f>EXP(-LN(2)/2)*AB53+(1-EXP(-LN(2)/2))/(LN(2)/2)*V54*Y54*VLOOKUP('Données projet'!$B$9,Paramètres!$A$1:$I$89,3,0)*0.475*44/12</f>
        <v>1.1808461989992054</v>
      </c>
      <c r="AC54" s="22">
        <f t="shared" si="3"/>
        <v>53.355396978883171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14.668131868131875</v>
      </c>
      <c r="AI54" s="13">
        <f>IF('Données projet'!$A$62&gt;35,AI53+AH54-AQ53,IF(A54&lt;'Données projet'!$A$62,$AF$205^A54,IF(A54='Données projet'!$A$62,'Données projet'!$B$62,AI53+AH54-AQ53)))</f>
        <v>274.71318681318684</v>
      </c>
      <c r="AJ54" s="13">
        <f>AI54*VLOOKUP('Données projet'!$B$10,Paramètres!$A$1:$I$89,3,0)*VLOOKUP('Données projet'!$B$10,Paramètres!$A$1:$I$89,5,0)</f>
        <v>128.56577142857145</v>
      </c>
      <c r="AK54" s="13">
        <f t="shared" si="35"/>
        <v>33.664737545838108</v>
      </c>
      <c r="AL54" s="20">
        <f t="shared" si="4"/>
        <v>282.55146979709662</v>
      </c>
      <c r="AM54" s="59">
        <f t="shared" si="5"/>
        <v>575.88480313042987</v>
      </c>
      <c r="AN54" s="59">
        <f ca="1">AVERAGE(OFFSET($AM$3,0,0,'Données projet'!$E$10+1,1))-AVERAGE(OFFSET($H$3,0,0,'Données projet'!$E$10+1,1))</f>
        <v>205.73717397588365</v>
      </c>
      <c r="AO54" s="59">
        <f t="shared" si="36"/>
        <v>190.64998698136026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21.704958795860446</v>
      </c>
      <c r="AV54" s="21">
        <f>EXP(-LN(2)/25)*AV53+(1-EXP(-LN(2)/25))/(LN(2)/25)*Calculateur!AQ54*Calculateur!AS54*VLOOKUP('Données projet'!$B$10,Paramètres!$A$1:$I$89,3,0)*0.475*44/12</f>
        <v>31.796712521304336</v>
      </c>
      <c r="AW54" s="21">
        <f>EXP(-LN(2)/2)*AW53+(1-EXP(-LN(2)/2))/(LN(2)/2)*AQ54*AT54*VLOOKUP('Données projet'!$B$10,Paramètres!$A$1:$I$89,3,0)*0.475*44/12</f>
        <v>5.1571898309020954</v>
      </c>
      <c r="AX54" s="21">
        <f t="shared" si="6"/>
        <v>58.658861148066876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-5.6843418860808015E-14</v>
      </c>
      <c r="BE54" s="13">
        <f>BD54*VLOOKUP('Données projet'!$B$11,Paramètres!$A$1:$I$89,3,0)*VLOOKUP('Données projet'!$B$11,Paramètres!$A$1:$I$89,5,0)</f>
        <v>-3.1036506698001178E-14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159.92263609041913</v>
      </c>
      <c r="BJ54" s="59">
        <f t="shared" si="38"/>
        <v>271.78119133009307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54.23837079504024</v>
      </c>
      <c r="BQ54" s="21">
        <f>EXP(-LN(2)/25)*BQ53+(1-EXP(-LN(2)/25))/(LN(2)/25)*Calculateur!BL54*Calculateur!BN54*VLOOKUP('Données projet'!$B$11,Paramètres!$A$1:$I$89,3,0)*0.475*44/12</f>
        <v>110.51424114014333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164.75261193518355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8.8736263736263741</v>
      </c>
      <c r="BY54" s="12">
        <f>IF('Données projet'!$A$114&gt;35,BY53+BX54-CG53,IF(A54&lt;'Données projet'!$A$114,$BV$205^A54,IF(A54='Données projet'!$A$114,'Données projet'!$B$114,BY53+BX54-CG53)))</f>
        <v>162.94780219780228</v>
      </c>
      <c r="BZ54" s="13">
        <f>BY54*VLOOKUP('Données projet'!$B$12,Paramètres!$A$1:$I$89,3,0)*VLOOKUP('Données projet'!$B$12,Paramètres!$A$1:$I$89,5,0)</f>
        <v>147.43517142857149</v>
      </c>
      <c r="CA54" s="13">
        <f t="shared" si="39"/>
        <v>37.995135358244994</v>
      </c>
      <c r="CB54" s="20">
        <f t="shared" si="10"/>
        <v>322.95778432037201</v>
      </c>
      <c r="CC54" s="59">
        <f t="shared" si="11"/>
        <v>616.29111765370533</v>
      </c>
      <c r="CD54" s="59">
        <f ca="1">AVERAGE(OFFSET($CC$3,0,0,'Données projet'!$E$12+1,1))-AVERAGE(OFFSET($H$3,0,0,'Données projet'!$E$12+1,1))</f>
        <v>280.25710840677186</v>
      </c>
      <c r="CE54" s="59">
        <f t="shared" si="40"/>
        <v>209.65224013288037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6.6</v>
      </c>
      <c r="CT54" s="12">
        <f>IF('Données projet'!$A$140&gt;35,CT53+CS54-DB53,IF(A54&lt;'Données projet'!$A$140,$CQ$205^A54,IF(A54='Données projet'!$A$140,'Données projet'!$B$140,CT53+CS54-DB53)))</f>
        <v>191.60000000000005</v>
      </c>
      <c r="CU54" s="17">
        <f>CT54*VLOOKUP('Données projet'!$B$13,Paramètres!$A$1:$I$89,3,0)*VLOOKUP('Données projet'!$B$13,Paramètres!$A$1:$I$89,5,0)</f>
        <v>200.26032000000006</v>
      </c>
      <c r="CV54" s="13">
        <f t="shared" si="41"/>
        <v>49.801373850507687</v>
      </c>
      <c r="CW54" s="20">
        <f t="shared" si="13"/>
        <v>435.52411678963432</v>
      </c>
      <c r="CX54" s="59">
        <f t="shared" si="14"/>
        <v>728.85745012296763</v>
      </c>
      <c r="CY54" s="59">
        <f ca="1">AVERAGE(OFFSET($CX$3,0,0,'Données projet'!$E$13+1,1))-AVERAGE(OFFSET($H$3,0,0,'Données projet'!$E$13+1,1))</f>
        <v>330.14201227773452</v>
      </c>
      <c r="CZ54" s="59">
        <f t="shared" si="42"/>
        <v>307.07297894926467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9.2643254220173112</v>
      </c>
      <c r="DG54" s="21">
        <f>EXP(-LN(2)/25)*DG53+(1-EXP(-LN(2)/25))/(LN(2)/25)*Calculateur!DB54*Calculateur!DD54*VLOOKUP('Données projet'!$B$13,Paramètres!$A$1:$I$89,3,0)*0.475*44/12</f>
        <v>18.190910477831348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27.45523589984866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13.793846153846165</v>
      </c>
      <c r="N55" s="13">
        <f>IF('Données projet'!$A$36&gt;35,N54+M55-V54,IF(A55&lt;'Données projet'!$A$36,$K$205^A55,IF(A55='Données projet'!$A$36,'Données projet'!$B$36,N54+M55-V54)))</f>
        <v>373.0246153846154</v>
      </c>
      <c r="O55" s="13">
        <f>N55*VLOOKUP('Données projet'!$B$9,Paramètres!$A$1:$I$89,3,0)*VLOOKUP('Données projet'!$B$9,Paramètres!$A$1:$I$89,5,0)</f>
        <v>223.06872000000001</v>
      </c>
      <c r="P55" s="13">
        <f t="shared" si="33"/>
        <v>54.78131818288734</v>
      </c>
      <c r="Q55" s="20">
        <f t="shared" si="53"/>
        <v>483.92214983519551</v>
      </c>
      <c r="R55" s="59">
        <f t="shared" si="0"/>
        <v>777.25548316852883</v>
      </c>
      <c r="S55" s="59">
        <f ca="1">AVERAGE(OFFSET($R$3,0,0,'Données projet'!$E$9+1,1))-AVERAGE(OFFSET($H$3,0,0,'Données projet'!$E$9+1,1))</f>
        <v>283.73369613548124</v>
      </c>
      <c r="T55" s="59">
        <f t="shared" si="34"/>
        <v>249.77804091581208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39.030396649932356</v>
      </c>
      <c r="AA55" s="21">
        <f>EXP(-LN(2)/25)*AA54+(1-EXP(-LN(2)/25))/(LN(2)/25)*Calculateur!V55*Calculateur!X55*VLOOKUP('Données projet'!$B$9,Paramètres!$A$1:$I$89,3,0)*0.475*44/12</f>
        <v>12.025403277395199</v>
      </c>
      <c r="AB55" s="21">
        <f>EXP(-LN(2)/2)*AB54+(1-EXP(-LN(2)/2))/(LN(2)/2)*V55*Y55*VLOOKUP('Données projet'!$B$9,Paramètres!$A$1:$I$89,3,0)*0.475*44/12</f>
        <v>0.83498435485069755</v>
      </c>
      <c r="AC55" s="22">
        <f t="shared" si="3"/>
        <v>51.890784282178252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14.668131868131875</v>
      </c>
      <c r="AI55" s="13">
        <f>IF('Données projet'!$A$62&gt;35,AI54+AH55-AQ54,IF(A55&lt;'Données projet'!$A$62,$AF$205^A55,IF(A55='Données projet'!$A$62,'Données projet'!$B$62,AI54+AH55-AQ54)))</f>
        <v>289.3813186813187</v>
      </c>
      <c r="AJ55" s="13">
        <f>AI55*VLOOKUP('Données projet'!$B$10,Paramètres!$A$1:$I$89,3,0)*VLOOKUP('Données projet'!$B$10,Paramètres!$A$1:$I$89,5,0)</f>
        <v>135.43045714285716</v>
      </c>
      <c r="AK55" s="13">
        <f t="shared" si="35"/>
        <v>35.248174253598229</v>
      </c>
      <c r="AL55" s="20">
        <f t="shared" si="4"/>
        <v>297.26528301549314</v>
      </c>
      <c r="AM55" s="59">
        <f t="shared" si="5"/>
        <v>590.59861634882645</v>
      </c>
      <c r="AN55" s="59">
        <f ca="1">AVERAGE(OFFSET($AM$3,0,0,'Données projet'!$E$10+1,1))-AVERAGE(OFFSET($H$3,0,0,'Données projet'!$E$10+1,1))</f>
        <v>205.73717397588365</v>
      </c>
      <c r="AO55" s="59">
        <f t="shared" si="36"/>
        <v>190.64998698136026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21.279337792591274</v>
      </c>
      <c r="AV55" s="21">
        <f>EXP(-LN(2)/25)*AV54+(1-EXP(-LN(2)/25))/(LN(2)/25)*Calculateur!AQ55*Calculateur!AS55*VLOOKUP('Données projet'!$B$10,Paramètres!$A$1:$I$89,3,0)*0.475*44/12</f>
        <v>30.927229745292831</v>
      </c>
      <c r="AW55" s="21">
        <f>EXP(-LN(2)/2)*AW54+(1-EXP(-LN(2)/2))/(LN(2)/2)*AQ55*AT55*VLOOKUP('Données projet'!$B$10,Paramètres!$A$1:$I$89,3,0)*0.475*44/12</f>
        <v>3.6466839012971763</v>
      </c>
      <c r="AX55" s="21">
        <f t="shared" si="6"/>
        <v>55.853251439181278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-5.6843418860808015E-14</v>
      </c>
      <c r="BE55" s="13">
        <f>BD55*VLOOKUP('Données projet'!$B$11,Paramètres!$A$1:$I$89,3,0)*VLOOKUP('Données projet'!$B$11,Paramètres!$A$1:$I$89,5,0)</f>
        <v>-3.1036506698001178E-14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159.92263609041913</v>
      </c>
      <c r="BJ55" s="59">
        <f t="shared" si="38"/>
        <v>271.78119133009307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53.174789425889095</v>
      </c>
      <c r="BQ55" s="21">
        <f>EXP(-LN(2)/25)*BQ54+(1-EXP(-LN(2)/25))/(LN(2)/25)*Calculateur!BL55*Calculateur!BN55*VLOOKUP('Données projet'!$B$11,Paramètres!$A$1:$I$89,3,0)*0.475*44/12</f>
        <v>107.49222340447474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160.66701283036383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8.8736263736263741</v>
      </c>
      <c r="BY55" s="12">
        <f>IF('Données projet'!$A$114&gt;35,BY54+BX55-CG54,IF(A55&lt;'Données projet'!$A$114,$BV$205^A55,IF(A55='Données projet'!$A$114,'Données projet'!$B$114,BY54+BX55-CG54)))</f>
        <v>171.82142857142864</v>
      </c>
      <c r="BZ55" s="13">
        <f>BY55*VLOOKUP('Données projet'!$B$12,Paramètres!$A$1:$I$89,3,0)*VLOOKUP('Données projet'!$B$12,Paramètres!$A$1:$I$89,5,0)</f>
        <v>155.46402857142863</v>
      </c>
      <c r="CA55" s="13">
        <f t="shared" si="39"/>
        <v>39.817708233223598</v>
      </c>
      <c r="CB55" s="20">
        <f t="shared" si="10"/>
        <v>340.11569160143591</v>
      </c>
      <c r="CC55" s="59">
        <f t="shared" si="11"/>
        <v>633.44902493476923</v>
      </c>
      <c r="CD55" s="59">
        <f ca="1">AVERAGE(OFFSET($CC$3,0,0,'Données projet'!$E$12+1,1))-AVERAGE(OFFSET($H$3,0,0,'Données projet'!$E$12+1,1))</f>
        <v>280.25710840677186</v>
      </c>
      <c r="CE55" s="59">
        <f t="shared" si="40"/>
        <v>209.65224013288037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6.6</v>
      </c>
      <c r="CT55" s="12">
        <f>IF('Données projet'!$A$140&gt;35,CT54+CS55-DB54,IF(A55&lt;'Données projet'!$A$140,$CQ$205^A55,IF(A55='Données projet'!$A$140,'Données projet'!$B$140,CT54+CS55-DB54)))</f>
        <v>198.20000000000005</v>
      </c>
      <c r="CU55" s="17">
        <f>CT55*VLOOKUP('Données projet'!$B$13,Paramètres!$A$1:$I$89,3,0)*VLOOKUP('Données projet'!$B$13,Paramètres!$A$1:$I$89,5,0)</f>
        <v>207.15864000000008</v>
      </c>
      <c r="CV55" s="13">
        <f t="shared" si="41"/>
        <v>51.314185628735935</v>
      </c>
      <c r="CW55" s="20">
        <f t="shared" si="13"/>
        <v>450.17350463671522</v>
      </c>
      <c r="CX55" s="59">
        <f t="shared" si="14"/>
        <v>743.50683797004854</v>
      </c>
      <c r="CY55" s="59">
        <f ca="1">AVERAGE(OFFSET($CX$3,0,0,'Données projet'!$E$13+1,1))-AVERAGE(OFFSET($H$3,0,0,'Données projet'!$E$13+1,1))</f>
        <v>330.14201227773452</v>
      </c>
      <c r="CZ55" s="59">
        <f t="shared" si="42"/>
        <v>307.07297894926467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9.0826576511721004</v>
      </c>
      <c r="DG55" s="21">
        <f>EXP(-LN(2)/25)*DG54+(1-EXP(-LN(2)/25))/(LN(2)/25)*Calculateur!DB55*Calculateur!DD55*VLOOKUP('Données projet'!$B$13,Paramètres!$A$1:$I$89,3,0)*0.475*44/12</f>
        <v>17.693479074196645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26.776136725368744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13.793846153846165</v>
      </c>
      <c r="N56" s="13">
        <f>IF('Données projet'!$A$36&gt;35,N55+M56-V55,IF(A56&lt;'Données projet'!$A$36,$K$205^A56,IF(A56='Données projet'!$A$36,'Données projet'!$B$36,N55+M56-V55)))</f>
        <v>386.81846153846158</v>
      </c>
      <c r="O56" s="13">
        <f>N56*VLOOKUP('Données projet'!$B$9,Paramètres!$A$1:$I$89,3,0)*VLOOKUP('Données projet'!$B$9,Paramètres!$A$1:$I$89,5,0)</f>
        <v>231.31744000000003</v>
      </c>
      <c r="P56" s="13">
        <f t="shared" si="33"/>
        <v>56.567448098598192</v>
      </c>
      <c r="Q56" s="20">
        <f t="shared" si="53"/>
        <v>501.39951343839198</v>
      </c>
      <c r="R56" s="59">
        <f t="shared" si="0"/>
        <v>794.73284677172524</v>
      </c>
      <c r="S56" s="59">
        <f ca="1">AVERAGE(OFFSET($R$3,0,0,'Données projet'!$E$9+1,1))-AVERAGE(OFFSET($H$3,0,0,'Données projet'!$E$9+1,1))</f>
        <v>283.73369613548124</v>
      </c>
      <c r="T56" s="59">
        <f t="shared" si="34"/>
        <v>249.77804091581208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38.265034377818473</v>
      </c>
      <c r="AA56" s="21">
        <f>EXP(-LN(2)/25)*AA55+(1-EXP(-LN(2)/25))/(LN(2)/25)*Calculateur!V56*Calculateur!X56*VLOOKUP('Données projet'!$B$9,Paramètres!$A$1:$I$89,3,0)*0.475*44/12</f>
        <v>11.696567992386353</v>
      </c>
      <c r="AB56" s="21">
        <f>EXP(-LN(2)/2)*AB55+(1-EXP(-LN(2)/2))/(LN(2)/2)*V56*Y56*VLOOKUP('Données projet'!$B$9,Paramètres!$A$1:$I$89,3,0)*0.475*44/12</f>
        <v>0.59042309949960281</v>
      </c>
      <c r="AC56" s="22">
        <f t="shared" si="3"/>
        <v>50.552025469704432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14.668131868131875</v>
      </c>
      <c r="AI56" s="13">
        <f>IF('Données projet'!$A$62&gt;35,AI55+AH56-AQ55,IF(A56&lt;'Données projet'!$A$62,$AF$205^A56,IF(A56='Données projet'!$A$62,'Données projet'!$B$62,AI55+AH56-AQ55)))</f>
        <v>304.04945054945057</v>
      </c>
      <c r="AJ56" s="13">
        <f>AI56*VLOOKUP('Données projet'!$B$10,Paramètres!$A$1:$I$89,3,0)*VLOOKUP('Données projet'!$B$10,Paramètres!$A$1:$I$89,5,0)</f>
        <v>142.29514285714285</v>
      </c>
      <c r="AK56" s="13">
        <f t="shared" si="35"/>
        <v>36.822291864436032</v>
      </c>
      <c r="AL56" s="20">
        <f t="shared" si="4"/>
        <v>311.96286547341651</v>
      </c>
      <c r="AM56" s="59">
        <f t="shared" si="5"/>
        <v>605.29619880674977</v>
      </c>
      <c r="AN56" s="59">
        <f ca="1">AVERAGE(OFFSET($AM$3,0,0,'Données projet'!$E$10+1,1))-AVERAGE(OFFSET($H$3,0,0,'Données projet'!$E$10+1,1))</f>
        <v>205.73717397588365</v>
      </c>
      <c r="AO56" s="59">
        <f t="shared" si="36"/>
        <v>190.64998698136026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20.862062957593032</v>
      </c>
      <c r="AV56" s="21">
        <f>EXP(-LN(2)/25)*AV55+(1-EXP(-LN(2)/25))/(LN(2)/25)*Calculateur!AQ56*Calculateur!AS56*VLOOKUP('Données projet'!$B$10,Paramètres!$A$1:$I$89,3,0)*0.475*44/12</f>
        <v>30.081523021515473</v>
      </c>
      <c r="AW56" s="21">
        <f>EXP(-LN(2)/2)*AW55+(1-EXP(-LN(2)/2))/(LN(2)/2)*AQ56*AT56*VLOOKUP('Données projet'!$B$10,Paramètres!$A$1:$I$89,3,0)*0.475*44/12</f>
        <v>2.5785949154510481</v>
      </c>
      <c r="AX56" s="21">
        <f t="shared" si="6"/>
        <v>53.522180894559554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-5.6843418860808015E-14</v>
      </c>
      <c r="BE56" s="13">
        <f>BD56*VLOOKUP('Données projet'!$B$11,Paramètres!$A$1:$I$89,3,0)*VLOOKUP('Données projet'!$B$11,Paramètres!$A$1:$I$89,5,0)</f>
        <v>-3.1036506698001178E-14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159.92263609041913</v>
      </c>
      <c r="BJ56" s="59">
        <f t="shared" si="38"/>
        <v>271.78119133009307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52.132064238666423</v>
      </c>
      <c r="BQ56" s="21">
        <f>EXP(-LN(2)/25)*BQ55+(1-EXP(-LN(2)/25))/(LN(2)/25)*Calculateur!BL56*Calculateur!BN56*VLOOKUP('Données projet'!$B$11,Paramètres!$A$1:$I$89,3,0)*0.475*44/12</f>
        <v>104.55284290270903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156.68490714137545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8.8736263736263741</v>
      </c>
      <c r="BY56" s="12">
        <f>IF('Données projet'!$A$114&gt;35,BY55+BX56-CG55,IF(A56&lt;'Données projet'!$A$114,$BV$205^A56,IF(A56='Données projet'!$A$114,'Données projet'!$B$114,BY55+BX56-CG55)))</f>
        <v>180.69505494505501</v>
      </c>
      <c r="BZ56" s="13">
        <f>BY56*VLOOKUP('Données projet'!$B$12,Paramètres!$A$1:$I$89,3,0)*VLOOKUP('Données projet'!$B$12,Paramètres!$A$1:$I$89,5,0)</f>
        <v>163.49288571428576</v>
      </c>
      <c r="CA56" s="13">
        <f t="shared" si="39"/>
        <v>41.629352600963465</v>
      </c>
      <c r="CB56" s="20">
        <f t="shared" si="10"/>
        <v>357.25456506572573</v>
      </c>
      <c r="CC56" s="59">
        <f t="shared" si="11"/>
        <v>650.58789839905899</v>
      </c>
      <c r="CD56" s="59">
        <f ca="1">AVERAGE(OFFSET($CC$3,0,0,'Données projet'!$E$12+1,1))-AVERAGE(OFFSET($H$3,0,0,'Données projet'!$E$12+1,1))</f>
        <v>280.25710840677186</v>
      </c>
      <c r="CE56" s="59">
        <f t="shared" si="40"/>
        <v>209.65224013288037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6.6</v>
      </c>
      <c r="CT56" s="12">
        <f>IF('Données projet'!$A$140&gt;35,CT55+CS56-DB55,IF(A56&lt;'Données projet'!$A$140,$CQ$205^A56,IF(A56='Données projet'!$A$140,'Données projet'!$B$140,CT55+CS56-DB55)))</f>
        <v>204.80000000000004</v>
      </c>
      <c r="CU56" s="17">
        <f>CT56*VLOOKUP('Données projet'!$B$13,Paramètres!$A$1:$I$89,3,0)*VLOOKUP('Données projet'!$B$13,Paramètres!$A$1:$I$89,5,0)</f>
        <v>214.05696000000006</v>
      </c>
      <c r="CV56" s="13">
        <f t="shared" si="41"/>
        <v>52.821143827018723</v>
      </c>
      <c r="CW56" s="20">
        <f t="shared" si="13"/>
        <v>464.81269749872439</v>
      </c>
      <c r="CX56" s="59">
        <f t="shared" si="14"/>
        <v>758.1460308320577</v>
      </c>
      <c r="CY56" s="59">
        <f ca="1">AVERAGE(OFFSET($CX$3,0,0,'Données projet'!$E$13+1,1))-AVERAGE(OFFSET($H$3,0,0,'Données projet'!$E$13+1,1))</f>
        <v>330.14201227773452</v>
      </c>
      <c r="CZ56" s="59">
        <f t="shared" si="42"/>
        <v>307.07297894926467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8.9045522745067665</v>
      </c>
      <c r="DG56" s="21">
        <f>EXP(-LN(2)/25)*DG55+(1-EXP(-LN(2)/25))/(LN(2)/25)*Calculateur!DB56*Calculateur!DD56*VLOOKUP('Données projet'!$B$13,Paramètres!$A$1:$I$89,3,0)*0.475*44/12</f>
        <v>17.209649958453113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26.11420223295988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13.793846153846165</v>
      </c>
      <c r="N57" s="13">
        <f>IF('Données projet'!$A$36&gt;35,N56+M57-V56,IF(A57&lt;'Données projet'!$A$36,$K$205^A57,IF(A57='Données projet'!$A$36,'Données projet'!$B$36,N56+M57-V56)))</f>
        <v>400.61230769230775</v>
      </c>
      <c r="O57" s="13">
        <f>N57*VLOOKUP('Données projet'!$B$9,Paramètres!$A$1:$I$89,3,0)*VLOOKUP('Données projet'!$B$9,Paramètres!$A$1:$I$89,5,0)</f>
        <v>239.56616000000005</v>
      </c>
      <c r="P57" s="13">
        <f t="shared" si="33"/>
        <v>58.346177865957287</v>
      </c>
      <c r="Q57" s="20">
        <f t="shared" si="53"/>
        <v>518.86398844987571</v>
      </c>
      <c r="R57" s="59">
        <f t="shared" si="0"/>
        <v>812.19732178320896</v>
      </c>
      <c r="S57" s="59">
        <f ca="1">AVERAGE(OFFSET($R$3,0,0,'Données projet'!$E$9+1,1))-AVERAGE(OFFSET($H$3,0,0,'Données projet'!$E$9+1,1))</f>
        <v>283.73369613548124</v>
      </c>
      <c r="T57" s="59">
        <f t="shared" si="34"/>
        <v>249.77804091581208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37.514680393035853</v>
      </c>
      <c r="AA57" s="21">
        <f>EXP(-LN(2)/25)*AA56+(1-EXP(-LN(2)/25))/(LN(2)/25)*Calculateur!V57*Calculateur!X57*VLOOKUP('Données projet'!$B$9,Paramètres!$A$1:$I$89,3,0)*0.475*44/12</f>
        <v>11.37672472553877</v>
      </c>
      <c r="AB57" s="21">
        <f>EXP(-LN(2)/2)*AB56+(1-EXP(-LN(2)/2))/(LN(2)/2)*V57*Y57*VLOOKUP('Données projet'!$B$9,Paramètres!$A$1:$I$89,3,0)*0.475*44/12</f>
        <v>0.41749217742534883</v>
      </c>
      <c r="AC57" s="22">
        <f t="shared" si="3"/>
        <v>49.308897295999977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14.668131868131875</v>
      </c>
      <c r="AI57" s="13">
        <f>IF('Données projet'!$A$62&gt;35,AI56+AH57-AQ56,IF(A57&lt;'Données projet'!$A$62,$AF$205^A57,IF(A57='Données projet'!$A$62,'Données projet'!$B$62,AI56+AH57-AQ56)))</f>
        <v>318.71758241758243</v>
      </c>
      <c r="AJ57" s="13">
        <f>AI57*VLOOKUP('Données projet'!$B$10,Paramètres!$A$1:$I$89,3,0)*VLOOKUP('Données projet'!$B$10,Paramètres!$A$1:$I$89,5,0)</f>
        <v>149.15982857142859</v>
      </c>
      <c r="AK57" s="13">
        <f t="shared" si="35"/>
        <v>38.387591277502224</v>
      </c>
      <c r="AL57" s="20">
        <f t="shared" si="4"/>
        <v>326.64508957022116</v>
      </c>
      <c r="AM57" s="59">
        <f t="shared" si="5"/>
        <v>619.97842290355447</v>
      </c>
      <c r="AN57" s="59">
        <f ca="1">AVERAGE(OFFSET($AM$3,0,0,'Données projet'!$E$10+1,1))-AVERAGE(OFFSET($H$3,0,0,'Données projet'!$E$10+1,1))</f>
        <v>205.73717397588365</v>
      </c>
      <c r="AO57" s="59">
        <f t="shared" si="36"/>
        <v>190.64998698136026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20.452970627596589</v>
      </c>
      <c r="AV57" s="21">
        <f>EXP(-LN(2)/25)*AV56+(1-EXP(-LN(2)/25))/(LN(2)/25)*Calculateur!AQ57*Calculateur!AS57*VLOOKUP('Données projet'!$B$10,Paramètres!$A$1:$I$89,3,0)*0.475*44/12</f>
        <v>29.258942192573588</v>
      </c>
      <c r="AW57" s="21">
        <f>EXP(-LN(2)/2)*AW56+(1-EXP(-LN(2)/2))/(LN(2)/2)*AQ57*AT57*VLOOKUP('Données projet'!$B$10,Paramètres!$A$1:$I$89,3,0)*0.475*44/12</f>
        <v>1.8233419506485884</v>
      </c>
      <c r="AX57" s="21">
        <f t="shared" si="6"/>
        <v>51.535254770818767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-5.6843418860808015E-14</v>
      </c>
      <c r="BE57" s="13">
        <f>BD57*VLOOKUP('Données projet'!$B$11,Paramètres!$A$1:$I$89,3,0)*VLOOKUP('Données projet'!$B$11,Paramètres!$A$1:$I$89,5,0)</f>
        <v>-3.1036506698001178E-14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159.92263609041913</v>
      </c>
      <c r="BJ57" s="59">
        <f t="shared" si="38"/>
        <v>271.78119133009307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51.109786256365624</v>
      </c>
      <c r="BQ57" s="21">
        <f>EXP(-LN(2)/25)*BQ56+(1-EXP(-LN(2)/25))/(LN(2)/25)*Calculateur!BL57*Calculateur!BN57*VLOOKUP('Données projet'!$B$11,Paramètres!$A$1:$I$89,3,0)*0.475*44/12</f>
        <v>101.69383991533941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152.80362617170505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8.8736263736263741</v>
      </c>
      <c r="BY57" s="12">
        <f>IF('Données projet'!$A$114&gt;35,BY56+BX57-CG56,IF(A57&lt;'Données projet'!$A$114,$BV$205^A57,IF(A57='Données projet'!$A$114,'Données projet'!$B$114,BY56+BX57-CG56)))</f>
        <v>189.56868131868137</v>
      </c>
      <c r="BZ57" s="13">
        <f>BY57*VLOOKUP('Données projet'!$B$12,Paramètres!$A$1:$I$89,3,0)*VLOOKUP('Données projet'!$B$12,Paramètres!$A$1:$I$89,5,0)</f>
        <v>171.5217428571429</v>
      </c>
      <c r="CA57" s="13">
        <f t="shared" si="39"/>
        <v>43.430666394282092</v>
      </c>
      <c r="CB57" s="20">
        <f t="shared" si="10"/>
        <v>374.37544611289854</v>
      </c>
      <c r="CC57" s="59">
        <f t="shared" si="11"/>
        <v>667.7087794462318</v>
      </c>
      <c r="CD57" s="59">
        <f ca="1">AVERAGE(OFFSET($CC$3,0,0,'Données projet'!$E$12+1,1))-AVERAGE(OFFSET($H$3,0,0,'Données projet'!$E$12+1,1))</f>
        <v>280.25710840677186</v>
      </c>
      <c r="CE57" s="59">
        <f t="shared" si="40"/>
        <v>209.65224013288037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6.6</v>
      </c>
      <c r="CT57" s="12">
        <f>IF('Données projet'!$A$140&gt;35,CT56+CS57-DB56,IF(A57&lt;'Données projet'!$A$140,$CQ$205^A57,IF(A57='Données projet'!$A$140,'Données projet'!$B$140,CT56+CS57-DB56)))</f>
        <v>211.40000000000003</v>
      </c>
      <c r="CU57" s="17">
        <f>CT57*VLOOKUP('Données projet'!$B$13,Paramètres!$A$1:$I$89,3,0)*VLOOKUP('Données projet'!$B$13,Paramètres!$A$1:$I$89,5,0)</f>
        <v>220.95528000000007</v>
      </c>
      <c r="CV57" s="13">
        <f t="shared" si="41"/>
        <v>54.322458723287411</v>
      </c>
      <c r="CW57" s="20">
        <f t="shared" si="13"/>
        <v>479.44206160972567</v>
      </c>
      <c r="CX57" s="59">
        <f t="shared" si="14"/>
        <v>772.77539494305893</v>
      </c>
      <c r="CY57" s="59">
        <f ca="1">AVERAGE(OFFSET($CX$3,0,0,'Données projet'!$E$13+1,1))-AVERAGE(OFFSET($H$3,0,0,'Données projet'!$E$13+1,1))</f>
        <v>330.14201227773452</v>
      </c>
      <c r="CZ57" s="59">
        <f t="shared" si="42"/>
        <v>307.07297894926467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8.729939435644285</v>
      </c>
      <c r="DG57" s="21">
        <f>EXP(-LN(2)/25)*DG56+(1-EXP(-LN(2)/25))/(LN(2)/25)*Calculateur!DB57*Calculateur!DD57*VLOOKUP('Données projet'!$B$13,Paramètres!$A$1:$I$89,3,0)*0.475*44/12</f>
        <v>16.739051175323056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25.468990610967339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13.793846153846165</v>
      </c>
      <c r="N58" s="13">
        <f>IF('Données projet'!$A$36&gt;35,N57+M58-V57,IF(A58&lt;'Données projet'!$A$36,$K$205^A58,IF(A58='Données projet'!$A$36,'Données projet'!$B$36,N57+M58-V57)))</f>
        <v>414.40615384615393</v>
      </c>
      <c r="O58" s="13">
        <f>N58*VLOOKUP('Données projet'!$B$9,Paramètres!$A$1:$I$89,3,0)*VLOOKUP('Données projet'!$B$9,Paramètres!$A$1:$I$89,5,0)</f>
        <v>247.81488000000007</v>
      </c>
      <c r="P58" s="13">
        <f t="shared" si="33"/>
        <v>60.117791489820576</v>
      </c>
      <c r="Q58" s="20">
        <f t="shared" si="53"/>
        <v>536.3160695114376</v>
      </c>
      <c r="R58" s="59">
        <f t="shared" si="0"/>
        <v>829.64940284477098</v>
      </c>
      <c r="S58" s="59">
        <f ca="1">AVERAGE(OFFSET($R$3,0,0,'Données projet'!$E$9+1,1))-AVERAGE(OFFSET($H$3,0,0,'Données projet'!$E$9+1,1))</f>
        <v>283.73369613548124</v>
      </c>
      <c r="T58" s="59">
        <f t="shared" si="34"/>
        <v>249.77804091581208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36.779040392224083</v>
      </c>
      <c r="AA58" s="21">
        <f>EXP(-LN(2)/25)*AA57+(1-EXP(-LN(2)/25))/(LN(2)/25)*Calculateur!V58*Calculateur!X58*VLOOKUP('Données projet'!$B$9,Paramètres!$A$1:$I$89,3,0)*0.475*44/12</f>
        <v>11.065627589642961</v>
      </c>
      <c r="AB58" s="21">
        <f>EXP(-LN(2)/2)*AB57+(1-EXP(-LN(2)/2))/(LN(2)/2)*V58*Y58*VLOOKUP('Données projet'!$B$9,Paramètres!$A$1:$I$89,3,0)*0.475*44/12</f>
        <v>0.29521154974980141</v>
      </c>
      <c r="AC58" s="22">
        <f t="shared" si="3"/>
        <v>48.139879531616849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14.668131868131875</v>
      </c>
      <c r="AI58" s="13">
        <f>IF('Données projet'!$A$62&gt;35,AI57+AH58-AQ57,IF(A58&lt;'Données projet'!$A$62,$AF$205^A58,IF(A58='Données projet'!$A$62,'Données projet'!$B$62,AI57+AH58-AQ57)))</f>
        <v>333.3857142857143</v>
      </c>
      <c r="AJ58" s="13">
        <f>AI58*VLOOKUP('Données projet'!$B$10,Paramètres!$A$1:$I$89,3,0)*VLOOKUP('Données projet'!$B$10,Paramètres!$A$1:$I$89,5,0)</f>
        <v>156.0245142857143</v>
      </c>
      <c r="AK58" s="13">
        <f t="shared" si="35"/>
        <v>39.944524680961258</v>
      </c>
      <c r="AL58" s="20">
        <f t="shared" si="4"/>
        <v>341.31274286695992</v>
      </c>
      <c r="AM58" s="59">
        <f t="shared" si="5"/>
        <v>634.64607620029324</v>
      </c>
      <c r="AN58" s="59">
        <f ca="1">AVERAGE(OFFSET($AM$3,0,0,'Données projet'!$E$10+1,1))-AVERAGE(OFFSET($H$3,0,0,'Données projet'!$E$10+1,1))</f>
        <v>205.73717397588365</v>
      </c>
      <c r="AO58" s="59">
        <f t="shared" si="36"/>
        <v>190.64998698136026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20.05190034866969</v>
      </c>
      <c r="AV58" s="21">
        <f>EXP(-LN(2)/25)*AV57+(1-EXP(-LN(2)/25))/(LN(2)/25)*Calculateur!AQ58*Calculateur!AS58*VLOOKUP('Données projet'!$B$10,Paramètres!$A$1:$I$89,3,0)*0.475*44/12</f>
        <v>28.458854879656766</v>
      </c>
      <c r="AW58" s="21">
        <f>EXP(-LN(2)/2)*AW57+(1-EXP(-LN(2)/2))/(LN(2)/2)*AQ58*AT58*VLOOKUP('Données projet'!$B$10,Paramètres!$A$1:$I$89,3,0)*0.475*44/12</f>
        <v>1.2892974577255243</v>
      </c>
      <c r="AX58" s="21">
        <f t="shared" si="6"/>
        <v>49.800052686051984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-5.6843418860808015E-14</v>
      </c>
      <c r="BE58" s="13">
        <f>BD58*VLOOKUP('Données projet'!$B$11,Paramètres!$A$1:$I$89,3,0)*VLOOKUP('Données projet'!$B$11,Paramètres!$A$1:$I$89,5,0)</f>
        <v>-3.1036506698001178E-14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159.92263609041913</v>
      </c>
      <c r="BJ58" s="59">
        <f t="shared" si="38"/>
        <v>271.78119133009307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50.107554521769742</v>
      </c>
      <c r="BQ58" s="21">
        <f>EXP(-LN(2)/25)*BQ57+(1-EXP(-LN(2)/25))/(LN(2)/25)*Calculateur!BL58*Calculateur!BN58*VLOOKUP('Données projet'!$B$11,Paramètres!$A$1:$I$89,3,0)*0.475*44/12</f>
        <v>98.91301651500784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149.0205710367776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198.44230769230768</v>
      </c>
      <c r="BW58" s="12">
        <f>VLOOKUP(A58,'Données projet'!$A$113:$I$133,9,0)</f>
        <v>8.8736263736263741</v>
      </c>
      <c r="BX58" s="12">
        <f t="array" ref="BX58">INDEX(BW:BW,MIN(IF(ISNUMBER(BW58:BW254),ROW(BW58:BW254),"")))</f>
        <v>8.8736263736263741</v>
      </c>
      <c r="BY58" s="12">
        <f>IF('Données projet'!$A$114&gt;35,BY57+BX58-CG57,IF(A58&lt;'Données projet'!$A$114,$BV$205^A58,IF(A58='Données projet'!$A$114,'Données projet'!$B$114,BY57+BX58-CG57)))</f>
        <v>198.44230769230774</v>
      </c>
      <c r="BZ58" s="13">
        <f>BY58*VLOOKUP('Données projet'!$B$12,Paramètres!$A$1:$I$89,3,0)*VLOOKUP('Données projet'!$B$12,Paramètres!$A$1:$I$89,5,0)</f>
        <v>179.55060000000003</v>
      </c>
      <c r="CA58" s="13">
        <f t="shared" si="39"/>
        <v>45.22218840459005</v>
      </c>
      <c r="CB58" s="20">
        <f t="shared" si="10"/>
        <v>391.47927313799437</v>
      </c>
      <c r="CC58" s="59">
        <f t="shared" si="11"/>
        <v>684.81260647132763</v>
      </c>
      <c r="CD58" s="59">
        <f ca="1">AVERAGE(OFFSET($CC$3,0,0,'Données projet'!$E$12+1,1))-AVERAGE(OFFSET($H$3,0,0,'Données projet'!$E$12+1,1))</f>
        <v>280.25710840677186</v>
      </c>
      <c r="CE58" s="59">
        <f t="shared" si="40"/>
        <v>209.65224013288037</v>
      </c>
      <c r="CF58" s="15">
        <f>IF(ISNA(VLOOKUP(A58,'Données projet'!$A$113:$I$133,3,0)),0,VLOOKUP(A58,'Données projet'!$A$113:$I$133,3,0))</f>
        <v>4</v>
      </c>
      <c r="CG58" s="15">
        <f>IF(ISNA(VLOOKUP(A58,'Données projet'!$A$113:$I$133,4,0)),0,VLOOKUP(A58,'Données projet'!$A$113:$I$133,4,0))</f>
        <v>45.147435897435898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218</v>
      </c>
      <c r="CR58" s="12">
        <f>VLOOKUP(A58,'Données projet'!$A$139:$I$159,9,0)</f>
        <v>6.6</v>
      </c>
      <c r="CS58" s="12">
        <f t="array" ref="CS58">INDEX(CR:CR,MIN(IF(ISNUMBER(CR58:CR254),ROW(CR58:CR254),"")))</f>
        <v>6.6</v>
      </c>
      <c r="CT58" s="12">
        <f>IF('Données projet'!$A$140&gt;35,CT57+CS58-DB57,IF(A58&lt;'Données projet'!$A$140,$CQ$205^A58,IF(A58='Données projet'!$A$140,'Données projet'!$B$140,CT57+CS58-DB57)))</f>
        <v>218.00000000000003</v>
      </c>
      <c r="CU58" s="17">
        <f>CT58*VLOOKUP('Données projet'!$B$13,Paramètres!$A$1:$I$89,3,0)*VLOOKUP('Données projet'!$B$13,Paramètres!$A$1:$I$89,5,0)</f>
        <v>227.85360000000006</v>
      </c>
      <c r="CV58" s="13">
        <f t="shared" si="41"/>
        <v>55.818326719749848</v>
      </c>
      <c r="CW58" s="20">
        <f t="shared" si="13"/>
        <v>494.06193903689768</v>
      </c>
      <c r="CX58" s="59">
        <f t="shared" si="14"/>
        <v>787.39527237023094</v>
      </c>
      <c r="CY58" s="59">
        <f ca="1">AVERAGE(OFFSET($CX$3,0,0,'Données projet'!$E$13+1,1))-AVERAGE(OFFSET($H$3,0,0,'Données projet'!$E$13+1,1))</f>
        <v>330.14201227773452</v>
      </c>
      <c r="CZ58" s="59">
        <f t="shared" si="42"/>
        <v>307.07297894926467</v>
      </c>
      <c r="DA58" s="15">
        <f>IF(ISNA(VLOOKUP(A58,'Données projet'!$A$139:$I$159,3,0)),0,VLOOKUP(A58,'Données projet'!$A$139:$I$159,3,0))</f>
        <v>8</v>
      </c>
      <c r="DB58" s="15" t="str">
        <f>IF(ISNA(VLOOKUP(A58,'Données projet'!$A$139:$I$159,4,0)),0,VLOOKUP(A58,'Données projet'!$A$139:$I$159,4,0))</f>
        <v>23</v>
      </c>
      <c r="DC58" s="16">
        <f>IF(ISNA(VLOOKUP(A58,'Données projet'!$A$139:$I$159,5,0)),0%,VLOOKUP(A58,'Données projet'!$A$139:$I$159,5,0)*VLOOKUP('Données projet'!$B$13,Paramètres!$A$1:$I$89,7,0))</f>
        <v>0.17200000000000001</v>
      </c>
      <c r="DD58" s="16">
        <f>IF(ISNA(VLOOKUP(A58,'Données projet'!$A$139:$I$159,6,0)),0%,VLOOKUP(A58,'Données projet'!$A$139:$I$159,6,0)*VLOOKUP('Données projet'!$B$13,Paramètres!$A$1:$I$89,7,0))</f>
        <v>0.17200000000000001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13.129661954609677</v>
      </c>
      <c r="DG58" s="21">
        <f>EXP(-LN(2)/25)*DG57+(1-EXP(-LN(2)/25))/(LN(2)/25)*Calculateur!DB58*Calculateur!DD58*VLOOKUP('Données projet'!$B$13,Paramètres!$A$1:$I$89,3,0)*0.475*44/12</f>
        <v>20.834234827758813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33.963896782368494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428.20000000000005</v>
      </c>
      <c r="L59" s="12">
        <f>VLOOKUP(A59,'Données projet'!$A$35:$I$55,9,0)</f>
        <v>13.793846153846165</v>
      </c>
      <c r="M59" s="12">
        <f t="array" ref="M59">INDEX(L:L,MIN(IF(ISNUMBER(L59:L255),ROW(L59:L255),"")))</f>
        <v>13.793846153846165</v>
      </c>
      <c r="N59" s="13">
        <f>IF('Données projet'!$A$36&gt;35,N58+M59-V58,IF(A59&lt;'Données projet'!$A$36,$K$205^A59,IF(A59='Données projet'!$A$36,'Données projet'!$B$36,N58+M59-V58)))</f>
        <v>428.2000000000001</v>
      </c>
      <c r="O59" s="13">
        <f>N59*VLOOKUP('Données projet'!$B$9,Paramètres!$A$1:$I$89,3,0)*VLOOKUP('Données projet'!$B$9,Paramètres!$A$1:$I$89,5,0)</f>
        <v>256.06360000000012</v>
      </c>
      <c r="P59" s="13">
        <f t="shared" si="33"/>
        <v>61.882552995500411</v>
      </c>
      <c r="Q59" s="20">
        <f t="shared" si="53"/>
        <v>553.75621646716343</v>
      </c>
      <c r="R59" s="59">
        <f t="shared" si="0"/>
        <v>847.0895498004968</v>
      </c>
      <c r="S59" s="59">
        <f ca="1">AVERAGE(OFFSET($R$3,0,0,'Données projet'!$E$9+1,1))-AVERAGE(OFFSET($H$3,0,0,'Données projet'!$E$9+1,1))</f>
        <v>283.73369613548124</v>
      </c>
      <c r="T59" s="59">
        <f t="shared" si="34"/>
        <v>249.77804091581208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60.092307692307692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51.073988934152091</v>
      </c>
      <c r="AA59" s="21">
        <f>EXP(-LN(2)/25)*AA58+(1-EXP(-LN(2)/25))/(LN(2)/25)*Calculateur!V59*Calculateur!X59*VLOOKUP('Données projet'!$B$9,Paramètres!$A$1:$I$89,3,0)*0.475*44/12</f>
        <v>14.352726717765847</v>
      </c>
      <c r="AB59" s="21">
        <f>EXP(-LN(2)/2)*AB58+(1-EXP(-LN(2)/2))/(LN(2)/2)*V59*Y59*VLOOKUP('Données projet'!$B$9,Paramètres!$A$1:$I$89,3,0)*0.475*44/12</f>
        <v>5.5794293043783174</v>
      </c>
      <c r="AC59" s="22">
        <f t="shared" si="3"/>
        <v>71.006144956296254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348.05384615384617</v>
      </c>
      <c r="AG59" s="12">
        <f>VLOOKUP(A59,'Données projet'!$A$61:$I$81,9,0)</f>
        <v>14.668131868131875</v>
      </c>
      <c r="AH59" s="12">
        <f t="array" ref="AH59">INDEX(AG:AG,MIN(IF(ISNUMBER(AG59:AG255),ROW(AG59:AG255),"")))</f>
        <v>14.668131868131875</v>
      </c>
      <c r="AI59" s="13">
        <f>IF('Données projet'!$A$62&gt;35,AI58+AH59-AQ58,IF(A59&lt;'Données projet'!$A$62,$AF$205^A59,IF(A59='Données projet'!$A$62,'Données projet'!$B$62,AI58+AH59-AQ58)))</f>
        <v>348.05384615384617</v>
      </c>
      <c r="AJ59" s="13">
        <f>AI59*VLOOKUP('Données projet'!$B$10,Paramètres!$A$1:$I$89,3,0)*VLOOKUP('Données projet'!$B$10,Paramètres!$A$1:$I$89,5,0)</f>
        <v>162.88919999999999</v>
      </c>
      <c r="AK59" s="13">
        <f t="shared" si="35"/>
        <v>41.493502222820894</v>
      </c>
      <c r="AL59" s="20">
        <f t="shared" si="4"/>
        <v>355.96653970474637</v>
      </c>
      <c r="AM59" s="59">
        <f t="shared" si="5"/>
        <v>649.29987303807968</v>
      </c>
      <c r="AN59" s="59">
        <f ca="1">AVERAGE(OFFSET($AM$3,0,0,'Données projet'!$E$10+1,1))-AVERAGE(OFFSET($H$3,0,0,'Données projet'!$E$10+1,1))</f>
        <v>205.73717397588365</v>
      </c>
      <c r="AO59" s="59">
        <f t="shared" si="36"/>
        <v>190.64998698136026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72.769230769230759</v>
      </c>
      <c r="AR59" s="16">
        <f>IF(ISNA(VLOOKUP(A59,'Données projet'!$A$61:$I$81,5,0)),0%,VLOOKUP(A59,'Données projet'!$A$61:$I$81,5,0)*VLOOKUP('Données projet'!$B$10,Paramètres!$A$1:$I$89,7,0))</f>
        <v>0.38500000000000001</v>
      </c>
      <c r="AS59" s="16">
        <f>IF(ISNA(VLOOKUP(A59,'Données projet'!$A$61:$I$81,6,0)),0%,VLOOKUP(A59,'Données projet'!$A$61:$I$81,6,0)*VLOOKUP('Données projet'!$B$10,Paramètres!$A$1:$I$89,7,0))</f>
        <v>9.240000000000001E-2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37.05202426464669</v>
      </c>
      <c r="AV59" s="21">
        <f>EXP(-LN(2)/25)*AV58+(1-EXP(-LN(2)/25))/(LN(2)/25)*Calculateur!AQ59*Calculateur!AS59*VLOOKUP('Données projet'!$B$10,Paramètres!$A$1:$I$89,3,0)*0.475*44/12</f>
        <v>31.838608865010755</v>
      </c>
      <c r="AW59" s="21">
        <f>EXP(-LN(2)/2)*AW58+(1-EXP(-LN(2)/2))/(LN(2)/2)*AQ59*AT59*VLOOKUP('Données projet'!$B$10,Paramètres!$A$1:$I$89,3,0)*0.475*44/12</f>
        <v>6.0014989877663876</v>
      </c>
      <c r="AX59" s="21">
        <f t="shared" si="6"/>
        <v>74.892132117423827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-5.6843418860808015E-14</v>
      </c>
      <c r="BE59" s="13">
        <f>BD59*VLOOKUP('Données projet'!$B$11,Paramètres!$A$1:$I$89,3,0)*VLOOKUP('Données projet'!$B$11,Paramètres!$A$1:$I$89,5,0)</f>
        <v>-3.1036506698001178E-14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159.92263609041913</v>
      </c>
      <c r="BJ59" s="59">
        <f t="shared" si="38"/>
        <v>271.78119133009307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49.124975940188293</v>
      </c>
      <c r="BQ59" s="21">
        <f>EXP(-LN(2)/25)*BQ58+(1-EXP(-LN(2)/25))/(LN(2)/25)*Calculateur!BL59*Calculateur!BN59*VLOOKUP('Données projet'!$B$11,Paramètres!$A$1:$I$89,3,0)*0.475*44/12</f>
        <v>96.208234876795487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145.33321081698378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8.374198717948719</v>
      </c>
      <c r="BY59" s="12">
        <f>IF('Données projet'!$A$114&gt;35,BY58+BX59-CG58,IF(A59&lt;'Données projet'!$A$114,$BV$205^A59,IF(A59='Données projet'!$A$114,'Données projet'!$B$114,BY58+BX59-CG58)))</f>
        <v>161.66907051282055</v>
      </c>
      <c r="BZ59" s="13">
        <f>BY59*VLOOKUP('Données projet'!$B$12,Paramètres!$A$1:$I$89,3,0)*VLOOKUP('Données projet'!$B$12,Paramètres!$A$1:$I$89,5,0)</f>
        <v>146.27817500000003</v>
      </c>
      <c r="CA59" s="13">
        <f t="shared" si="39"/>
        <v>37.731554716297467</v>
      </c>
      <c r="CB59" s="20">
        <f t="shared" si="10"/>
        <v>320.48361258921813</v>
      </c>
      <c r="CC59" s="59">
        <f t="shared" si="11"/>
        <v>613.81694592255144</v>
      </c>
      <c r="CD59" s="59">
        <f ca="1">AVERAGE(OFFSET($CC$3,0,0,'Données projet'!$E$12+1,1))-AVERAGE(OFFSET($H$3,0,0,'Données projet'!$E$12+1,1))</f>
        <v>280.25710840677186</v>
      </c>
      <c r="CE59" s="59">
        <f t="shared" si="40"/>
        <v>209.65224013288037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</v>
      </c>
      <c r="CT59" s="12">
        <f>IF('Données projet'!$A$140&gt;35,CT58+CS59-DB58,IF(A59&lt;'Données projet'!$A$140,$CQ$205^A59,IF(A59='Données projet'!$A$140,'Données projet'!$B$140,CT58+CS59-DB58)))</f>
        <v>201.00000000000003</v>
      </c>
      <c r="CU59" s="17">
        <f>CT59*VLOOKUP('Données projet'!$B$13,Paramètres!$A$1:$I$89,3,0)*VLOOKUP('Données projet'!$B$13,Paramètres!$A$1:$I$89,5,0)</f>
        <v>210.08520000000004</v>
      </c>
      <c r="CV59" s="13">
        <f t="shared" si="41"/>
        <v>51.954203602341138</v>
      </c>
      <c r="CW59" s="20">
        <f t="shared" si="13"/>
        <v>456.38529460741091</v>
      </c>
      <c r="CX59" s="59">
        <f t="shared" si="14"/>
        <v>749.71862794074423</v>
      </c>
      <c r="CY59" s="59">
        <f ca="1">AVERAGE(OFFSET($CX$3,0,0,'Données projet'!$E$13+1,1))-AVERAGE(OFFSET($H$3,0,0,'Données projet'!$E$13+1,1))</f>
        <v>330.14201227773452</v>
      </c>
      <c r="CZ59" s="59">
        <f t="shared" si="42"/>
        <v>307.07297894926467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12.87219729198282</v>
      </c>
      <c r="DG59" s="21">
        <f>EXP(-LN(2)/25)*DG58+(1-EXP(-LN(2)/25))/(LN(2)/25)*Calculateur!DB59*Calculateur!DD59*VLOOKUP('Données projet'!$B$13,Paramètres!$A$1:$I$89,3,0)*0.475*44/12</f>
        <v>20.264521580768957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33.136718872751779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12.05461538461538</v>
      </c>
      <c r="N60" s="13">
        <f>IF('Données projet'!$A$36&gt;35,N59+M60-V59,IF(A60&lt;'Données projet'!$A$36,$K$205^A60,IF(A60='Données projet'!$A$36,'Données projet'!$B$36,N59+M60-V59)))</f>
        <v>380.16230769230776</v>
      </c>
      <c r="O60" s="13">
        <f>N60*VLOOKUP('Données projet'!$B$9,Paramètres!$A$1:$I$89,3,0)*VLOOKUP('Données projet'!$B$9,Paramètres!$A$1:$I$89,5,0)</f>
        <v>227.33706000000004</v>
      </c>
      <c r="P60" s="13">
        <f t="shared" si="33"/>
        <v>55.70650197157245</v>
      </c>
      <c r="Q60" s="20">
        <f t="shared" si="53"/>
        <v>492.9675371004887</v>
      </c>
      <c r="R60" s="59">
        <f t="shared" si="0"/>
        <v>786.30087043382196</v>
      </c>
      <c r="S60" s="59">
        <f ca="1">AVERAGE(OFFSET($R$3,0,0,'Données projet'!$E$9+1,1))-AVERAGE(OFFSET($H$3,0,0,'Données projet'!$E$9+1,1))</f>
        <v>283.73369613548124</v>
      </c>
      <c r="T60" s="59">
        <f t="shared" si="34"/>
        <v>249.77804091581208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50.07245916321061</v>
      </c>
      <c r="AA60" s="21">
        <f>EXP(-LN(2)/25)*AA59+(1-EXP(-LN(2)/25))/(LN(2)/25)*Calculateur!V60*Calculateur!X60*VLOOKUP('Données projet'!$B$9,Paramètres!$A$1:$I$89,3,0)*0.475*44/12</f>
        <v>13.960250650891446</v>
      </c>
      <c r="AB60" s="21">
        <f>EXP(-LN(2)/2)*AB59+(1-EXP(-LN(2)/2))/(LN(2)/2)*V60*Y60*VLOOKUP('Données projet'!$B$9,Paramètres!$A$1:$I$89,3,0)*0.475*44/12</f>
        <v>3.9452522962768501</v>
      </c>
      <c r="AC60" s="22">
        <f t="shared" si="3"/>
        <v>67.977962110378897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14.270329670329668</v>
      </c>
      <c r="AI60" s="13">
        <f>IF('Données projet'!$A$62&gt;35,AI59+AH60-AQ59,IF(A60&lt;'Données projet'!$A$62,$AF$205^A60,IF(A60='Données projet'!$A$62,'Données projet'!$B$62,AI59+AH60-AQ59)))</f>
        <v>289.55494505494505</v>
      </c>
      <c r="AJ60" s="13">
        <f>AI60*VLOOKUP('Données projet'!$B$10,Paramètres!$A$1:$I$89,3,0)*VLOOKUP('Données projet'!$B$10,Paramètres!$A$1:$I$89,5,0)</f>
        <v>135.51171428571428</v>
      </c>
      <c r="AK60" s="13">
        <f t="shared" si="35"/>
        <v>35.26686051307076</v>
      </c>
      <c r="AL60" s="20">
        <f t="shared" si="4"/>
        <v>297.43935110788397</v>
      </c>
      <c r="AM60" s="59">
        <f t="shared" si="5"/>
        <v>590.77268444121728</v>
      </c>
      <c r="AN60" s="59">
        <f ca="1">AVERAGE(OFFSET($AM$3,0,0,'Données projet'!$E$10+1,1))-AVERAGE(OFFSET($H$3,0,0,'Données projet'!$E$10+1,1))</f>
        <v>205.73717397588365</v>
      </c>
      <c r="AO60" s="59">
        <f t="shared" si="36"/>
        <v>190.64998698136026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36.325456668320257</v>
      </c>
      <c r="AV60" s="21">
        <f>EXP(-LN(2)/25)*AV59+(1-EXP(-LN(2)/25))/(LN(2)/25)*Calculateur!AQ60*Calculateur!AS60*VLOOKUP('Données projet'!$B$10,Paramètres!$A$1:$I$89,3,0)*0.475*44/12</f>
        <v>30.967980431277365</v>
      </c>
      <c r="AW60" s="21">
        <f>EXP(-LN(2)/2)*AW59+(1-EXP(-LN(2)/2))/(LN(2)/2)*AQ60*AT60*VLOOKUP('Données projet'!$B$10,Paramètres!$A$1:$I$89,3,0)*0.475*44/12</f>
        <v>4.2437006315338142</v>
      </c>
      <c r="AX60" s="21">
        <f t="shared" si="6"/>
        <v>71.537137731131438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-5.6843418860808015E-14</v>
      </c>
      <c r="BE60" s="13">
        <f>BD60*VLOOKUP('Données projet'!$B$11,Paramètres!$A$1:$I$89,3,0)*VLOOKUP('Données projet'!$B$11,Paramètres!$A$1:$I$89,5,0)</f>
        <v>-3.1036506698001178E-14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159.92263609041913</v>
      </c>
      <c r="BJ60" s="59">
        <f t="shared" si="38"/>
        <v>271.78119133009307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48.161665125277899</v>
      </c>
      <c r="BQ60" s="21">
        <f>EXP(-LN(2)/25)*BQ59+(1-EXP(-LN(2)/25))/(LN(2)/25)*Calculateur!BL60*Calculateur!BN60*VLOOKUP('Données projet'!$B$11,Paramètres!$A$1:$I$89,3,0)*0.475*44/12</f>
        <v>93.577415634718335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141.73908075999623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8.374198717948719</v>
      </c>
      <c r="BY60" s="12">
        <f>IF('Données projet'!$A$114&gt;35,BY59+BX60-CG59,IF(A60&lt;'Données projet'!$A$114,$BV$205^A60,IF(A60='Données projet'!$A$114,'Données projet'!$B$114,BY59+BX60-CG59)))</f>
        <v>170.04326923076928</v>
      </c>
      <c r="BZ60" s="13">
        <f>BY60*VLOOKUP('Données projet'!$B$12,Paramètres!$A$1:$I$89,3,0)*VLOOKUP('Données projet'!$B$12,Paramètres!$A$1:$I$89,5,0)</f>
        <v>153.85515000000004</v>
      </c>
      <c r="CA60" s="13">
        <f t="shared" si="39"/>
        <v>39.453384193994481</v>
      </c>
      <c r="CB60" s="20">
        <f t="shared" si="10"/>
        <v>336.67903038787375</v>
      </c>
      <c r="CC60" s="59">
        <f t="shared" si="11"/>
        <v>630.01236372120707</v>
      </c>
      <c r="CD60" s="59">
        <f ca="1">AVERAGE(OFFSET($CC$3,0,0,'Données projet'!$E$12+1,1))-AVERAGE(OFFSET($H$3,0,0,'Données projet'!$E$12+1,1))</f>
        <v>280.25710840677186</v>
      </c>
      <c r="CE60" s="59">
        <f t="shared" si="40"/>
        <v>209.65224013288037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</v>
      </c>
      <c r="CT60" s="12">
        <f>IF('Données projet'!$A$140&gt;35,CT59+CS60-DB59,IF(A60&lt;'Données projet'!$A$140,$CQ$205^A60,IF(A60='Données projet'!$A$140,'Données projet'!$B$140,CT59+CS60-DB59)))</f>
        <v>207.00000000000003</v>
      </c>
      <c r="CU60" s="17">
        <f>CT60*VLOOKUP('Données projet'!$B$13,Paramètres!$A$1:$I$89,3,0)*VLOOKUP('Données projet'!$B$13,Paramètres!$A$1:$I$89,5,0)</f>
        <v>216.35640000000004</v>
      </c>
      <c r="CV60" s="13">
        <f t="shared" si="41"/>
        <v>53.322199188237285</v>
      </c>
      <c r="CW60" s="20">
        <f t="shared" si="13"/>
        <v>469.69022691951341</v>
      </c>
      <c r="CX60" s="59">
        <f t="shared" si="14"/>
        <v>763.02356025284666</v>
      </c>
      <c r="CY60" s="59">
        <f ca="1">AVERAGE(OFFSET($CX$3,0,0,'Données projet'!$E$13+1,1))-AVERAGE(OFFSET($H$3,0,0,'Données projet'!$E$13+1,1))</f>
        <v>330.14201227773452</v>
      </c>
      <c r="CZ60" s="59">
        <f t="shared" si="42"/>
        <v>307.07297894926467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12.619781354352137</v>
      </c>
      <c r="DG60" s="21">
        <f>EXP(-LN(2)/25)*DG59+(1-EXP(-LN(2)/25))/(LN(2)/25)*Calculateur!DB60*Calculateur!DD60*VLOOKUP('Données projet'!$B$13,Paramètres!$A$1:$I$89,3,0)*0.475*44/12</f>
        <v>19.710387172477954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32.330168526830093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12.05461538461538</v>
      </c>
      <c r="N61" s="13">
        <f>IF('Données projet'!$A$36&gt;35,N60+M61-V60,IF(A61&lt;'Données projet'!$A$36,$K$205^A61,IF(A61='Données projet'!$A$36,'Données projet'!$B$36,N60+M61-V60)))</f>
        <v>392.21692307692314</v>
      </c>
      <c r="O61" s="13">
        <f>N61*VLOOKUP('Données projet'!$B$9,Paramètres!$A$1:$I$89,3,0)*VLOOKUP('Données projet'!$B$9,Paramètres!$A$1:$I$89,5,0)</f>
        <v>234.54572000000007</v>
      </c>
      <c r="P61" s="13">
        <f t="shared" si="33"/>
        <v>57.264450118616011</v>
      </c>
      <c r="Q61" s="20">
        <f t="shared" si="53"/>
        <v>508.23604628992302</v>
      </c>
      <c r="R61" s="59">
        <f t="shared" si="0"/>
        <v>801.56937962325628</v>
      </c>
      <c r="S61" s="59">
        <f ca="1">AVERAGE(OFFSET($R$3,0,0,'Données projet'!$E$9+1,1))-AVERAGE(OFFSET($H$3,0,0,'Données projet'!$E$9+1,1))</f>
        <v>283.73369613548124</v>
      </c>
      <c r="T61" s="59">
        <f t="shared" si="34"/>
        <v>249.77804091581208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49.09056878020445</v>
      </c>
      <c r="AA61" s="21">
        <f>EXP(-LN(2)/25)*AA60+(1-EXP(-LN(2)/25))/(LN(2)/25)*Calculateur!V61*Calculateur!X61*VLOOKUP('Données projet'!$B$9,Paramètres!$A$1:$I$89,3,0)*0.475*44/12</f>
        <v>13.578506862705144</v>
      </c>
      <c r="AB61" s="21">
        <f>EXP(-LN(2)/2)*AB60+(1-EXP(-LN(2)/2))/(LN(2)/2)*V61*Y61*VLOOKUP('Données projet'!$B$9,Paramètres!$A$1:$I$89,3,0)*0.475*44/12</f>
        <v>2.7897146521891591</v>
      </c>
      <c r="AC61" s="22">
        <f t="shared" si="3"/>
        <v>65.458790295098751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14.270329670329668</v>
      </c>
      <c r="AI61" s="13">
        <f>IF('Données projet'!$A$62&gt;35,AI60+AH61-AQ60,IF(A61&lt;'Données projet'!$A$62,$AF$205^A61,IF(A61='Données projet'!$A$62,'Données projet'!$B$62,AI60+AH61-AQ60)))</f>
        <v>303.82527472527471</v>
      </c>
      <c r="AJ61" s="13">
        <f>AI61*VLOOKUP('Données projet'!$B$10,Paramètres!$A$1:$I$89,3,0)*VLOOKUP('Données projet'!$B$10,Paramètres!$A$1:$I$89,5,0)</f>
        <v>142.19022857142855</v>
      </c>
      <c r="AK61" s="13">
        <f t="shared" si="35"/>
        <v>36.798301893816983</v>
      </c>
      <c r="AL61" s="20">
        <f t="shared" si="4"/>
        <v>311.7383572269693</v>
      </c>
      <c r="AM61" s="59">
        <f t="shared" si="5"/>
        <v>605.07169056030261</v>
      </c>
      <c r="AN61" s="59">
        <f ca="1">AVERAGE(OFFSET($AM$3,0,0,'Données projet'!$E$10+1,1))-AVERAGE(OFFSET($H$3,0,0,'Données projet'!$E$10+1,1))</f>
        <v>205.73717397588365</v>
      </c>
      <c r="AO61" s="59">
        <f t="shared" si="36"/>
        <v>190.64998698136026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35.613136619395306</v>
      </c>
      <c r="AV61" s="21">
        <f>EXP(-LN(2)/25)*AV60+(1-EXP(-LN(2)/25))/(LN(2)/25)*Calculateur!AQ61*Calculateur!AS61*VLOOKUP('Données projet'!$B$10,Paramètres!$A$1:$I$89,3,0)*0.475*44/12</f>
        <v>30.121159377848773</v>
      </c>
      <c r="AW61" s="21">
        <f>EXP(-LN(2)/2)*AW60+(1-EXP(-LN(2)/2))/(LN(2)/2)*AQ61*AT61*VLOOKUP('Données projet'!$B$10,Paramètres!$A$1:$I$89,3,0)*0.475*44/12</f>
        <v>3.0007494938831947</v>
      </c>
      <c r="AX61" s="21">
        <f t="shared" si="6"/>
        <v>68.735045491127266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-5.6843418860808015E-14</v>
      </c>
      <c r="BE61" s="13">
        <f>BD61*VLOOKUP('Données projet'!$B$11,Paramètres!$A$1:$I$89,3,0)*VLOOKUP('Données projet'!$B$11,Paramètres!$A$1:$I$89,5,0)</f>
        <v>-3.1036506698001178E-14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159.92263609041913</v>
      </c>
      <c r="BJ61" s="59">
        <f t="shared" si="38"/>
        <v>271.78119133009307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47.217244247886313</v>
      </c>
      <c r="BQ61" s="21">
        <f>EXP(-LN(2)/25)*BQ60+(1-EXP(-LN(2)/25))/(LN(2)/25)*Calculateur!BL61*Calculateur!BN61*VLOOKUP('Données projet'!$B$11,Paramètres!$A$1:$I$89,3,0)*0.475*44/12</f>
        <v>91.018536283164551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138.23578053105086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8.374198717948719</v>
      </c>
      <c r="BY61" s="12">
        <f>IF('Données projet'!$A$114&gt;35,BY60+BX61-CG60,IF(A61&lt;'Données projet'!$A$114,$BV$205^A61,IF(A61='Données projet'!$A$114,'Données projet'!$B$114,BY60+BX61-CG60)))</f>
        <v>178.41746794871801</v>
      </c>
      <c r="BZ61" s="13">
        <f>BY61*VLOOKUP('Données projet'!$B$12,Paramètres!$A$1:$I$89,3,0)*VLOOKUP('Données projet'!$B$12,Paramètres!$A$1:$I$89,5,0)</f>
        <v>161.43212500000007</v>
      </c>
      <c r="CA61" s="13">
        <f t="shared" si="39"/>
        <v>41.16536748337429</v>
      </c>
      <c r="CB61" s="20">
        <f t="shared" si="10"/>
        <v>352.85729940854367</v>
      </c>
      <c r="CC61" s="59">
        <f t="shared" si="11"/>
        <v>646.19063274187693</v>
      </c>
      <c r="CD61" s="59">
        <f ca="1">AVERAGE(OFFSET($CC$3,0,0,'Données projet'!$E$12+1,1))-AVERAGE(OFFSET($H$3,0,0,'Données projet'!$E$12+1,1))</f>
        <v>280.25710840677186</v>
      </c>
      <c r="CE61" s="59">
        <f t="shared" si="40"/>
        <v>209.65224013288037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</v>
      </c>
      <c r="CT61" s="12">
        <f>IF('Données projet'!$A$140&gt;35,CT60+CS61-DB60,IF(A61&lt;'Données projet'!$A$140,$CQ$205^A61,IF(A61='Données projet'!$A$140,'Données projet'!$B$140,CT60+CS61-DB60)))</f>
        <v>213.00000000000003</v>
      </c>
      <c r="CU61" s="17">
        <f>CT61*VLOOKUP('Données projet'!$B$13,Paramètres!$A$1:$I$89,3,0)*VLOOKUP('Données projet'!$B$13,Paramètres!$A$1:$I$89,5,0)</f>
        <v>222.62760000000006</v>
      </c>
      <c r="CV61" s="13">
        <f t="shared" si="41"/>
        <v>54.685586371535265</v>
      </c>
      <c r="CW61" s="20">
        <f t="shared" si="13"/>
        <v>482.98713293042402</v>
      </c>
      <c r="CX61" s="59">
        <f t="shared" si="14"/>
        <v>776.32046626375734</v>
      </c>
      <c r="CY61" s="59">
        <f ca="1">AVERAGE(OFFSET($CX$3,0,0,'Données projet'!$E$13+1,1))-AVERAGE(OFFSET($H$3,0,0,'Données projet'!$E$13+1,1))</f>
        <v>330.14201227773452</v>
      </c>
      <c r="CZ61" s="59">
        <f t="shared" si="42"/>
        <v>307.07297894926467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12.372315139299872</v>
      </c>
      <c r="DG61" s="21">
        <f>EXP(-LN(2)/25)*DG60+(1-EXP(-LN(2)/25))/(LN(2)/25)*Calculateur!DB61*Calculateur!DD61*VLOOKUP('Données projet'!$B$13,Paramètres!$A$1:$I$89,3,0)*0.475*44/12</f>
        <v>19.17140559872233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31.543720738022202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12.05461538461538</v>
      </c>
      <c r="N62" s="13">
        <f>IF('Données projet'!$A$36&gt;35,N61+M62-V61,IF(A62&lt;'Données projet'!$A$36,$K$205^A62,IF(A62='Données projet'!$A$36,'Données projet'!$B$36,N61+M62-V61)))</f>
        <v>404.27153846153851</v>
      </c>
      <c r="O62" s="13">
        <f>N62*VLOOKUP('Données projet'!$B$9,Paramètres!$A$1:$I$89,3,0)*VLOOKUP('Données projet'!$B$9,Paramètres!$A$1:$I$89,5,0)</f>
        <v>241.75438000000005</v>
      </c>
      <c r="P62" s="13">
        <f t="shared" si="33"/>
        <v>58.816833733689712</v>
      </c>
      <c r="Q62" s="20">
        <f t="shared" si="53"/>
        <v>523.49486391950961</v>
      </c>
      <c r="R62" s="59">
        <f t="shared" si="0"/>
        <v>816.82819725284298</v>
      </c>
      <c r="S62" s="59">
        <f ca="1">AVERAGE(OFFSET($R$3,0,0,'Données projet'!$E$9+1,1))-AVERAGE(OFFSET($H$3,0,0,'Données projet'!$E$9+1,1))</f>
        <v>283.73369613548124</v>
      </c>
      <c r="T62" s="59">
        <f t="shared" si="34"/>
        <v>249.77804091581208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48.12793266871504</v>
      </c>
      <c r="AA62" s="21">
        <f>EXP(-LN(2)/25)*AA61+(1-EXP(-LN(2)/25))/(LN(2)/25)*Calculateur!V62*Calculateur!X62*VLOOKUP('Données projet'!$B$9,Paramètres!$A$1:$I$89,3,0)*0.475*44/12</f>
        <v>13.207201878481829</v>
      </c>
      <c r="AB62" s="21">
        <f>EXP(-LN(2)/2)*AB61+(1-EXP(-LN(2)/2))/(LN(2)/2)*V62*Y62*VLOOKUP('Données projet'!$B$9,Paramètres!$A$1:$I$89,3,0)*0.475*44/12</f>
        <v>1.9726261481384255</v>
      </c>
      <c r="AC62" s="22">
        <f t="shared" si="3"/>
        <v>63.307760695335297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14.270329670329668</v>
      </c>
      <c r="AI62" s="13">
        <f>IF('Données projet'!$A$62&gt;35,AI61+AH62-AQ61,IF(A62&lt;'Données projet'!$A$62,$AF$205^A62,IF(A62='Données projet'!$A$62,'Données projet'!$B$62,AI61+AH62-AQ61)))</f>
        <v>318.09560439560437</v>
      </c>
      <c r="AJ62" s="13">
        <f>AI62*VLOOKUP('Données projet'!$B$10,Paramètres!$A$1:$I$89,3,0)*VLOOKUP('Données projet'!$B$10,Paramètres!$A$1:$I$89,5,0)</f>
        <v>148.86874285714285</v>
      </c>
      <c r="AK62" s="13">
        <f t="shared" si="35"/>
        <v>38.321390217280914</v>
      </c>
      <c r="AL62" s="20">
        <f t="shared" si="4"/>
        <v>326.02281510462137</v>
      </c>
      <c r="AM62" s="59">
        <f t="shared" si="5"/>
        <v>619.35614843795474</v>
      </c>
      <c r="AN62" s="59">
        <f ca="1">AVERAGE(OFFSET($AM$3,0,0,'Données projet'!$E$10+1,1))-AVERAGE(OFFSET($H$3,0,0,'Données projet'!$E$10+1,1))</f>
        <v>205.73717397588365</v>
      </c>
      <c r="AO62" s="59">
        <f t="shared" si="36"/>
        <v>190.64998698136026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34.914784732157443</v>
      </c>
      <c r="AV62" s="21">
        <f>EXP(-LN(2)/25)*AV61+(1-EXP(-LN(2)/25))/(LN(2)/25)*Calculateur!AQ62*Calculateur!AS62*VLOOKUP('Données projet'!$B$10,Paramètres!$A$1:$I$89,3,0)*0.475*44/12</f>
        <v>29.297494690658571</v>
      </c>
      <c r="AW62" s="21">
        <f>EXP(-LN(2)/2)*AW61+(1-EXP(-LN(2)/2))/(LN(2)/2)*AQ62*AT62*VLOOKUP('Données projet'!$B$10,Paramètres!$A$1:$I$89,3,0)*0.475*44/12</f>
        <v>2.1218503157669075</v>
      </c>
      <c r="AX62" s="21">
        <f t="shared" si="6"/>
        <v>66.334129738582917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-5.6843418860808015E-14</v>
      </c>
      <c r="BE62" s="13">
        <f>BD62*VLOOKUP('Données projet'!$B$11,Paramètres!$A$1:$I$89,3,0)*VLOOKUP('Données projet'!$B$11,Paramètres!$A$1:$I$89,5,0)</f>
        <v>-3.1036506698001178E-14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159.92263609041913</v>
      </c>
      <c r="BJ62" s="59">
        <f t="shared" si="38"/>
        <v>271.78119133009307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46.291342887860523</v>
      </c>
      <c r="BQ62" s="21">
        <f>EXP(-LN(2)/25)*BQ61+(1-EXP(-LN(2)/25))/(LN(2)/25)*Calculateur!BL62*Calculateur!BN62*VLOOKUP('Données projet'!$B$11,Paramètres!$A$1:$I$89,3,0)*0.475*44/12</f>
        <v>88.529629622044624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134.82097250990515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8.374198717948719</v>
      </c>
      <c r="BY62" s="12">
        <f>IF('Données projet'!$A$114&gt;35,BY61+BX62-CG61,IF(A62&lt;'Données projet'!$A$114,$BV$205^A62,IF(A62='Données projet'!$A$114,'Données projet'!$B$114,BY61+BX62-CG61)))</f>
        <v>186.79166666666674</v>
      </c>
      <c r="BZ62" s="13">
        <f>BY62*VLOOKUP('Données projet'!$B$12,Paramètres!$A$1:$I$89,3,0)*VLOOKUP('Données projet'!$B$12,Paramètres!$A$1:$I$89,5,0)</f>
        <v>169.00910000000005</v>
      </c>
      <c r="CA62" s="13">
        <f t="shared" si="39"/>
        <v>42.868019497909927</v>
      </c>
      <c r="CB62" s="20">
        <f t="shared" si="10"/>
        <v>369.01931645885981</v>
      </c>
      <c r="CC62" s="59">
        <f t="shared" si="11"/>
        <v>662.35264979219312</v>
      </c>
      <c r="CD62" s="59">
        <f ca="1">AVERAGE(OFFSET($CC$3,0,0,'Données projet'!$E$12+1,1))-AVERAGE(OFFSET($H$3,0,0,'Données projet'!$E$12+1,1))</f>
        <v>280.25710840677186</v>
      </c>
      <c r="CE62" s="59">
        <f t="shared" si="40"/>
        <v>209.65224013288037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</v>
      </c>
      <c r="CT62" s="12">
        <f>IF('Données projet'!$A$140&gt;35,CT61+CS62-DB61,IF(A62&lt;'Données projet'!$A$140,$CQ$205^A62,IF(A62='Données projet'!$A$140,'Données projet'!$B$140,CT61+CS62-DB61)))</f>
        <v>219.00000000000003</v>
      </c>
      <c r="CU62" s="17">
        <f>CT62*VLOOKUP('Données projet'!$B$13,Paramètres!$A$1:$I$89,3,0)*VLOOKUP('Données projet'!$B$13,Paramètres!$A$1:$I$89,5,0)</f>
        <v>228.89880000000002</v>
      </c>
      <c r="CV62" s="13">
        <f t="shared" si="41"/>
        <v>56.044509878204664</v>
      </c>
      <c r="CW62" s="20">
        <f t="shared" si="13"/>
        <v>496.27626470453976</v>
      </c>
      <c r="CX62" s="59">
        <f t="shared" si="14"/>
        <v>789.60959803787307</v>
      </c>
      <c r="CY62" s="59">
        <f ca="1">AVERAGE(OFFSET($CX$3,0,0,'Données projet'!$E$13+1,1))-AVERAGE(OFFSET($H$3,0,0,'Données projet'!$E$13+1,1))</f>
        <v>330.14201227773452</v>
      </c>
      <c r="CZ62" s="59">
        <f t="shared" si="42"/>
        <v>307.07297894926467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12.129701585785295</v>
      </c>
      <c r="DG62" s="21">
        <f>EXP(-LN(2)/25)*DG61+(1-EXP(-LN(2)/25))/(LN(2)/25)*Calculateur!DB62*Calculateur!DD62*VLOOKUP('Données projet'!$B$13,Paramètres!$A$1:$I$89,3,0)*0.475*44/12</f>
        <v>18.647162504444864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30.776864090230159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12.05461538461538</v>
      </c>
      <c r="N63" s="13">
        <f>IF('Données projet'!$A$36&gt;35,N62+M63-V62,IF(A63&lt;'Données projet'!$A$36,$K$205^A63,IF(A63='Données projet'!$A$36,'Données projet'!$B$36,N62+M63-V62)))</f>
        <v>416.32615384615389</v>
      </c>
      <c r="O63" s="13">
        <f>N63*VLOOKUP('Données projet'!$B$9,Paramètres!$A$1:$I$89,3,0)*VLOOKUP('Données projet'!$B$9,Paramètres!$A$1:$I$89,5,0)</f>
        <v>248.96304000000006</v>
      </c>
      <c r="P63" s="13">
        <f t="shared" si="33"/>
        <v>60.363837788674616</v>
      </c>
      <c r="Q63" s="20">
        <f t="shared" si="53"/>
        <v>538.7443121486084</v>
      </c>
      <c r="R63" s="59">
        <f t="shared" si="0"/>
        <v>832.07764548194177</v>
      </c>
      <c r="S63" s="59">
        <f ca="1">AVERAGE(OFFSET($R$3,0,0,'Données projet'!$E$9+1,1))-AVERAGE(OFFSET($H$3,0,0,'Données projet'!$E$9+1,1))</f>
        <v>283.73369613548124</v>
      </c>
      <c r="T63" s="59">
        <f t="shared" si="34"/>
        <v>249.77804091581208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47.18417326422189</v>
      </c>
      <c r="AA63" s="21">
        <f>EXP(-LN(2)/25)*AA62+(1-EXP(-LN(2)/25))/(LN(2)/25)*Calculateur!V63*Calculateur!X63*VLOOKUP('Données projet'!$B$9,Paramètres!$A$1:$I$89,3,0)*0.475*44/12</f>
        <v>12.846050248578182</v>
      </c>
      <c r="AB63" s="21">
        <f>EXP(-LN(2)/2)*AB62+(1-EXP(-LN(2)/2))/(LN(2)/2)*V63*Y63*VLOOKUP('Données projet'!$B$9,Paramètres!$A$1:$I$89,3,0)*0.475*44/12</f>
        <v>1.3948573260945798</v>
      </c>
      <c r="AC63" s="22">
        <f t="shared" si="3"/>
        <v>61.425080838894651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14.270329670329668</v>
      </c>
      <c r="AI63" s="13">
        <f>IF('Données projet'!$A$62&gt;35,AI62+AH63-AQ62,IF(A63&lt;'Données projet'!$A$62,$AF$205^A63,IF(A63='Données projet'!$A$62,'Données projet'!$B$62,AI62+AH63-AQ62)))</f>
        <v>332.36593406593403</v>
      </c>
      <c r="AJ63" s="13">
        <f>AI63*VLOOKUP('Données projet'!$B$10,Paramètres!$A$1:$I$89,3,0)*VLOOKUP('Données projet'!$B$10,Paramètres!$A$1:$I$89,5,0)</f>
        <v>155.54725714285712</v>
      </c>
      <c r="AK63" s="13">
        <f t="shared" si="35"/>
        <v>39.836543030962723</v>
      </c>
      <c r="AL63" s="20">
        <f t="shared" si="4"/>
        <v>340.29345196940289</v>
      </c>
      <c r="AM63" s="59">
        <f t="shared" si="5"/>
        <v>633.62678530273615</v>
      </c>
      <c r="AN63" s="59">
        <f ca="1">AVERAGE(OFFSET($AM$3,0,0,'Données projet'!$E$10+1,1))-AVERAGE(OFFSET($H$3,0,0,'Données projet'!$E$10+1,1))</f>
        <v>205.73717397588365</v>
      </c>
      <c r="AO63" s="59">
        <f t="shared" si="36"/>
        <v>190.64998698136026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34.230127099475723</v>
      </c>
      <c r="AV63" s="21">
        <f>EXP(-LN(2)/25)*AV62+(1-EXP(-LN(2)/25))/(LN(2)/25)*Calculateur!AQ63*Calculateur!AS63*VLOOKUP('Données projet'!$B$10,Paramètres!$A$1:$I$89,3,0)*0.475*44/12</f>
        <v>28.496353157654227</v>
      </c>
      <c r="AW63" s="21">
        <f>EXP(-LN(2)/2)*AW62+(1-EXP(-LN(2)/2))/(LN(2)/2)*AQ63*AT63*VLOOKUP('Données projet'!$B$10,Paramètres!$A$1:$I$89,3,0)*0.475*44/12</f>
        <v>1.5003747469415976</v>
      </c>
      <c r="AX63" s="21">
        <f t="shared" si="6"/>
        <v>64.226855004071552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-5.6843418860808015E-14</v>
      </c>
      <c r="BE63" s="13">
        <f>BD63*VLOOKUP('Données projet'!$B$11,Paramètres!$A$1:$I$89,3,0)*VLOOKUP('Données projet'!$B$11,Paramètres!$A$1:$I$89,5,0)</f>
        <v>-3.1036506698001178E-14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159.92263609041913</v>
      </c>
      <c r="BJ63" s="59">
        <f t="shared" si="38"/>
        <v>271.78119133009307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45.383597888760775</v>
      </c>
      <c r="BQ63" s="21">
        <f>EXP(-LN(2)/25)*BQ62+(1-EXP(-LN(2)/25))/(LN(2)/25)*Calculateur!BL63*Calculateur!BN63*VLOOKUP('Données projet'!$B$11,Paramètres!$A$1:$I$89,3,0)*0.475*44/12</f>
        <v>86.108782244458922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131.49238013321968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8.374198717948719</v>
      </c>
      <c r="BY63" s="12">
        <f>IF('Données projet'!$A$114&gt;35,BY62+BX63-CG62,IF(A63&lt;'Données projet'!$A$114,$BV$205^A63,IF(A63='Données projet'!$A$114,'Données projet'!$B$114,BY62+BX63-CG62)))</f>
        <v>195.16586538461547</v>
      </c>
      <c r="BZ63" s="13">
        <f>BY63*VLOOKUP('Données projet'!$B$12,Paramètres!$A$1:$I$89,3,0)*VLOOKUP('Données projet'!$B$12,Paramètres!$A$1:$I$89,5,0)</f>
        <v>176.58607500000008</v>
      </c>
      <c r="CA63" s="13">
        <f t="shared" si="39"/>
        <v>44.561806372041367</v>
      </c>
      <c r="CB63" s="20">
        <f t="shared" si="10"/>
        <v>385.16589338963877</v>
      </c>
      <c r="CC63" s="59">
        <f t="shared" si="11"/>
        <v>678.49922672297203</v>
      </c>
      <c r="CD63" s="59">
        <f ca="1">AVERAGE(OFFSET($CC$3,0,0,'Données projet'!$E$12+1,1))-AVERAGE(OFFSET($H$3,0,0,'Données projet'!$E$12+1,1))</f>
        <v>280.25710840677186</v>
      </c>
      <c r="CE63" s="59">
        <f t="shared" si="40"/>
        <v>209.65224013288037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225</v>
      </c>
      <c r="CR63" s="12">
        <f>VLOOKUP(A63,'Données projet'!$A$139:$I$159,9,0)</f>
        <v>6</v>
      </c>
      <c r="CS63" s="12">
        <f t="array" ref="CS63">INDEX(CR:CR,MIN(IF(ISNUMBER(CR63:CR259),ROW(CR63:CR259),"")))</f>
        <v>6</v>
      </c>
      <c r="CT63" s="12">
        <f>IF('Données projet'!$A$140&gt;35,CT62+CS63-DB62,IF(A63&lt;'Données projet'!$A$140,$CQ$205^A63,IF(A63='Données projet'!$A$140,'Données projet'!$B$140,CT62+CS63-DB62)))</f>
        <v>225.00000000000003</v>
      </c>
      <c r="CU63" s="17">
        <f>CT63*VLOOKUP('Données projet'!$B$13,Paramètres!$A$1:$I$89,3,0)*VLOOKUP('Données projet'!$B$13,Paramètres!$A$1:$I$89,5,0)</f>
        <v>235.17000000000004</v>
      </c>
      <c r="CV63" s="13">
        <f t="shared" si="41"/>
        <v>57.399106052685539</v>
      </c>
      <c r="CW63" s="20">
        <f t="shared" si="13"/>
        <v>509.55785970842743</v>
      </c>
      <c r="CX63" s="59">
        <f t="shared" si="14"/>
        <v>802.89119304176074</v>
      </c>
      <c r="CY63" s="59">
        <f ca="1">AVERAGE(OFFSET($CX$3,0,0,'Données projet'!$E$13+1,1))-AVERAGE(OFFSET($H$3,0,0,'Données projet'!$E$13+1,1))</f>
        <v>330.14201227773452</v>
      </c>
      <c r="CZ63" s="59">
        <f t="shared" si="42"/>
        <v>307.07297894926467</v>
      </c>
      <c r="DA63" s="15">
        <f>IF(ISNA(VLOOKUP(A63,'Données projet'!$A$139:$I$159,3,0)),0,VLOOKUP(A63,'Données projet'!$A$139:$I$159,3,0))</f>
        <v>9</v>
      </c>
      <c r="DB63" s="15" t="str">
        <f>IF(ISNA(VLOOKUP(A63,'Données projet'!$A$139:$I$159,4,0)),0,VLOOKUP(A63,'Données projet'!$A$139:$I$159,4,0))</f>
        <v>21</v>
      </c>
      <c r="DC63" s="16">
        <f>IF(ISNA(VLOOKUP(A63,'Données projet'!$A$139:$I$159,5,0)),0%,VLOOKUP(A63,'Données projet'!$A$139:$I$159,5,0)*VLOOKUP('Données projet'!$B$13,Paramètres!$A$1:$I$89,7,0))</f>
        <v>0.215</v>
      </c>
      <c r="DD63" s="16">
        <f>IF(ISNA(VLOOKUP(A63,'Données projet'!$A$139:$I$159,6,0)),0%,VLOOKUP(A63,'Données projet'!$A$139:$I$159,6,0)*VLOOKUP('Données projet'!$B$13,Paramètres!$A$1:$I$89,7,0))</f>
        <v>0.17200000000000001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17.108646483781079</v>
      </c>
      <c r="DG63" s="21">
        <f>EXP(-LN(2)/25)*DG62+(1-EXP(-LN(2)/25))/(LN(2)/25)*Calculateur!DB63*Calculateur!DD63*VLOOKUP('Données projet'!$B$13,Paramètres!$A$1:$I$89,3,0)*0.475*44/12</f>
        <v>22.294263196843147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39.402909680624226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12.05461538461538</v>
      </c>
      <c r="N64" s="13">
        <f>IF('Données projet'!$A$36&gt;35,N63+M64-V63,IF(A64&lt;'Données projet'!$A$36,$K$205^A64,IF(A64='Données projet'!$A$36,'Données projet'!$B$36,N63+M64-V63)))</f>
        <v>428.38076923076926</v>
      </c>
      <c r="O64" s="13">
        <f>N64*VLOOKUP('Données projet'!$B$9,Paramètres!$A$1:$I$89,3,0)*VLOOKUP('Données projet'!$B$9,Paramètres!$A$1:$I$89,5,0)</f>
        <v>256.17170000000004</v>
      </c>
      <c r="P64" s="13">
        <f t="shared" si="33"/>
        <v>61.90563593470165</v>
      </c>
      <c r="Q64" s="20">
        <f t="shared" si="53"/>
        <v>553.98469341960538</v>
      </c>
      <c r="R64" s="59">
        <f t="shared" si="0"/>
        <v>847.31802675293875</v>
      </c>
      <c r="S64" s="59">
        <f ca="1">AVERAGE(OFFSET($R$3,0,0,'Données projet'!$E$9+1,1))-AVERAGE(OFFSET($H$3,0,0,'Données projet'!$E$9+1,1))</f>
        <v>283.73369613548124</v>
      </c>
      <c r="T64" s="59">
        <f t="shared" si="34"/>
        <v>249.77804091581208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46.258920406014447</v>
      </c>
      <c r="AA64" s="21">
        <f>EXP(-LN(2)/25)*AA63+(1-EXP(-LN(2)/25))/(LN(2)/25)*Calculateur!V64*Calculateur!X64*VLOOKUP('Données projet'!$B$9,Paramètres!$A$1:$I$89,3,0)*0.475*44/12</f>
        <v>12.49477432898639</v>
      </c>
      <c r="AB64" s="21">
        <f>EXP(-LN(2)/2)*AB63+(1-EXP(-LN(2)/2))/(LN(2)/2)*V64*Y64*VLOOKUP('Données projet'!$B$9,Paramètres!$A$1:$I$89,3,0)*0.475*44/12</f>
        <v>0.98631307406921287</v>
      </c>
      <c r="AC64" s="22">
        <f t="shared" si="3"/>
        <v>59.74000780907005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14.270329670329668</v>
      </c>
      <c r="AI64" s="13">
        <f>IF('Données projet'!$A$62&gt;35,AI63+AH64-AQ63,IF(A64&lt;'Données projet'!$A$62,$AF$205^A64,IF(A64='Données projet'!$A$62,'Données projet'!$B$62,AI63+AH64-AQ63)))</f>
        <v>346.63626373626369</v>
      </c>
      <c r="AJ64" s="13">
        <f>AI64*VLOOKUP('Données projet'!$B$10,Paramètres!$A$1:$I$89,3,0)*VLOOKUP('Données projet'!$B$10,Paramètres!$A$1:$I$89,5,0)</f>
        <v>162.22577142857142</v>
      </c>
      <c r="AK64" s="13">
        <f t="shared" si="35"/>
        <v>41.344139999178246</v>
      </c>
      <c r="AL64" s="20">
        <f t="shared" si="4"/>
        <v>354.55092906999738</v>
      </c>
      <c r="AM64" s="59">
        <f t="shared" si="5"/>
        <v>647.88426240333069</v>
      </c>
      <c r="AN64" s="59">
        <f ca="1">AVERAGE(OFFSET($AM$3,0,0,'Données projet'!$E$10+1,1))-AVERAGE(OFFSET($H$3,0,0,'Données projet'!$E$10+1,1))</f>
        <v>205.73717397588365</v>
      </c>
      <c r="AO64" s="59">
        <f t="shared" si="36"/>
        <v>190.64998698136026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33.558895185370972</v>
      </c>
      <c r="AV64" s="21">
        <f>EXP(-LN(2)/25)*AV63+(1-EXP(-LN(2)/25))/(LN(2)/25)*Calculateur!AQ64*Calculateur!AS64*VLOOKUP('Données projet'!$B$10,Paramètres!$A$1:$I$89,3,0)*0.475*44/12</f>
        <v>27.71711888200009</v>
      </c>
      <c r="AW64" s="21">
        <f>EXP(-LN(2)/2)*AW63+(1-EXP(-LN(2)/2))/(LN(2)/2)*AQ64*AT64*VLOOKUP('Données projet'!$B$10,Paramètres!$A$1:$I$89,3,0)*0.475*44/12</f>
        <v>1.060925157883454</v>
      </c>
      <c r="AX64" s="21">
        <f t="shared" si="6"/>
        <v>62.336939225254518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-5.6843418860808015E-14</v>
      </c>
      <c r="BE64" s="13">
        <f>BD64*VLOOKUP('Données projet'!$B$11,Paramètres!$A$1:$I$89,3,0)*VLOOKUP('Données projet'!$B$11,Paramètres!$A$1:$I$89,5,0)</f>
        <v>-3.1036506698001178E-14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159.92263609041913</v>
      </c>
      <c r="BJ64" s="59">
        <f t="shared" si="38"/>
        <v>271.78119133009307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44.493653215423592</v>
      </c>
      <c r="BQ64" s="21">
        <f>EXP(-LN(2)/25)*BQ63+(1-EXP(-LN(2)/25))/(LN(2)/25)*Calculateur!BL64*Calculateur!BN64*VLOOKUP('Données projet'!$B$11,Paramètres!$A$1:$I$89,3,0)*0.475*44/12</f>
        <v>83.75413306572014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128.24778628114373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8.374198717948719</v>
      </c>
      <c r="BY64" s="12">
        <f>IF('Données projet'!$A$114&gt;35,BY63+BX64-CG63,IF(A64&lt;'Données projet'!$A$114,$BV$205^A64,IF(A64='Données projet'!$A$114,'Données projet'!$B$114,BY63+BX64-CG63)))</f>
        <v>203.5400641025642</v>
      </c>
      <c r="BZ64" s="13">
        <f>BY64*VLOOKUP('Données projet'!$B$12,Paramètres!$A$1:$I$89,3,0)*VLOOKUP('Données projet'!$B$12,Paramètres!$A$1:$I$89,5,0)</f>
        <v>184.16305000000008</v>
      </c>
      <c r="CA64" s="13">
        <f t="shared" si="39"/>
        <v>46.247151975893182</v>
      </c>
      <c r="CB64" s="20">
        <f t="shared" si="10"/>
        <v>401.29776844134739</v>
      </c>
      <c r="CC64" s="59">
        <f t="shared" si="11"/>
        <v>694.6311017746807</v>
      </c>
      <c r="CD64" s="59">
        <f ca="1">AVERAGE(OFFSET($CC$3,0,0,'Données projet'!$E$12+1,1))-AVERAGE(OFFSET($H$3,0,0,'Données projet'!$E$12+1,1))</f>
        <v>280.25710840677186</v>
      </c>
      <c r="CE64" s="59">
        <f t="shared" si="40"/>
        <v>209.65224013288037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5.6</v>
      </c>
      <c r="CT64" s="12">
        <f>IF('Données projet'!$A$140&gt;35,CT63+CS64-DB63,IF(A64&lt;'Données projet'!$A$140,$CQ$205^A64,IF(A64='Données projet'!$A$140,'Données projet'!$B$140,CT63+CS64-DB63)))</f>
        <v>209.60000000000002</v>
      </c>
      <c r="CU64" s="17">
        <f>CT64*VLOOKUP('Données projet'!$B$13,Paramètres!$A$1:$I$89,3,0)*VLOOKUP('Données projet'!$B$13,Paramètres!$A$1:$I$89,5,0)</f>
        <v>219.07392000000004</v>
      </c>
      <c r="CV64" s="13">
        <f t="shared" si="41"/>
        <v>53.913557419387772</v>
      </c>
      <c r="CW64" s="20">
        <f t="shared" si="13"/>
        <v>475.45318983876706</v>
      </c>
      <c r="CX64" s="59">
        <f t="shared" si="14"/>
        <v>768.78652317210037</v>
      </c>
      <c r="CY64" s="59">
        <f ca="1">AVERAGE(OFFSET($CX$3,0,0,'Données projet'!$E$13+1,1))-AVERAGE(OFFSET($H$3,0,0,'Données projet'!$E$13+1,1))</f>
        <v>330.14201227773452</v>
      </c>
      <c r="CZ64" s="59">
        <f t="shared" si="42"/>
        <v>307.07297894926467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16.773156361478094</v>
      </c>
      <c r="DG64" s="21">
        <f>EXP(-LN(2)/25)*DG63+(1-EXP(-LN(2)/25))/(LN(2)/25)*Calculateur!DB64*Calculateur!DD64*VLOOKUP('Données projet'!$B$13,Paramètres!$A$1:$I$89,3,0)*0.475*44/12</f>
        <v>21.684625397321124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38.457781758799214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12.05461538461538</v>
      </c>
      <c r="N65" s="13">
        <f>IF('Données projet'!$A$36&gt;35,N64+M65-V64,IF(A65&lt;'Données projet'!$A$36,$K$205^A65,IF(A65='Données projet'!$A$36,'Données projet'!$B$36,N64+M65-V64)))</f>
        <v>440.43538461538463</v>
      </c>
      <c r="O65" s="13">
        <f>N65*VLOOKUP('Données projet'!$B$9,Paramètres!$A$1:$I$89,3,0)*VLOOKUP('Données projet'!$B$9,Paramètres!$A$1:$I$89,5,0)</f>
        <v>263.38036</v>
      </c>
      <c r="P65" s="13">
        <f t="shared" si="33"/>
        <v>63.442391493835359</v>
      </c>
      <c r="Q65" s="20">
        <f t="shared" si="53"/>
        <v>569.21629218509656</v>
      </c>
      <c r="R65" s="59">
        <f t="shared" si="0"/>
        <v>862.54962551842982</v>
      </c>
      <c r="S65" s="59">
        <f ca="1">AVERAGE(OFFSET($R$3,0,0,'Données projet'!$E$9+1,1))-AVERAGE(OFFSET($H$3,0,0,'Données projet'!$E$9+1,1))</f>
        <v>283.73369613548124</v>
      </c>
      <c r="T65" s="59">
        <f t="shared" si="34"/>
        <v>249.77804091581208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45.351811192007936</v>
      </c>
      <c r="AA65" s="21">
        <f>EXP(-LN(2)/25)*AA64+(1-EXP(-LN(2)/25))/(LN(2)/25)*Calculateur!V65*Calculateur!X65*VLOOKUP('Données projet'!$B$9,Paramètres!$A$1:$I$89,3,0)*0.475*44/12</f>
        <v>12.153104067888632</v>
      </c>
      <c r="AB65" s="21">
        <f>EXP(-LN(2)/2)*AB64+(1-EXP(-LN(2)/2))/(LN(2)/2)*V65*Y65*VLOOKUP('Données projet'!$B$9,Paramètres!$A$1:$I$89,3,0)*0.475*44/12</f>
        <v>0.69742866304729001</v>
      </c>
      <c r="AC65" s="22">
        <f t="shared" si="3"/>
        <v>58.202343922943861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14.270329670329668</v>
      </c>
      <c r="AI65" s="13">
        <f>IF('Données projet'!$A$62&gt;35,AI64+AH65-AQ64,IF(A65&lt;'Données projet'!$A$62,$AF$205^A65,IF(A65='Données projet'!$A$62,'Données projet'!$B$62,AI64+AH65-AQ64)))</f>
        <v>360.90659340659334</v>
      </c>
      <c r="AJ65" s="13">
        <f>AI65*VLOOKUP('Données projet'!$B$10,Paramètres!$A$1:$I$89,3,0)*VLOOKUP('Données projet'!$B$10,Paramètres!$A$1:$I$89,5,0)</f>
        <v>168.90428571428566</v>
      </c>
      <c r="AK65" s="13">
        <f t="shared" si="35"/>
        <v>42.844527757373569</v>
      </c>
      <c r="AL65" s="20">
        <f t="shared" si="4"/>
        <v>368.79585012980647</v>
      </c>
      <c r="AM65" s="59">
        <f t="shared" si="5"/>
        <v>662.12918346313973</v>
      </c>
      <c r="AN65" s="59">
        <f ca="1">AVERAGE(OFFSET($AM$3,0,0,'Données projet'!$E$10+1,1))-AVERAGE(OFFSET($H$3,0,0,'Données projet'!$E$10+1,1))</f>
        <v>205.73717397588365</v>
      </c>
      <c r="AO65" s="59">
        <f t="shared" si="36"/>
        <v>190.64998698136026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32.900825719690772</v>
      </c>
      <c r="AV65" s="21">
        <f>EXP(-LN(2)/25)*AV64+(1-EXP(-LN(2)/25))/(LN(2)/25)*Calculateur!AQ65*Calculateur!AS65*VLOOKUP('Données projet'!$B$10,Paramètres!$A$1:$I$89,3,0)*0.475*44/12</f>
        <v>26.959192808591865</v>
      </c>
      <c r="AW65" s="21">
        <f>EXP(-LN(2)/2)*AW64+(1-EXP(-LN(2)/2))/(LN(2)/2)*AQ65*AT65*VLOOKUP('Données projet'!$B$10,Paramètres!$A$1:$I$89,3,0)*0.475*44/12</f>
        <v>0.75018737347079889</v>
      </c>
      <c r="AX65" s="21">
        <f t="shared" si="6"/>
        <v>60.610205901753439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-5.6843418860808015E-14</v>
      </c>
      <c r="BE65" s="13">
        <f>BD65*VLOOKUP('Données projet'!$B$11,Paramètres!$A$1:$I$89,3,0)*VLOOKUP('Données projet'!$B$11,Paramètres!$A$1:$I$89,5,0)</f>
        <v>-3.1036506698001178E-14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159.92263609041913</v>
      </c>
      <c r="BJ65" s="59">
        <f t="shared" si="38"/>
        <v>271.78119133009307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43.621159814317899</v>
      </c>
      <c r="BQ65" s="21">
        <f>EXP(-LN(2)/25)*BQ64+(1-EXP(-LN(2)/25))/(LN(2)/25)*Calculateur!BL65*Calculateur!BN65*VLOOKUP('Données projet'!$B$11,Paramètres!$A$1:$I$89,3,0)*0.475*44/12</f>
        <v>81.463871892599585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125.08503170691748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8.374198717948719</v>
      </c>
      <c r="BY65" s="12">
        <f>IF('Données projet'!$A$114&gt;35,BY64+BX65-CG64,IF(A65&lt;'Données projet'!$A$114,$BV$205^A65,IF(A65='Données projet'!$A$114,'Données projet'!$B$114,BY64+BX65-CG64)))</f>
        <v>211.91426282051293</v>
      </c>
      <c r="BZ65" s="13">
        <f>BY65*VLOOKUP('Données projet'!$B$12,Paramètres!$A$1:$I$89,3,0)*VLOOKUP('Données projet'!$B$12,Paramètres!$A$1:$I$89,5,0)</f>
        <v>191.74002500000009</v>
      </c>
      <c r="CA65" s="13">
        <f t="shared" si="39"/>
        <v>47.924443327659169</v>
      </c>
      <c r="CB65" s="20">
        <f t="shared" si="10"/>
        <v>417.41561567067316</v>
      </c>
      <c r="CC65" s="59">
        <f t="shared" si="11"/>
        <v>710.74894900400648</v>
      </c>
      <c r="CD65" s="59">
        <f ca="1">AVERAGE(OFFSET($CC$3,0,0,'Données projet'!$E$12+1,1))-AVERAGE(OFFSET($H$3,0,0,'Données projet'!$E$12+1,1))</f>
        <v>280.25710840677186</v>
      </c>
      <c r="CE65" s="59">
        <f t="shared" si="40"/>
        <v>209.65224013288037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5.6</v>
      </c>
      <c r="CT65" s="12">
        <f>IF('Données projet'!$A$140&gt;35,CT64+CS65-DB64,IF(A65&lt;'Données projet'!$A$140,$CQ$205^A65,IF(A65='Données projet'!$A$140,'Données projet'!$B$140,CT64+CS65-DB64)))</f>
        <v>215.20000000000002</v>
      </c>
      <c r="CU65" s="17">
        <f>CT65*VLOOKUP('Données projet'!$B$13,Paramètres!$A$1:$I$89,3,0)*VLOOKUP('Données projet'!$B$13,Paramètres!$A$1:$I$89,5,0)</f>
        <v>224.92704000000006</v>
      </c>
      <c r="CV65" s="13">
        <f t="shared" si="41"/>
        <v>55.184369220926527</v>
      </c>
      <c r="CW65" s="20">
        <f t="shared" si="13"/>
        <v>487.86070439311379</v>
      </c>
      <c r="CX65" s="59">
        <f t="shared" si="14"/>
        <v>781.19403772644705</v>
      </c>
      <c r="CY65" s="59">
        <f ca="1">AVERAGE(OFFSET($CX$3,0,0,'Données projet'!$E$13+1,1))-AVERAGE(OFFSET($H$3,0,0,'Données projet'!$E$13+1,1))</f>
        <v>330.14201227773452</v>
      </c>
      <c r="CZ65" s="59">
        <f t="shared" si="42"/>
        <v>307.07297894926467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16.444244995844699</v>
      </c>
      <c r="DG65" s="21">
        <f>EXP(-LN(2)/25)*DG64+(1-EXP(-LN(2)/25))/(LN(2)/25)*Calculateur!DB65*Calculateur!DD65*VLOOKUP('Données projet'!$B$13,Paramètres!$A$1:$I$89,3,0)*0.475*44/12</f>
        <v>21.09165817548649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37.535903171331185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12.05461538461538</v>
      </c>
      <c r="N66" s="13">
        <f>IF('Données projet'!$A$36&gt;35,N65+M66-V65,IF(A66&lt;'Données projet'!$A$36,$K$205^A66,IF(A66='Données projet'!$A$36,'Données projet'!$B$36,N65+M66-V65)))</f>
        <v>452.49</v>
      </c>
      <c r="O66" s="13">
        <f>N66*VLOOKUP('Données projet'!$B$9,Paramètres!$A$1:$I$89,3,0)*VLOOKUP('Données projet'!$B$9,Paramètres!$A$1:$I$89,5,0)</f>
        <v>270.58902000000006</v>
      </c>
      <c r="P66" s="13">
        <f t="shared" si="33"/>
        <v>64.974258339135972</v>
      </c>
      <c r="Q66" s="20">
        <f t="shared" si="53"/>
        <v>584.43937644066193</v>
      </c>
      <c r="R66" s="59">
        <f t="shared" si="0"/>
        <v>877.7727097739953</v>
      </c>
      <c r="S66" s="59">
        <f ca="1">AVERAGE(OFFSET($R$3,0,0,'Données projet'!$E$9+1,1))-AVERAGE(OFFSET($H$3,0,0,'Données projet'!$E$9+1,1))</f>
        <v>283.73369613548124</v>
      </c>
      <c r="T66" s="59">
        <f t="shared" si="34"/>
        <v>249.77804091581208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44.462489836406107</v>
      </c>
      <c r="AA66" s="21">
        <f>EXP(-LN(2)/25)*AA65+(1-EXP(-LN(2)/25))/(LN(2)/25)*Calculateur!V66*Calculateur!X66*VLOOKUP('Données projet'!$B$9,Paramètres!$A$1:$I$89,3,0)*0.475*44/12</f>
        <v>11.820776798048252</v>
      </c>
      <c r="AB66" s="21">
        <f>EXP(-LN(2)/2)*AB65+(1-EXP(-LN(2)/2))/(LN(2)/2)*V66*Y66*VLOOKUP('Données projet'!$B$9,Paramètres!$A$1:$I$89,3,0)*0.475*44/12</f>
        <v>0.49315653703460649</v>
      </c>
      <c r="AC66" s="22">
        <f t="shared" si="3"/>
        <v>56.776423171488965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375.17692307692306</v>
      </c>
      <c r="AG66" s="12">
        <f>VLOOKUP(A66,'Données projet'!$A$61:$I$81,9,0)</f>
        <v>14.270329670329668</v>
      </c>
      <c r="AH66" s="12">
        <f t="array" ref="AH66">INDEX(AG:AG,MIN(IF(ISNUMBER(AG66:AG262),ROW(AG66:AG262),"")))</f>
        <v>14.270329670329668</v>
      </c>
      <c r="AI66" s="13">
        <f>IF('Données projet'!$A$62&gt;35,AI65+AH66-AQ65,IF(A66&lt;'Données projet'!$A$62,$AF$205^A66,IF(A66='Données projet'!$A$62,'Données projet'!$B$62,AI65+AH66-AQ65)))</f>
        <v>375.176923076923</v>
      </c>
      <c r="AJ66" s="13">
        <f>AI66*VLOOKUP('Données projet'!$B$10,Paramètres!$A$1:$I$89,3,0)*VLOOKUP('Données projet'!$B$10,Paramètres!$A$1:$I$89,5,0)</f>
        <v>175.58279999999996</v>
      </c>
      <c r="AK66" s="13">
        <f t="shared" si="35"/>
        <v>44.338023977070598</v>
      </c>
      <c r="AL66" s="20">
        <f t="shared" si="4"/>
        <v>383.02876842673123</v>
      </c>
      <c r="AM66" s="59">
        <f t="shared" si="5"/>
        <v>676.36210176006455</v>
      </c>
      <c r="AN66" s="59">
        <f ca="1">AVERAGE(OFFSET($AM$3,0,0,'Données projet'!$E$10+1,1))-AVERAGE(OFFSET($H$3,0,0,'Données projet'!$E$10+1,1))</f>
        <v>205.73717397588365</v>
      </c>
      <c r="AO66" s="59">
        <f t="shared" si="36"/>
        <v>190.64998698136026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71.123076923076923</v>
      </c>
      <c r="AR66" s="16">
        <f>IF(ISNA(VLOOKUP(A66,'Données projet'!$A$61:$I$81,5,0)),0%,VLOOKUP(A66,'Données projet'!$A$61:$I$81,5,0)*VLOOKUP('Données projet'!$B$10,Paramètres!$A$1:$I$89,7,0))</f>
        <v>0.38500000000000001</v>
      </c>
      <c r="AS66" s="16">
        <f>IF(ISNA(VLOOKUP(A66,'Données projet'!$A$61:$I$81,6,0)),0%,VLOOKUP(A66,'Données projet'!$A$61:$I$81,6,0)*VLOOKUP('Données projet'!$B$10,Paramètres!$A$1:$I$89,7,0))</f>
        <v>9.240000000000001E-2</v>
      </c>
      <c r="AT66" s="16">
        <f>IF(ISNA(VLOOKUP(A66,'Données projet'!$A$61:$I$81,7,0)),0%,VLOOKUP(A66,'Données projet'!$A$61:$I$81,7,0))</f>
        <v>0.13200000000000001</v>
      </c>
      <c r="AU66" s="21">
        <f>EXP(-LN(2)/35)*AU65+(1-EXP(-LN(2)/35))/(LN(2)/35)*AQ66*AR66*VLOOKUP('Données projet'!$B$10,Paramètres!$A$1:$I$89,3,0)*0.475*44/12</f>
        <v>49.255525722471489</v>
      </c>
      <c r="AV66" s="21">
        <f>EXP(-LN(2)/25)*AV65+(1-EXP(-LN(2)/25))/(LN(2)/25)*Calculateur!AQ66*Calculateur!AS66*VLOOKUP('Données projet'!$B$10,Paramètres!$A$1:$I$89,3,0)*0.475*44/12</f>
        <v>30.285895506996454</v>
      </c>
      <c r="AW66" s="21">
        <f>EXP(-LN(2)/2)*AW65+(1-EXP(-LN(2)/2))/(LN(2)/2)*AQ66*AT66*VLOOKUP('Données projet'!$B$10,Paramètres!$A$1:$I$89,3,0)*0.475*44/12</f>
        <v>5.5051507187979212</v>
      </c>
      <c r="AX66" s="21">
        <f t="shared" si="6"/>
        <v>85.046571948265864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-5.6843418860808015E-14</v>
      </c>
      <c r="BE66" s="13">
        <f>BD66*VLOOKUP('Données projet'!$B$11,Paramètres!$A$1:$I$89,3,0)*VLOOKUP('Données projet'!$B$11,Paramètres!$A$1:$I$89,5,0)</f>
        <v>-3.1036506698001178E-14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159.92263609041913</v>
      </c>
      <c r="BJ66" s="59">
        <f t="shared" si="38"/>
        <v>271.78119133009307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42.765775476639462</v>
      </c>
      <c r="BQ66" s="21">
        <f>EXP(-LN(2)/25)*BQ65+(1-EXP(-LN(2)/25))/(LN(2)/25)*Calculateur!BL66*Calculateur!BN66*VLOOKUP('Données projet'!$B$11,Paramètres!$A$1:$I$89,3,0)*0.475*44/12</f>
        <v>79.23623803169761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122.00201350833707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220.28846153846152</v>
      </c>
      <c r="BW66" s="12">
        <f>VLOOKUP(A66,'Données projet'!$A$113:$I$133,9,0)</f>
        <v>8.374198717948719</v>
      </c>
      <c r="BX66" s="12">
        <f t="array" ref="BX66">INDEX(BW:BW,MIN(IF(ISNUMBER(BW66:BW262),ROW(BW66:BW262),"")))</f>
        <v>8.374198717948719</v>
      </c>
      <c r="BY66" s="12">
        <f>IF('Données projet'!$A$114&gt;35,BY65+BX66-CG65,IF(A66&lt;'Données projet'!$A$114,$BV$205^A66,IF(A66='Données projet'!$A$114,'Données projet'!$B$114,BY65+BX66-CG65)))</f>
        <v>220.28846153846166</v>
      </c>
      <c r="BZ66" s="13">
        <f>BY66*VLOOKUP('Données projet'!$B$12,Paramètres!$A$1:$I$89,3,0)*VLOOKUP('Données projet'!$B$12,Paramètres!$A$1:$I$89,5,0)</f>
        <v>199.31700000000009</v>
      </c>
      <c r="CA66" s="13">
        <f t="shared" si="39"/>
        <v>49.594035126387503</v>
      </c>
      <c r="CB66" s="20">
        <f t="shared" si="10"/>
        <v>433.52005284512506</v>
      </c>
      <c r="CC66" s="59">
        <f t="shared" si="11"/>
        <v>726.85338617845832</v>
      </c>
      <c r="CD66" s="59">
        <f ca="1">AVERAGE(OFFSET($CC$3,0,0,'Données projet'!$E$12+1,1))-AVERAGE(OFFSET($H$3,0,0,'Données projet'!$E$12+1,1))</f>
        <v>280.25710840677186</v>
      </c>
      <c r="CE66" s="59">
        <f t="shared" si="40"/>
        <v>209.65224013288037</v>
      </c>
      <c r="CF66" s="15">
        <f>IF(ISNA(VLOOKUP(A66,'Données projet'!$A$113:$I$133,3,0)),0,VLOOKUP(A66,'Données projet'!$A$113:$I$133,3,0))</f>
        <v>5</v>
      </c>
      <c r="CG66" s="15">
        <f>IF(ISNA(VLOOKUP(A66,'Données projet'!$A$113:$I$133,4,0)),0,VLOOKUP(A66,'Données projet'!$A$113:$I$133,4,0))</f>
        <v>41.724358974358978</v>
      </c>
      <c r="CH66" s="16">
        <f>IF(ISNA(VLOOKUP(A66,'Données projet'!$A$113:$I$133,5,0)),0%,VLOOKUP(A66,'Données projet'!$A$113:$I$133,5,0)*VLOOKUP('Données projet'!$B$12,Paramètres!$A$1:$I$89,7,0))</f>
        <v>0.30099999999999999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12.561915597523354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12.561915597523354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5.6</v>
      </c>
      <c r="CT66" s="12">
        <f>IF('Données projet'!$A$140&gt;35,CT65+CS66-DB65,IF(A66&lt;'Données projet'!$A$140,$CQ$205^A66,IF(A66='Données projet'!$A$140,'Données projet'!$B$140,CT65+CS66-DB65)))</f>
        <v>220.8</v>
      </c>
      <c r="CU66" s="17">
        <f>CT66*VLOOKUP('Données projet'!$B$13,Paramètres!$A$1:$I$89,3,0)*VLOOKUP('Données projet'!$B$13,Paramètres!$A$1:$I$89,5,0)</f>
        <v>230.78016000000002</v>
      </c>
      <c r="CV66" s="13">
        <f t="shared" si="41"/>
        <v>56.451337103640888</v>
      </c>
      <c r="CW66" s="20">
        <f t="shared" si="13"/>
        <v>500.26152412217448</v>
      </c>
      <c r="CX66" s="59">
        <f t="shared" si="14"/>
        <v>793.59485745550774</v>
      </c>
      <c r="CY66" s="59">
        <f ca="1">AVERAGE(OFFSET($CX$3,0,0,'Données projet'!$E$13+1,1))-AVERAGE(OFFSET($H$3,0,0,'Données projet'!$E$13+1,1))</f>
        <v>330.14201227773452</v>
      </c>
      <c r="CZ66" s="59">
        <f t="shared" si="42"/>
        <v>307.07297894926467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16.12178338147525</v>
      </c>
      <c r="DG66" s="21">
        <f>EXP(-LN(2)/25)*DG65+(1-EXP(-LN(2)/25))/(LN(2)/25)*Calculateur!DB66*Calculateur!DD66*VLOOKUP('Données projet'!$B$13,Paramètres!$A$1:$I$89,3,0)*0.475*44/12</f>
        <v>20.514905673515713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36.636689054990967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12.05461538461538</v>
      </c>
      <c r="N67" s="13">
        <f>IF('Données projet'!$A$36&gt;35,N66+M67-V66,IF(A67&lt;'Données projet'!$A$36,$K$205^A67,IF(A67='Données projet'!$A$36,'Données projet'!$B$36,N66+M67-V66)))</f>
        <v>464.54461538461538</v>
      </c>
      <c r="O67" s="13">
        <f>N67*VLOOKUP('Données projet'!$B$9,Paramètres!$A$1:$I$89,3,0)*VLOOKUP('Données projet'!$B$9,Paramètres!$A$1:$I$89,5,0)</f>
        <v>277.79768000000001</v>
      </c>
      <c r="P67" s="13">
        <f t="shared" si="33"/>
        <v>66.501381678302167</v>
      </c>
      <c r="Q67" s="20">
        <f t="shared" ref="Q67:Q98" si="54">(O67+P67)*0.475*44/12</f>
        <v>599.65419908970955</v>
      </c>
      <c r="R67" s="59">
        <f t="shared" ref="R67:R130" si="55">Q67+(I67+J67)*44/12</f>
        <v>892.98753242304292</v>
      </c>
      <c r="S67" s="59">
        <f ca="1">AVERAGE(OFFSET($R$3,0,0,'Données projet'!$E$9+1,1))-AVERAGE(OFFSET($H$3,0,0,'Données projet'!$E$9+1,1))</f>
        <v>283.73369613548124</v>
      </c>
      <c r="T67" s="59">
        <f t="shared" si="34"/>
        <v>249.77804091581208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43.590607530155161</v>
      </c>
      <c r="AA67" s="21">
        <f>EXP(-LN(2)/25)*AA66+(1-EXP(-LN(2)/25))/(LN(2)/25)*Calculateur!V67*Calculateur!X67*VLOOKUP('Données projet'!$B$9,Paramètres!$A$1:$I$89,3,0)*0.475*44/12</f>
        <v>11.497537034877988</v>
      </c>
      <c r="AB67" s="21">
        <f>EXP(-LN(2)/2)*AB66+(1-EXP(-LN(2)/2))/(LN(2)/2)*V67*Y67*VLOOKUP('Données projet'!$B$9,Paramètres!$A$1:$I$89,3,0)*0.475*44/12</f>
        <v>0.34871433152364506</v>
      </c>
      <c r="AC67" s="22">
        <f t="shared" si="3"/>
        <v>55.436858896556792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13.737499999999997</v>
      </c>
      <c r="AI67" s="13">
        <f>IF('Données projet'!$A$62&gt;35,AI66+AH67-AQ66,IF(A67&lt;'Données projet'!$A$62,$AF$205^A67,IF(A67='Données projet'!$A$62,'Données projet'!$B$62,AI66+AH67-AQ66)))</f>
        <v>317.79134615384612</v>
      </c>
      <c r="AJ67" s="13">
        <f>AI67*VLOOKUP('Données projet'!$B$10,Paramètres!$A$1:$I$89,3,0)*VLOOKUP('Données projet'!$B$10,Paramètres!$A$1:$I$89,5,0)</f>
        <v>148.72635</v>
      </c>
      <c r="AK67" s="13">
        <f t="shared" si="35"/>
        <v>38.289000598915827</v>
      </c>
      <c r="AL67" s="20">
        <f t="shared" si="4"/>
        <v>325.71840229311169</v>
      </c>
      <c r="AM67" s="59">
        <f t="shared" si="5"/>
        <v>619.05173562644495</v>
      </c>
      <c r="AN67" s="59">
        <f ca="1">AVERAGE(OFFSET($AM$3,0,0,'Données projet'!$E$10+1,1))-AVERAGE(OFFSET($H$3,0,0,'Données projet'!$E$10+1,1))</f>
        <v>205.73717397588365</v>
      </c>
      <c r="AO67" s="59">
        <f t="shared" si="36"/>
        <v>190.64998698136026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48.289654905958024</v>
      </c>
      <c r="AV67" s="21">
        <f>EXP(-LN(2)/25)*AV66+(1-EXP(-LN(2)/25))/(LN(2)/25)*Calculateur!AQ67*Calculateur!AS67*VLOOKUP('Données projet'!$B$10,Paramètres!$A$1:$I$89,3,0)*0.475*44/12</f>
        <v>29.457726101691609</v>
      </c>
      <c r="AW67" s="21">
        <f>EXP(-LN(2)/2)*AW66+(1-EXP(-LN(2)/2))/(LN(2)/2)*AQ67*AT67*VLOOKUP('Données projet'!$B$10,Paramètres!$A$1:$I$89,3,0)*0.475*44/12</f>
        <v>3.8927294047160066</v>
      </c>
      <c r="AX67" s="21">
        <f t="shared" si="6"/>
        <v>81.640110412365644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-5.6843418860808015E-14</v>
      </c>
      <c r="BE67" s="13">
        <f>BD67*VLOOKUP('Données projet'!$B$11,Paramètres!$A$1:$I$89,3,0)*VLOOKUP('Données projet'!$B$11,Paramètres!$A$1:$I$89,5,0)</f>
        <v>-3.1036506698001178E-14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159.92263609041913</v>
      </c>
      <c r="BJ67" s="59">
        <f t="shared" si="38"/>
        <v>271.78119133009307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41.927164704089968</v>
      </c>
      <c r="BQ67" s="21">
        <f>EXP(-LN(2)/25)*BQ66+(1-EXP(-LN(2)/25))/(LN(2)/25)*Calculateur!BL67*Calculateur!BN67*VLOOKUP('Données projet'!$B$11,Paramètres!$A$1:$I$89,3,0)*0.475*44/12</f>
        <v>77.069518935868174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118.99668363995815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8.1001602564102626</v>
      </c>
      <c r="BY67" s="12">
        <f>IF('Données projet'!$A$114&gt;35,BY66+BX67-CG66,IF(A67&lt;'Données projet'!$A$114,$BV$205^A67,IF(A67='Données projet'!$A$114,'Données projet'!$B$114,BY66+BX67-CG66)))</f>
        <v>186.66426282051296</v>
      </c>
      <c r="BZ67" s="13">
        <f>BY67*VLOOKUP('Données projet'!$B$12,Paramètres!$A$1:$I$89,3,0)*VLOOKUP('Données projet'!$B$12,Paramètres!$A$1:$I$89,5,0)</f>
        <v>168.89382500000013</v>
      </c>
      <c r="CA67" s="13">
        <f t="shared" si="39"/>
        <v>42.842183132845896</v>
      </c>
      <c r="CB67" s="20">
        <f t="shared" si="10"/>
        <v>368.77354749804016</v>
      </c>
      <c r="CC67" s="59">
        <f t="shared" si="11"/>
        <v>662.10688083137347</v>
      </c>
      <c r="CD67" s="59">
        <f ca="1">AVERAGE(OFFSET($CC$3,0,0,'Données projet'!$E$12+1,1))-AVERAGE(OFFSET($H$3,0,0,'Données projet'!$E$12+1,1))</f>
        <v>280.25710840677186</v>
      </c>
      <c r="CE67" s="59">
        <f t="shared" si="40"/>
        <v>209.65224013288037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12.315584094667875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12.315584094667875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5.6</v>
      </c>
      <c r="CT67" s="12">
        <f>IF('Données projet'!$A$140&gt;35,CT66+CS67-DB66,IF(A67&lt;'Données projet'!$A$140,$CQ$205^A67,IF(A67='Données projet'!$A$140,'Données projet'!$B$140,CT66+CS67-DB66)))</f>
        <v>226.4</v>
      </c>
      <c r="CU67" s="17">
        <f>CT67*VLOOKUP('Données projet'!$B$13,Paramètres!$A$1:$I$89,3,0)*VLOOKUP('Données projet'!$B$13,Paramètres!$A$1:$I$89,5,0)</f>
        <v>236.63328000000004</v>
      </c>
      <c r="CV67" s="13">
        <f t="shared" si="41"/>
        <v>57.71456976922498</v>
      </c>
      <c r="CW67" s="20">
        <f t="shared" si="13"/>
        <v>512.65583834806694</v>
      </c>
      <c r="CX67" s="59">
        <f t="shared" si="14"/>
        <v>805.98917168140019</v>
      </c>
      <c r="CY67" s="59">
        <f ca="1">AVERAGE(OFFSET($CX$3,0,0,'Données projet'!$E$13+1,1))-AVERAGE(OFFSET($H$3,0,0,'Données projet'!$E$13+1,1))</f>
        <v>330.14201227773452</v>
      </c>
      <c r="CZ67" s="59">
        <f t="shared" si="42"/>
        <v>307.07297894926467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15.805645042681425</v>
      </c>
      <c r="DG67" s="21">
        <f>EXP(-LN(2)/25)*DG66+(1-EXP(-LN(2)/25))/(LN(2)/25)*Calculateur!DB67*Calculateur!DD67*VLOOKUP('Données projet'!$B$13,Paramètres!$A$1:$I$89,3,0)*0.475*44/12</f>
        <v>19.953924499041424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35.759569541722847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12.05461538461538</v>
      </c>
      <c r="N68" s="13">
        <f>IF('Données projet'!$A$36&gt;35,N67+M68-V67,IF(A68&lt;'Données projet'!$A$36,$K$205^A68,IF(A68='Données projet'!$A$36,'Données projet'!$B$36,N67+M68-V67)))</f>
        <v>476.59923076923076</v>
      </c>
      <c r="O68" s="13">
        <f>N68*VLOOKUP('Données projet'!$B$9,Paramètres!$A$1:$I$89,3,0)*VLOOKUP('Données projet'!$B$9,Paramètres!$A$1:$I$89,5,0)</f>
        <v>285.00634000000002</v>
      </c>
      <c r="P68" s="13">
        <f t="shared" si="33"/>
        <v>68.023898753685756</v>
      </c>
      <c r="Q68" s="20">
        <f t="shared" si="54"/>
        <v>614.86099916266949</v>
      </c>
      <c r="R68" s="59">
        <f t="shared" si="55"/>
        <v>908.19433249600274</v>
      </c>
      <c r="S68" s="59">
        <f ca="1">AVERAGE(OFFSET($R$3,0,0,'Données projet'!$E$9+1,1))-AVERAGE(OFFSET($H$3,0,0,'Données projet'!$E$9+1,1))</f>
        <v>283.73369613548124</v>
      </c>
      <c r="T68" s="59">
        <f t="shared" si="34"/>
        <v>249.77804091581208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42.735822304134096</v>
      </c>
      <c r="AA68" s="21">
        <f>EXP(-LN(2)/25)*AA67+(1-EXP(-LN(2)/25))/(LN(2)/25)*Calculateur!V68*Calculateur!X68*VLOOKUP('Données projet'!$B$9,Paramètres!$A$1:$I$89,3,0)*0.475*44/12</f>
        <v>11.183136280030055</v>
      </c>
      <c r="AB68" s="21">
        <f>EXP(-LN(2)/2)*AB67+(1-EXP(-LN(2)/2))/(LN(2)/2)*V68*Y68*VLOOKUP('Données projet'!$B$9,Paramètres!$A$1:$I$89,3,0)*0.475*44/12</f>
        <v>0.2465782685173033</v>
      </c>
      <c r="AC68" s="22">
        <f t="shared" ref="AC68:AC131" si="57">SUM(Z68:AB68)</f>
        <v>54.165536852681456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13.737499999999997</v>
      </c>
      <c r="AI68" s="13">
        <f>IF('Données projet'!$A$62&gt;35,AI67+AH68-AQ67,IF(A68&lt;'Données projet'!$A$62,$AF$205^A68,IF(A68='Données projet'!$A$62,'Données projet'!$B$62,AI67+AH68-AQ67)))</f>
        <v>331.52884615384613</v>
      </c>
      <c r="AJ68" s="13">
        <f>AI68*VLOOKUP('Données projet'!$B$10,Paramètres!$A$1:$I$89,3,0)*VLOOKUP('Données projet'!$B$10,Paramètres!$A$1:$I$89,5,0)</f>
        <v>155.15549999999999</v>
      </c>
      <c r="AK68" s="13">
        <f t="shared" si="35"/>
        <v>39.74787733410745</v>
      </c>
      <c r="AL68" s="20">
        <f t="shared" ref="AL68:AL131" si="58">(AJ68+AK68)*0.475*44/12</f>
        <v>339.45671552357044</v>
      </c>
      <c r="AM68" s="59">
        <f t="shared" ref="AM68:AM131" si="59">AL68+(AD68+AE68)*44/12</f>
        <v>632.7900488569037</v>
      </c>
      <c r="AN68" s="59">
        <f ca="1">AVERAGE(OFFSET($AM$3,0,0,'Données projet'!$E$10+1,1))-AVERAGE(OFFSET($H$3,0,0,'Données projet'!$E$10+1,1))</f>
        <v>205.73717397588365</v>
      </c>
      <c r="AO68" s="59">
        <f t="shared" si="36"/>
        <v>190.64998698136026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47.342724227033358</v>
      </c>
      <c r="AV68" s="21">
        <f>EXP(-LN(2)/25)*AV67+(1-EXP(-LN(2)/25))/(LN(2)/25)*Calculateur!AQ68*Calculateur!AS68*VLOOKUP('Données projet'!$B$10,Paramètres!$A$1:$I$89,3,0)*0.475*44/12</f>
        <v>28.652203032326362</v>
      </c>
      <c r="AW68" s="21">
        <f>EXP(-LN(2)/2)*AW67+(1-EXP(-LN(2)/2))/(LN(2)/2)*AQ68*AT68*VLOOKUP('Données projet'!$B$10,Paramètres!$A$1:$I$89,3,0)*0.475*44/12</f>
        <v>2.752575359398961</v>
      </c>
      <c r="AX68" s="21">
        <f t="shared" ref="AX68:AX131" si="60">SUM(AU68:AW68)</f>
        <v>78.747502618758674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-5.6843418860808015E-14</v>
      </c>
      <c r="BE68" s="13">
        <f>BD68*VLOOKUP('Données projet'!$B$11,Paramètres!$A$1:$I$89,3,0)*VLOOKUP('Données projet'!$B$11,Paramètres!$A$1:$I$89,5,0)</f>
        <v>-3.1036506698001178E-14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159.92263609041913</v>
      </c>
      <c r="BJ68" s="59">
        <f t="shared" si="38"/>
        <v>271.78119133009307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41.104998577288107</v>
      </c>
      <c r="BQ68" s="21">
        <f>EXP(-LN(2)/25)*BQ67+(1-EXP(-LN(2)/25))/(LN(2)/25)*Calculateur!BL68*Calculateur!BN68*VLOOKUP('Données projet'!$B$11,Paramètres!$A$1:$I$89,3,0)*0.475*44/12</f>
        <v>74.962048887657005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116.06704746494512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8.1001602564102626</v>
      </c>
      <c r="BY68" s="12">
        <f>IF('Données projet'!$A$114&gt;35,BY67+BX68-CG67,IF(A68&lt;'Données projet'!$A$114,$BV$205^A68,IF(A68='Données projet'!$A$114,'Données projet'!$B$114,BY67+BX68-CG67)))</f>
        <v>194.76442307692321</v>
      </c>
      <c r="BZ68" s="13">
        <f>BY68*VLOOKUP('Données projet'!$B$12,Paramètres!$A$1:$I$89,3,0)*VLOOKUP('Données projet'!$B$12,Paramètres!$A$1:$I$89,5,0)</f>
        <v>176.22285000000011</v>
      </c>
      <c r="CA68" s="13">
        <f t="shared" si="39"/>
        <v>44.480805480154558</v>
      </c>
      <c r="CB68" s="20">
        <f t="shared" ref="CB68:CB131" si="64">(BZ68+CA68)*0.475*44/12</f>
        <v>384.3921999612694</v>
      </c>
      <c r="CC68" s="59">
        <f t="shared" ref="CC68:CC131" si="65">CB68+(BT68+BU68)*44/12</f>
        <v>677.72553329460266</v>
      </c>
      <c r="CD68" s="59">
        <f ca="1">AVERAGE(OFFSET($CC$3,0,0,'Données projet'!$E$12+1,1))-AVERAGE(OFFSET($H$3,0,0,'Données projet'!$E$12+1,1))</f>
        <v>280.25710840677186</v>
      </c>
      <c r="CE68" s="59">
        <f t="shared" si="40"/>
        <v>209.65224013288037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12.07408300233601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12.07408300233601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232</v>
      </c>
      <c r="CR68" s="12">
        <f>VLOOKUP(A68,'Données projet'!$A$139:$I$159,9,0)</f>
        <v>5.6</v>
      </c>
      <c r="CS68" s="12">
        <f t="array" ref="CS68">INDEX(CR:CR,MIN(IF(ISNUMBER(CR68:CR264),ROW(CR68:CR264),"")))</f>
        <v>5.6</v>
      </c>
      <c r="CT68" s="12">
        <f>IF('Données projet'!$A$140&gt;35,CT67+CS68-DB67,IF(A68&lt;'Données projet'!$A$140,$CQ$205^A68,IF(A68='Données projet'!$A$140,'Données projet'!$B$140,CT67+CS68-DB67)))</f>
        <v>232</v>
      </c>
      <c r="CU68" s="17">
        <f>CT68*VLOOKUP('Données projet'!$B$13,Paramètres!$A$1:$I$89,3,0)*VLOOKUP('Données projet'!$B$13,Paramètres!$A$1:$I$89,5,0)</f>
        <v>242.4864</v>
      </c>
      <c r="CV68" s="13">
        <f t="shared" si="41"/>
        <v>58.974170235372419</v>
      </c>
      <c r="CW68" s="20">
        <f t="shared" ref="CW68:CW131" si="67">(CU68+CV68)*0.475*44/12</f>
        <v>525.04382649327351</v>
      </c>
      <c r="CX68" s="59">
        <f t="shared" ref="CX68:CX131" si="68">CW68+(CO68+CP68)*44/12</f>
        <v>818.37715982660688</v>
      </c>
      <c r="CY68" s="59">
        <f ca="1">AVERAGE(OFFSET($CX$3,0,0,'Données projet'!$E$13+1,1))-AVERAGE(OFFSET($H$3,0,0,'Données projet'!$E$13+1,1))</f>
        <v>330.14201227773452</v>
      </c>
      <c r="CZ68" s="59">
        <f t="shared" si="42"/>
        <v>307.07297894926467</v>
      </c>
      <c r="DA68" s="15">
        <f>IF(ISNA(VLOOKUP(A68,'Données projet'!$A$139:$I$159,3,0)),0,VLOOKUP(A68,'Données projet'!$A$139:$I$159,3,0))</f>
        <v>10</v>
      </c>
      <c r="DB68" s="15" t="str">
        <f>IF(ISNA(VLOOKUP(A68,'Données projet'!$A$139:$I$159,4,0)),0,VLOOKUP(A68,'Données projet'!$A$139:$I$159,4,0))</f>
        <v>20</v>
      </c>
      <c r="DC68" s="16">
        <f>IF(ISNA(VLOOKUP(A68,'Données projet'!$A$139:$I$159,5,0)),0%,VLOOKUP(A68,'Données projet'!$A$139:$I$159,5,0)*VLOOKUP('Données projet'!$B$13,Paramètres!$A$1:$I$89,7,0))</f>
        <v>0.215</v>
      </c>
      <c r="DD68" s="16">
        <f>IF(ISNA(VLOOKUP(A68,'Données projet'!$A$139:$I$159,6,0)),0%,VLOOKUP(A68,'Données projet'!$A$139:$I$159,6,0)*VLOOKUP('Données projet'!$B$13,Paramètres!$A$1:$I$89,7,0))</f>
        <v>0.17200000000000001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20.46408783884371</v>
      </c>
      <c r="DG68" s="21">
        <f>EXP(-LN(2)/25)*DG67+(1-EXP(-LN(2)/25))/(LN(2)/25)*Calculateur!DB68*Calculateur!DD68*VLOOKUP('Données projet'!$B$13,Paramètres!$A$1:$I$89,3,0)*0.475*44/12</f>
        <v>23.367338938278124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43.831426777121834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488.65384615384613</v>
      </c>
      <c r="L69" s="12">
        <f>VLOOKUP(A69,'Données projet'!$A$35:$I$55,9,0)</f>
        <v>12.05461538461538</v>
      </c>
      <c r="M69" s="12">
        <f t="array" ref="M69">INDEX(L:L,MIN(IF(ISNUMBER(L69:L265),ROW(L69:L265),"")))</f>
        <v>12.05461538461538</v>
      </c>
      <c r="N69" s="13">
        <f>IF('Données projet'!$A$36&gt;35,N68+M69-V68,IF(A69&lt;'Données projet'!$A$36,$K$205^A69,IF(A69='Données projet'!$A$36,'Données projet'!$B$36,N68+M69-V68)))</f>
        <v>488.65384615384613</v>
      </c>
      <c r="O69" s="13">
        <f>N69*VLOOKUP('Données projet'!$B$9,Paramètres!$A$1:$I$89,3,0)*VLOOKUP('Données projet'!$B$9,Paramètres!$A$1:$I$89,5,0)</f>
        <v>292.21500000000003</v>
      </c>
      <c r="P69" s="13">
        <f t="shared" ref="P69:P132" si="87">EXP(-1.0587+0.8836*LN(O69)+0.284)</f>
        <v>69.541939469490984</v>
      </c>
      <c r="Q69" s="20">
        <f t="shared" si="54"/>
        <v>630.06000290936356</v>
      </c>
      <c r="R69" s="59">
        <f t="shared" si="55"/>
        <v>923.39333624269693</v>
      </c>
      <c r="S69" s="59">
        <f ca="1">AVERAGE(OFFSET($R$3,0,0,'Données projet'!$E$9+1,1))-AVERAGE(OFFSET($H$3,0,0,'Données projet'!$E$9+1,1))</f>
        <v>283.73369613548124</v>
      </c>
      <c r="T69" s="59">
        <f t="shared" ref="T69:T132" si="88">$T$3</f>
        <v>249.77804091581208</v>
      </c>
      <c r="U69" s="15">
        <f>IF(ISNA(VLOOKUP(A69,'Données projet'!$A$35:$I$55,3,0)),0,VLOOKUP(A69,'Données projet'!$A$35:$I$55,3,0))</f>
        <v>7</v>
      </c>
      <c r="V69" s="15">
        <f>IF(ISNA(VLOOKUP(A69,'Données projet'!$A$35:$I$55,4,0)),0,VLOOKUP(A69,'Données projet'!$A$35:$I$55,4,0))</f>
        <v>68.146153846153851</v>
      </c>
      <c r="W69" s="16">
        <f>IF(ISNA(VLOOKUP(A69,'Données projet'!$A$35:$I$55,5,0)),0%,VLOOKUP(A69,'Données projet'!$A$35:$I$55,5,0)*VLOOKUP('Données projet'!$B$9,Paramètres!$A$1:$I$89,7,0))</f>
        <v>0.315</v>
      </c>
      <c r="X69" s="16">
        <f>IF(ISNA(VLOOKUP(A69,'Données projet'!$A$35:$I$55,6,0)),0%,VLOOKUP(A69,'Données projet'!$A$35:$I$55,6,0)*VLOOKUP('Données projet'!$B$9,Paramètres!$A$1:$I$89,7,0))</f>
        <v>7.5600000000000001E-2</v>
      </c>
      <c r="Y69" s="16">
        <f>IF(ISNA(VLOOKUP(A69,'Données projet'!$A$35:$I$55,7,0)),0%,VLOOKUP(A69,'Données projet'!$A$35:$I$55,7,0))</f>
        <v>0.13200000000000001</v>
      </c>
      <c r="Z69" s="21">
        <f>EXP(-LN(2)/35)*Z68+(1-EXP(-LN(2)/35))/(LN(2)/35)*V69*W69*VLOOKUP('Données projet'!$B$9,Paramètres!$A$1:$I$89,3,0)*0.475*44/12</f>
        <v>58.926496901088441</v>
      </c>
      <c r="AA69" s="21">
        <f>EXP(-LN(2)/25)*AA68+(1-EXP(-LN(2)/25))/(LN(2)/25)*Calculateur!V69*Calculateur!X69*VLOOKUP('Données projet'!$B$9,Paramètres!$A$1:$I$89,3,0)*0.475*44/12</f>
        <v>14.948128718413415</v>
      </c>
      <c r="AB69" s="21">
        <f>EXP(-LN(2)/2)*AB68+(1-EXP(-LN(2)/2))/(LN(2)/2)*V69*Y69*VLOOKUP('Données projet'!$B$9,Paramètres!$A$1:$I$89,3,0)*0.475*44/12</f>
        <v>6.2648439306852666</v>
      </c>
      <c r="AC69" s="22">
        <f t="shared" si="57"/>
        <v>80.13946955018713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13.737499999999997</v>
      </c>
      <c r="AI69" s="13">
        <f>IF('Données projet'!$A$62&gt;35,AI68+AH69-AQ68,IF(A69&lt;'Données projet'!$A$62,$AF$205^A69,IF(A69='Données projet'!$A$62,'Données projet'!$B$62,AI68+AH69-AQ68)))</f>
        <v>345.26634615384614</v>
      </c>
      <c r="AJ69" s="13">
        <f>AI69*VLOOKUP('Données projet'!$B$10,Paramètres!$A$1:$I$89,3,0)*VLOOKUP('Données projet'!$B$10,Paramètres!$A$1:$I$89,5,0)</f>
        <v>161.58464999999998</v>
      </c>
      <c r="AK69" s="13">
        <f t="shared" ref="AK69:AK132" si="89">EXP(-1.0587+0.8836*LN(AJ69)+0.284)</f>
        <v>41.199732368807574</v>
      </c>
      <c r="AL69" s="20">
        <f t="shared" si="58"/>
        <v>353.18279929233978</v>
      </c>
      <c r="AM69" s="59">
        <f t="shared" si="59"/>
        <v>646.51613262567309</v>
      </c>
      <c r="AN69" s="59">
        <f ca="1">AVERAGE(OFFSET($AM$3,0,0,'Données projet'!$E$10+1,1))-AVERAGE(OFFSET($H$3,0,0,'Données projet'!$E$10+1,1))</f>
        <v>205.73717397588365</v>
      </c>
      <c r="AO69" s="59">
        <f t="shared" ref="AO69:AO132" si="90">$AO$3</f>
        <v>190.64998698136026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46.414362281151725</v>
      </c>
      <c r="AV69" s="21">
        <f>EXP(-LN(2)/25)*AV68+(1-EXP(-LN(2)/25))/(LN(2)/25)*Calculateur!AQ69*Calculateur!AS69*VLOOKUP('Données projet'!$B$10,Paramètres!$A$1:$I$89,3,0)*0.475*44/12</f>
        <v>27.868707033653525</v>
      </c>
      <c r="AW69" s="21">
        <f>EXP(-LN(2)/2)*AW68+(1-EXP(-LN(2)/2))/(LN(2)/2)*AQ69*AT69*VLOOKUP('Données projet'!$B$10,Paramètres!$A$1:$I$89,3,0)*0.475*44/12</f>
        <v>1.9463647023580037</v>
      </c>
      <c r="AX69" s="21">
        <f t="shared" si="60"/>
        <v>76.229434017163243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-5.6843418860808015E-14</v>
      </c>
      <c r="BE69" s="13">
        <f>BD69*VLOOKUP('Données projet'!$B$11,Paramètres!$A$1:$I$89,3,0)*VLOOKUP('Données projet'!$B$11,Paramètres!$A$1:$I$89,5,0)</f>
        <v>-3.1036506698001178E-14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159.92263609041913</v>
      </c>
      <c r="BJ69" s="59">
        <f t="shared" ref="BJ69:BJ132" si="92">$BJ$3</f>
        <v>271.78119133009307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40.298954626761009</v>
      </c>
      <c r="BQ69" s="21">
        <f>EXP(-LN(2)/25)*BQ68+(1-EXP(-LN(2)/25))/(LN(2)/25)*Calculateur!BL69*Calculateur!BN69*VLOOKUP('Données projet'!$B$11,Paramètres!$A$1:$I$89,3,0)*0.475*44/12</f>
        <v>72.9122077187412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113.2111623455022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8.1001602564102626</v>
      </c>
      <c r="BY69" s="12">
        <f>IF('Données projet'!$A$114&gt;35,BY68+BX69-CG68,IF(A69&lt;'Données projet'!$A$114,$BV$205^A69,IF(A69='Données projet'!$A$114,'Données projet'!$B$114,BY68+BX69-CG68)))</f>
        <v>202.86458333333348</v>
      </c>
      <c r="BZ69" s="13">
        <f>BY69*VLOOKUP('Données projet'!$B$12,Paramètres!$A$1:$I$89,3,0)*VLOOKUP('Données projet'!$B$12,Paramètres!$A$1:$I$89,5,0)</f>
        <v>183.55187500000014</v>
      </c>
      <c r="CA69" s="13">
        <f t="shared" ref="CA69:CA132" si="93">EXP(-1.0587+0.8836*LN(BZ69)+0.284)</f>
        <v>46.11151198237242</v>
      </c>
      <c r="CB69" s="20">
        <f t="shared" si="64"/>
        <v>399.99706566096552</v>
      </c>
      <c r="CC69" s="59">
        <f t="shared" si="65"/>
        <v>693.33039899429878</v>
      </c>
      <c r="CD69" s="59">
        <f ca="1">AVERAGE(OFFSET($CC$3,0,0,'Données projet'!$E$12+1,1))-AVERAGE(OFFSET($H$3,0,0,'Données projet'!$E$12+1,1))</f>
        <v>280.25710840677186</v>
      </c>
      <c r="CE69" s="59">
        <f t="shared" ref="CE69:CE132" si="94">$CE$3</f>
        <v>209.65224013288037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11.837317599123653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11.837317599123653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</v>
      </c>
      <c r="CT69" s="12">
        <f>IF('Données projet'!$A$140&gt;35,CT68+CS69-DB68,IF(A69&lt;'Données projet'!$A$140,$CQ$205^A69,IF(A69='Données projet'!$A$140,'Données projet'!$B$140,CT68+CS69-DB68)))</f>
        <v>217</v>
      </c>
      <c r="CU69" s="17">
        <f>CT69*VLOOKUP('Données projet'!$B$13,Paramètres!$A$1:$I$89,3,0)*VLOOKUP('Données projet'!$B$13,Paramètres!$A$1:$I$89,5,0)</f>
        <v>226.80840000000003</v>
      </c>
      <c r="CV69" s="13">
        <f t="shared" ref="CV69:CV132" si="95">EXP(-1.0587+0.8836*LN(CU69)+0.284)</f>
        <v>55.592022759242575</v>
      </c>
      <c r="CW69" s="20">
        <f t="shared" si="67"/>
        <v>491.84740297234742</v>
      </c>
      <c r="CX69" s="59">
        <f t="shared" si="68"/>
        <v>785.18073630568074</v>
      </c>
      <c r="CY69" s="59">
        <f ca="1">AVERAGE(OFFSET($CX$3,0,0,'Données projet'!$E$13+1,1))-AVERAGE(OFFSET($H$3,0,0,'Données projet'!$E$13+1,1))</f>
        <v>330.14201227773452</v>
      </c>
      <c r="CZ69" s="59">
        <f t="shared" ref="CZ69:CZ132" si="96">$CZ$3</f>
        <v>307.07297894926467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20.062799558185084</v>
      </c>
      <c r="DG69" s="21">
        <f>EXP(-LN(2)/25)*DG68+(1-EXP(-LN(2)/25))/(LN(2)/25)*Calculateur!DB69*Calculateur!DD69*VLOOKUP('Données projet'!$B$13,Paramètres!$A$1:$I$89,3,0)*0.475*44/12</f>
        <v>22.728357826175962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42.791157384361043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9.9715384615384544</v>
      </c>
      <c r="N70" s="13">
        <f>IF('Données projet'!$A$36&gt;35,N69+M70-V69,IF(A70&lt;'Données projet'!$A$36,$K$205^A70,IF(A70='Données projet'!$A$36,'Données projet'!$B$36,N69+M70-V69)))</f>
        <v>430.47923076923075</v>
      </c>
      <c r="O70" s="13">
        <f>N70*VLOOKUP('Données projet'!$B$9,Paramètres!$A$1:$I$89,3,0)*VLOOKUP('Données projet'!$B$9,Paramètres!$A$1:$I$89,5,0)</f>
        <v>257.42658</v>
      </c>
      <c r="P70" s="13">
        <f t="shared" si="87"/>
        <v>62.173511644566837</v>
      </c>
      <c r="Q70" s="20">
        <f t="shared" si="54"/>
        <v>556.63682628095387</v>
      </c>
      <c r="R70" s="59">
        <f t="shared" si="55"/>
        <v>849.97015961428724</v>
      </c>
      <c r="S70" s="59">
        <f ca="1">AVERAGE(OFFSET($R$3,0,0,'Données projet'!$E$9+1,1))-AVERAGE(OFFSET($H$3,0,0,'Données projet'!$E$9+1,1))</f>
        <v>283.73369613548124</v>
      </c>
      <c r="T70" s="59">
        <f t="shared" si="88"/>
        <v>249.77804091581208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57.770984238472266</v>
      </c>
      <c r="AA70" s="21">
        <f>EXP(-LN(2)/25)*AA69+(1-EXP(-LN(2)/25))/(LN(2)/25)*Calculateur!V70*Calculateur!X70*VLOOKUP('Données projet'!$B$9,Paramètres!$A$1:$I$89,3,0)*0.475*44/12</f>
        <v>14.539371352520474</v>
      </c>
      <c r="AB70" s="21">
        <f>EXP(-LN(2)/2)*AB69+(1-EXP(-LN(2)/2))/(LN(2)/2)*V70*Y70*VLOOKUP('Données projet'!$B$9,Paramètres!$A$1:$I$89,3,0)*0.475*44/12</f>
        <v>4.4299136264629375</v>
      </c>
      <c r="AC70" s="22">
        <f t="shared" si="57"/>
        <v>76.740269217455676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13.737499999999997</v>
      </c>
      <c r="AI70" s="13">
        <f>IF('Données projet'!$A$62&gt;35,AI69+AH70-AQ69,IF(A70&lt;'Données projet'!$A$62,$AF$205^A70,IF(A70='Données projet'!$A$62,'Données projet'!$B$62,AI69+AH70-AQ69)))</f>
        <v>359.00384615384615</v>
      </c>
      <c r="AJ70" s="13">
        <f>AI70*VLOOKUP('Données projet'!$B$10,Paramètres!$A$1:$I$89,3,0)*VLOOKUP('Données projet'!$B$10,Paramètres!$A$1:$I$89,5,0)</f>
        <v>168.0138</v>
      </c>
      <c r="AK70" s="13">
        <f t="shared" si="89"/>
        <v>42.644877049412187</v>
      </c>
      <c r="AL70" s="20">
        <f t="shared" si="58"/>
        <v>366.89719586105952</v>
      </c>
      <c r="AM70" s="59">
        <f t="shared" si="59"/>
        <v>660.23052919439283</v>
      </c>
      <c r="AN70" s="59">
        <f ca="1">AVERAGE(OFFSET($AM$3,0,0,'Données projet'!$E$10+1,1))-AVERAGE(OFFSET($H$3,0,0,'Données projet'!$E$10+1,1))</f>
        <v>205.73717397588365</v>
      </c>
      <c r="AO70" s="59">
        <f t="shared" si="90"/>
        <v>190.64998698136026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45.50420494678395</v>
      </c>
      <c r="AV70" s="21">
        <f>EXP(-LN(2)/25)*AV69+(1-EXP(-LN(2)/25))/(LN(2)/25)*Calculateur!AQ70*Calculateur!AS70*VLOOKUP('Données projet'!$B$10,Paramètres!$A$1:$I$89,3,0)*0.475*44/12</f>
        <v>27.10663577426666</v>
      </c>
      <c r="AW70" s="21">
        <f>EXP(-LN(2)/2)*AW69+(1-EXP(-LN(2)/2))/(LN(2)/2)*AQ70*AT70*VLOOKUP('Données projet'!$B$10,Paramètres!$A$1:$I$89,3,0)*0.475*44/12</f>
        <v>1.3762876796994807</v>
      </c>
      <c r="AX70" s="21">
        <f t="shared" si="60"/>
        <v>73.987128400750095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-5.6843418860808015E-14</v>
      </c>
      <c r="BE70" s="13">
        <f>BD70*VLOOKUP('Données projet'!$B$11,Paramètres!$A$1:$I$89,3,0)*VLOOKUP('Données projet'!$B$11,Paramètres!$A$1:$I$89,5,0)</f>
        <v>-3.1036506698001178E-14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159.92263609041913</v>
      </c>
      <c r="BJ70" s="59">
        <f t="shared" si="92"/>
        <v>271.78119133009307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39.508716706465478</v>
      </c>
      <c r="BQ70" s="21">
        <f>EXP(-LN(2)/25)*BQ69+(1-EXP(-LN(2)/25))/(LN(2)/25)*Calculateur!BL70*Calculateur!BN70*VLOOKUP('Données projet'!$B$11,Paramètres!$A$1:$I$89,3,0)*0.475*44/12</f>
        <v>70.918419564385857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110.42713627085134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8.1001602564102626</v>
      </c>
      <c r="BY70" s="12">
        <f>IF('Données projet'!$A$114&gt;35,BY69+BX70-CG69,IF(A70&lt;'Données projet'!$A$114,$BV$205^A70,IF(A70='Données projet'!$A$114,'Données projet'!$B$114,BY69+BX70-CG69)))</f>
        <v>210.96474358974376</v>
      </c>
      <c r="BZ70" s="13">
        <f>BY70*VLOOKUP('Données projet'!$B$12,Paramètres!$A$1:$I$89,3,0)*VLOOKUP('Données projet'!$B$12,Paramètres!$A$1:$I$89,5,0)</f>
        <v>190.88090000000014</v>
      </c>
      <c r="CA70" s="13">
        <f t="shared" si="93"/>
        <v>47.734654873168694</v>
      </c>
      <c r="CB70" s="20">
        <f t="shared" si="64"/>
        <v>415.58875807076902</v>
      </c>
      <c r="CC70" s="59">
        <f t="shared" si="65"/>
        <v>708.92209140410228</v>
      </c>
      <c r="CD70" s="59">
        <f ca="1">AVERAGE(OFFSET($CC$3,0,0,'Données projet'!$E$12+1,1))-AVERAGE(OFFSET($H$3,0,0,'Données projet'!$E$12+1,1))</f>
        <v>280.25710840677186</v>
      </c>
      <c r="CE70" s="59">
        <f t="shared" si="94"/>
        <v>209.65224013288037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11.605195021055652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11.605195021055652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</v>
      </c>
      <c r="CT70" s="12">
        <f>IF('Données projet'!$A$140&gt;35,CT69+CS70-DB69,IF(A70&lt;'Données projet'!$A$140,$CQ$205^A70,IF(A70='Données projet'!$A$140,'Données projet'!$B$140,CT69+CS70-DB69)))</f>
        <v>222</v>
      </c>
      <c r="CU70" s="17">
        <f>CT70*VLOOKUP('Données projet'!$B$13,Paramètres!$A$1:$I$89,3,0)*VLOOKUP('Données projet'!$B$13,Paramètres!$A$1:$I$89,5,0)</f>
        <v>232.03440000000003</v>
      </c>
      <c r="CV70" s="13">
        <f t="shared" si="95"/>
        <v>56.722340668285831</v>
      </c>
      <c r="CW70" s="20">
        <f t="shared" si="67"/>
        <v>502.91798999726456</v>
      </c>
      <c r="CX70" s="59">
        <f t="shared" si="68"/>
        <v>796.25132333059787</v>
      </c>
      <c r="CY70" s="59">
        <f ca="1">AVERAGE(OFFSET($CX$3,0,0,'Données projet'!$E$13+1,1))-AVERAGE(OFFSET($H$3,0,0,'Données projet'!$E$13+1,1))</f>
        <v>330.14201227773452</v>
      </c>
      <c r="CZ70" s="59">
        <f t="shared" si="96"/>
        <v>307.07297894926467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19.669380295948493</v>
      </c>
      <c r="DG70" s="21">
        <f>EXP(-LN(2)/25)*DG69+(1-EXP(-LN(2)/25))/(LN(2)/25)*Calculateur!DB70*Calculateur!DD70*VLOOKUP('Données projet'!$B$13,Paramètres!$A$1:$I$89,3,0)*0.475*44/12</f>
        <v>22.106849686186788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41.776229982135277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9.9715384615384544</v>
      </c>
      <c r="N71" s="13">
        <f>IF('Données projet'!$A$36&gt;35,N70+M71-V70,IF(A71&lt;'Données projet'!$A$36,$K$205^A71,IF(A71='Données projet'!$A$36,'Données projet'!$B$36,N70+M71-V70)))</f>
        <v>440.4507692307692</v>
      </c>
      <c r="O71" s="13">
        <f>N71*VLOOKUP('Données projet'!$B$9,Paramètres!$A$1:$I$89,3,0)*VLOOKUP('Données projet'!$B$9,Paramètres!$A$1:$I$89,5,0)</f>
        <v>263.38956000000002</v>
      </c>
      <c r="P71" s="13">
        <f t="shared" si="87"/>
        <v>63.444349611612601</v>
      </c>
      <c r="Q71" s="20">
        <f t="shared" si="54"/>
        <v>569.23572590689196</v>
      </c>
      <c r="R71" s="59">
        <f t="shared" si="55"/>
        <v>862.56905924022522</v>
      </c>
      <c r="S71" s="59">
        <f ca="1">AVERAGE(OFFSET($R$3,0,0,'Données projet'!$E$9+1,1))-AVERAGE(OFFSET($H$3,0,0,'Données projet'!$E$9+1,1))</f>
        <v>283.73369613548124</v>
      </c>
      <c r="T71" s="59">
        <f t="shared" si="88"/>
        <v>249.77804091581208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56.638130474376865</v>
      </c>
      <c r="AA71" s="21">
        <f>EXP(-LN(2)/25)*AA70+(1-EXP(-LN(2)/25))/(LN(2)/25)*Calculateur!V71*Calculateur!X71*VLOOKUP('Données projet'!$B$9,Paramètres!$A$1:$I$89,3,0)*0.475*44/12</f>
        <v>14.141791478293493</v>
      </c>
      <c r="AB71" s="21">
        <f>EXP(-LN(2)/2)*AB70+(1-EXP(-LN(2)/2))/(LN(2)/2)*V71*Y71*VLOOKUP('Données projet'!$B$9,Paramètres!$A$1:$I$89,3,0)*0.475*44/12</f>
        <v>3.1324219653426337</v>
      </c>
      <c r="AC71" s="22">
        <f t="shared" si="57"/>
        <v>73.912343918012994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13.737499999999997</v>
      </c>
      <c r="AI71" s="13">
        <f>IF('Données projet'!$A$62&gt;35,AI70+AH71-AQ70,IF(A71&lt;'Données projet'!$A$62,$AF$205^A71,IF(A71='Données projet'!$A$62,'Données projet'!$B$62,AI70+AH71-AQ70)))</f>
        <v>372.74134615384617</v>
      </c>
      <c r="AJ71" s="13">
        <f>AI71*VLOOKUP('Données projet'!$B$10,Paramètres!$A$1:$I$89,3,0)*VLOOKUP('Données projet'!$B$10,Paramètres!$A$1:$I$89,5,0)</f>
        <v>174.44295000000002</v>
      </c>
      <c r="AK71" s="13">
        <f t="shared" si="89"/>
        <v>44.083597545116064</v>
      </c>
      <c r="AL71" s="20">
        <f t="shared" si="58"/>
        <v>380.60040364107721</v>
      </c>
      <c r="AM71" s="59">
        <f t="shared" si="59"/>
        <v>673.93373697441052</v>
      </c>
      <c r="AN71" s="59">
        <f ca="1">AVERAGE(OFFSET($AM$3,0,0,'Données projet'!$E$10+1,1))-AVERAGE(OFFSET($H$3,0,0,'Données projet'!$E$10+1,1))</f>
        <v>205.73717397588365</v>
      </c>
      <c r="AO71" s="59">
        <f t="shared" si="90"/>
        <v>190.64998698136026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44.611895242601975</v>
      </c>
      <c r="AV71" s="21">
        <f>EXP(-LN(2)/25)*AV70+(1-EXP(-LN(2)/25))/(LN(2)/25)*Calculateur!AQ71*Calculateur!AS71*VLOOKUP('Données projet'!$B$10,Paramètres!$A$1:$I$89,3,0)*0.475*44/12</f>
        <v>26.365403393543318</v>
      </c>
      <c r="AW71" s="21">
        <f>EXP(-LN(2)/2)*AW70+(1-EXP(-LN(2)/2))/(LN(2)/2)*AQ71*AT71*VLOOKUP('Données projet'!$B$10,Paramètres!$A$1:$I$89,3,0)*0.475*44/12</f>
        <v>0.97318235117900198</v>
      </c>
      <c r="AX71" s="21">
        <f t="shared" si="60"/>
        <v>71.950480987324298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-5.6843418860808015E-14</v>
      </c>
      <c r="BE71" s="13">
        <f>BD71*VLOOKUP('Données projet'!$B$11,Paramètres!$A$1:$I$89,3,0)*VLOOKUP('Données projet'!$B$11,Paramètres!$A$1:$I$89,5,0)</f>
        <v>-3.1036506698001178E-14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159.92263609041913</v>
      </c>
      <c r="BJ71" s="59">
        <f t="shared" si="92"/>
        <v>271.78119133009307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38.733974869789407</v>
      </c>
      <c r="BQ71" s="21">
        <f>EXP(-LN(2)/25)*BQ70+(1-EXP(-LN(2)/25))/(LN(2)/25)*Calculateur!BL71*Calculateur!BN71*VLOOKUP('Données projet'!$B$11,Paramètres!$A$1:$I$89,3,0)*0.475*44/12</f>
        <v>68.979151651960123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107.71312652174953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8.1001602564102626</v>
      </c>
      <c r="BY71" s="12">
        <f>IF('Données projet'!$A$114&gt;35,BY70+BX71-CG70,IF(A71&lt;'Données projet'!$A$114,$BV$205^A71,IF(A71='Données projet'!$A$114,'Données projet'!$B$114,BY70+BX71-CG70)))</f>
        <v>219.06490384615404</v>
      </c>
      <c r="BZ71" s="13">
        <f>BY71*VLOOKUP('Données projet'!$B$12,Paramètres!$A$1:$I$89,3,0)*VLOOKUP('Données projet'!$B$12,Paramètres!$A$1:$I$89,5,0)</f>
        <v>198.20992500000017</v>
      </c>
      <c r="CA71" s="13">
        <f t="shared" si="93"/>
        <v>49.350557805795496</v>
      </c>
      <c r="CB71" s="20">
        <f t="shared" si="64"/>
        <v>431.16784088676076</v>
      </c>
      <c r="CC71" s="59">
        <f t="shared" si="65"/>
        <v>724.50117422009407</v>
      </c>
      <c r="CD71" s="59">
        <f ca="1">AVERAGE(OFFSET($CC$3,0,0,'Données projet'!$E$12+1,1))-AVERAGE(OFFSET($H$3,0,0,'Données projet'!$E$12+1,1))</f>
        <v>280.25710840677186</v>
      </c>
      <c r="CE71" s="59">
        <f t="shared" si="94"/>
        <v>209.65224013288037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11.377624225162773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11.377624225162773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</v>
      </c>
      <c r="CT71" s="12">
        <f>IF('Données projet'!$A$140&gt;35,CT70+CS71-DB70,IF(A71&lt;'Données projet'!$A$140,$CQ$205^A71,IF(A71='Données projet'!$A$140,'Données projet'!$B$140,CT70+CS71-DB70)))</f>
        <v>227</v>
      </c>
      <c r="CU71" s="17">
        <f>CT71*VLOOKUP('Données projet'!$B$13,Paramètres!$A$1:$I$89,3,0)*VLOOKUP('Données projet'!$B$13,Paramètres!$A$1:$I$89,5,0)</f>
        <v>237.2604</v>
      </c>
      <c r="CV71" s="13">
        <f t="shared" si="95"/>
        <v>57.849698927879167</v>
      </c>
      <c r="CW71" s="20">
        <f t="shared" si="67"/>
        <v>513.98342229938953</v>
      </c>
      <c r="CX71" s="59">
        <f t="shared" si="68"/>
        <v>807.31675563272279</v>
      </c>
      <c r="CY71" s="59">
        <f ca="1">AVERAGE(OFFSET($CX$3,0,0,'Données projet'!$E$13+1,1))-AVERAGE(OFFSET($H$3,0,0,'Données projet'!$E$13+1,1))</f>
        <v>330.14201227773452</v>
      </c>
      <c r="CZ71" s="59">
        <f t="shared" si="96"/>
        <v>307.07297894926467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19.283675745482306</v>
      </c>
      <c r="DG71" s="21">
        <f>EXP(-LN(2)/25)*DG70+(1-EXP(-LN(2)/25))/(LN(2)/25)*Calculateur!DB71*Calculateur!DD71*VLOOKUP('Données projet'!$B$13,Paramètres!$A$1:$I$89,3,0)*0.475*44/12</f>
        <v>21.50233671896931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40.786012464451616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9.9715384615384544</v>
      </c>
      <c r="N72" s="13">
        <f>IF('Données projet'!$A$36&gt;35,N71+M72-V71,IF(A72&lt;'Données projet'!$A$36,$K$205^A72,IF(A72='Données projet'!$A$36,'Données projet'!$B$36,N71+M72-V71)))</f>
        <v>450.42230769230764</v>
      </c>
      <c r="O72" s="13">
        <f>N72*VLOOKUP('Données projet'!$B$9,Paramètres!$A$1:$I$89,3,0)*VLOOKUP('Données projet'!$B$9,Paramètres!$A$1:$I$89,5,0)</f>
        <v>269.35253999999998</v>
      </c>
      <c r="P72" s="13">
        <f t="shared" si="87"/>
        <v>64.711842740845071</v>
      </c>
      <c r="Q72" s="20">
        <f t="shared" si="54"/>
        <v>581.8287999403052</v>
      </c>
      <c r="R72" s="59">
        <f t="shared" si="55"/>
        <v>875.16213327363857</v>
      </c>
      <c r="S72" s="59">
        <f ca="1">AVERAGE(OFFSET($R$3,0,0,'Données projet'!$E$9+1,1))-AVERAGE(OFFSET($H$3,0,0,'Données projet'!$E$9+1,1))</f>
        <v>283.73369613548124</v>
      </c>
      <c r="T72" s="59">
        <f t="shared" si="88"/>
        <v>249.77804091581208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55.527491281622808</v>
      </c>
      <c r="AA72" s="21">
        <f>EXP(-LN(2)/25)*AA71+(1-EXP(-LN(2)/25))/(LN(2)/25)*Calculateur!V72*Calculateur!X72*VLOOKUP('Données projet'!$B$9,Paramètres!$A$1:$I$89,3,0)*0.475*44/12</f>
        <v>13.755083446635066</v>
      </c>
      <c r="AB72" s="21">
        <f>EXP(-LN(2)/2)*AB71+(1-EXP(-LN(2)/2))/(LN(2)/2)*V72*Y72*VLOOKUP('Données projet'!$B$9,Paramètres!$A$1:$I$89,3,0)*0.475*44/12</f>
        <v>2.2149568132314692</v>
      </c>
      <c r="AC72" s="22">
        <f t="shared" si="57"/>
        <v>71.497531541489337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13.737499999999997</v>
      </c>
      <c r="AI72" s="13">
        <f>IF('Données projet'!$A$62&gt;35,AI71+AH72-AQ71,IF(A72&lt;'Données projet'!$A$62,$AF$205^A72,IF(A72='Données projet'!$A$62,'Données projet'!$B$62,AI71+AH72-AQ71)))</f>
        <v>386.47884615384618</v>
      </c>
      <c r="AJ72" s="13">
        <f>AI72*VLOOKUP('Données projet'!$B$10,Paramètres!$A$1:$I$89,3,0)*VLOOKUP('Données projet'!$B$10,Paramètres!$A$1:$I$89,5,0)</f>
        <v>180.87209999999999</v>
      </c>
      <c r="AK72" s="13">
        <f t="shared" si="89"/>
        <v>45.516157736157588</v>
      </c>
      <c r="AL72" s="20">
        <f t="shared" si="58"/>
        <v>394.29288222380774</v>
      </c>
      <c r="AM72" s="59">
        <f t="shared" si="59"/>
        <v>687.62621555714099</v>
      </c>
      <c r="AN72" s="59">
        <f ca="1">AVERAGE(OFFSET($AM$3,0,0,'Données projet'!$E$10+1,1))-AVERAGE(OFFSET($H$3,0,0,'Données projet'!$E$10+1,1))</f>
        <v>205.73717397588365</v>
      </c>
      <c r="AO72" s="59">
        <f t="shared" si="90"/>
        <v>190.64998698136026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43.737083187463824</v>
      </c>
      <c r="AV72" s="21">
        <f>EXP(-LN(2)/25)*AV71+(1-EXP(-LN(2)/25))/(LN(2)/25)*Calculateur!AQ72*Calculateur!AS72*VLOOKUP('Données projet'!$B$10,Paramètres!$A$1:$I$89,3,0)*0.475*44/12</f>
        <v>25.644440051250569</v>
      </c>
      <c r="AW72" s="21">
        <f>EXP(-LN(2)/2)*AW71+(1-EXP(-LN(2)/2))/(LN(2)/2)*AQ72*AT72*VLOOKUP('Données projet'!$B$10,Paramètres!$A$1:$I$89,3,0)*0.475*44/12</f>
        <v>0.68814383984974048</v>
      </c>
      <c r="AX72" s="21">
        <f t="shared" si="60"/>
        <v>70.069667078564137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-5.6843418860808015E-14</v>
      </c>
      <c r="BE72" s="13">
        <f>BD72*VLOOKUP('Données projet'!$B$11,Paramètres!$A$1:$I$89,3,0)*VLOOKUP('Données projet'!$B$11,Paramètres!$A$1:$I$89,5,0)</f>
        <v>-3.1036506698001178E-14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159.92263609041913</v>
      </c>
      <c r="BJ72" s="59">
        <f t="shared" si="92"/>
        <v>271.78119133009307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37.974425247984691</v>
      </c>
      <c r="BQ72" s="21">
        <f>EXP(-LN(2)/25)*BQ71+(1-EXP(-LN(2)/25))/(LN(2)/25)*Calculateur!BL72*Calculateur!BN72*VLOOKUP('Données projet'!$B$11,Paramètres!$A$1:$I$89,3,0)*0.475*44/12</f>
        <v>67.092913122581336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105.06733837056603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8.1001602564102626</v>
      </c>
      <c r="BY72" s="12">
        <f>IF('Données projet'!$A$114&gt;35,BY71+BX72-CG71,IF(A72&lt;'Données projet'!$A$114,$BV$205^A72,IF(A72='Données projet'!$A$114,'Données projet'!$B$114,BY71+BX72-CG71)))</f>
        <v>227.16506410256432</v>
      </c>
      <c r="BZ72" s="13">
        <f>BY72*VLOOKUP('Données projet'!$B$12,Paramètres!$A$1:$I$89,3,0)*VLOOKUP('Données projet'!$B$12,Paramètres!$A$1:$I$89,5,0)</f>
        <v>205.53895000000017</v>
      </c>
      <c r="CA72" s="13">
        <f t="shared" si="93"/>
        <v>50.959519142478193</v>
      </c>
      <c r="CB72" s="20">
        <f t="shared" si="64"/>
        <v>446.73483375648311</v>
      </c>
      <c r="CC72" s="59">
        <f t="shared" si="65"/>
        <v>740.06816708981637</v>
      </c>
      <c r="CD72" s="59">
        <f ca="1">AVERAGE(OFFSET($CC$3,0,0,'Données projet'!$E$12+1,1))-AVERAGE(OFFSET($H$3,0,0,'Données projet'!$E$12+1,1))</f>
        <v>280.25710840677186</v>
      </c>
      <c r="CE72" s="59">
        <f t="shared" si="94"/>
        <v>209.65224013288037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11.154515953772874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11.154515953772874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</v>
      </c>
      <c r="CT72" s="12">
        <f>IF('Données projet'!$A$140&gt;35,CT71+CS72-DB71,IF(A72&lt;'Données projet'!$A$140,$CQ$205^A72,IF(A72='Données projet'!$A$140,'Données projet'!$B$140,CT71+CS72-DB71)))</f>
        <v>232</v>
      </c>
      <c r="CU72" s="17">
        <f>CT72*VLOOKUP('Données projet'!$B$13,Paramètres!$A$1:$I$89,3,0)*VLOOKUP('Données projet'!$B$13,Paramètres!$A$1:$I$89,5,0)</f>
        <v>242.4864</v>
      </c>
      <c r="CV72" s="13">
        <f t="shared" si="95"/>
        <v>58.974170235372419</v>
      </c>
      <c r="CW72" s="20">
        <f t="shared" si="67"/>
        <v>525.04382649327351</v>
      </c>
      <c r="CX72" s="59">
        <f t="shared" si="68"/>
        <v>818.37715982660688</v>
      </c>
      <c r="CY72" s="59">
        <f ca="1">AVERAGE(OFFSET($CX$3,0,0,'Données projet'!$E$13+1,1))-AVERAGE(OFFSET($H$3,0,0,'Données projet'!$E$13+1,1))</f>
        <v>330.14201227773452</v>
      </c>
      <c r="CZ72" s="59">
        <f t="shared" si="96"/>
        <v>307.07297894926467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18.905534625994214</v>
      </c>
      <c r="DG72" s="21">
        <f>EXP(-LN(2)/25)*DG71+(1-EXP(-LN(2)/25))/(LN(2)/25)*Calculateur!DB72*Calculateur!DD72*VLOOKUP('Données projet'!$B$13,Paramètres!$A$1:$I$89,3,0)*0.475*44/12</f>
        <v>20.914354190630352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39.819888816624569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9.9715384615384544</v>
      </c>
      <c r="N73" s="13">
        <f>IF('Données projet'!$A$36&gt;35,N72+M73-V72,IF(A73&lt;'Données projet'!$A$36,$K$205^A73,IF(A73='Données projet'!$A$36,'Données projet'!$B$36,N72+M73-V72)))</f>
        <v>460.39384615384608</v>
      </c>
      <c r="O73" s="13">
        <f>N73*VLOOKUP('Données projet'!$B$9,Paramètres!$A$1:$I$89,3,0)*VLOOKUP('Données projet'!$B$9,Paramètres!$A$1:$I$89,5,0)</f>
        <v>275.31551999999994</v>
      </c>
      <c r="P73" s="13">
        <f t="shared" si="87"/>
        <v>65.976073607419792</v>
      </c>
      <c r="Q73" s="20">
        <f t="shared" si="54"/>
        <v>594.41619219958932</v>
      </c>
      <c r="R73" s="59">
        <f t="shared" si="55"/>
        <v>887.74952553292269</v>
      </c>
      <c r="S73" s="59">
        <f ca="1">AVERAGE(OFFSET($R$3,0,0,'Données projet'!$E$9+1,1))-AVERAGE(OFFSET($H$3,0,0,'Données projet'!$E$9+1,1))</f>
        <v>283.73369613548124</v>
      </c>
      <c r="T73" s="59">
        <f t="shared" si="88"/>
        <v>249.77804091581208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54.438631046015637</v>
      </c>
      <c r="AA73" s="21">
        <f>EXP(-LN(2)/25)*AA72+(1-EXP(-LN(2)/25))/(LN(2)/25)*Calculateur!V73*Calculateur!X73*VLOOKUP('Données projet'!$B$9,Paramètres!$A$1:$I$89,3,0)*0.475*44/12</f>
        <v>13.378949966438428</v>
      </c>
      <c r="AB73" s="21">
        <f>EXP(-LN(2)/2)*AB72+(1-EXP(-LN(2)/2))/(LN(2)/2)*V73*Y73*VLOOKUP('Données projet'!$B$9,Paramètres!$A$1:$I$89,3,0)*0.475*44/12</f>
        <v>1.5662109826713173</v>
      </c>
      <c r="AC73" s="22">
        <f t="shared" si="57"/>
        <v>69.383791995125392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13.737499999999997</v>
      </c>
      <c r="AI73" s="13">
        <f>IF('Données projet'!$A$62&gt;35,AI72+AH73-AQ72,IF(A73&lt;'Données projet'!$A$62,$AF$205^A73,IF(A73='Données projet'!$A$62,'Données projet'!$B$62,AI72+AH73-AQ72)))</f>
        <v>400.21634615384619</v>
      </c>
      <c r="AJ73" s="13">
        <f>AI73*VLOOKUP('Données projet'!$B$10,Paramètres!$A$1:$I$89,3,0)*VLOOKUP('Données projet'!$B$10,Paramètres!$A$1:$I$89,5,0)</f>
        <v>187.30125000000001</v>
      </c>
      <c r="AK73" s="13">
        <f t="shared" si="89"/>
        <v>46.942801679870392</v>
      </c>
      <c r="AL73" s="20">
        <f t="shared" si="58"/>
        <v>407.97505667577428</v>
      </c>
      <c r="AM73" s="59">
        <f t="shared" si="59"/>
        <v>701.3083900091076</v>
      </c>
      <c r="AN73" s="59">
        <f ca="1">AVERAGE(OFFSET($AM$3,0,0,'Données projet'!$E$10+1,1))-AVERAGE(OFFSET($H$3,0,0,'Données projet'!$E$10+1,1))</f>
        <v>205.73717397588365</v>
      </c>
      <c r="AO73" s="59">
        <f t="shared" si="90"/>
        <v>190.64998698136026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42.879425663144268</v>
      </c>
      <c r="AV73" s="21">
        <f>EXP(-LN(2)/25)*AV72+(1-EXP(-LN(2)/25))/(LN(2)/25)*Calculateur!AQ73*Calculateur!AS73*VLOOKUP('Données projet'!$B$10,Paramètres!$A$1:$I$89,3,0)*0.475*44/12</f>
        <v>24.943191489466631</v>
      </c>
      <c r="AW73" s="21">
        <f>EXP(-LN(2)/2)*AW72+(1-EXP(-LN(2)/2))/(LN(2)/2)*AQ73*AT73*VLOOKUP('Données projet'!$B$10,Paramètres!$A$1:$I$89,3,0)*0.475*44/12</f>
        <v>0.4865911755895011</v>
      </c>
      <c r="AX73" s="21">
        <f t="shared" si="60"/>
        <v>68.309208328200398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-5.6843418860808015E-14</v>
      </c>
      <c r="BE73" s="13">
        <f>BD73*VLOOKUP('Données projet'!$B$11,Paramètres!$A$1:$I$89,3,0)*VLOOKUP('Données projet'!$B$11,Paramètres!$A$1:$I$89,5,0)</f>
        <v>-3.1036506698001178E-14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159.92263609041913</v>
      </c>
      <c r="BJ73" s="59">
        <f t="shared" si="92"/>
        <v>271.78119133009307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37.229769930984041</v>
      </c>
      <c r="BQ73" s="21">
        <f>EXP(-LN(2)/25)*BQ72+(1-EXP(-LN(2)/25))/(LN(2)/25)*Calculateur!BL73*Calculateur!BN73*VLOOKUP('Données projet'!$B$11,Paramètres!$A$1:$I$89,3,0)*0.475*44/12</f>
        <v>65.258253884981386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102.48802381596542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8.1001602564102626</v>
      </c>
      <c r="BY73" s="12">
        <f>IF('Données projet'!$A$114&gt;35,BY72+BX73-CG72,IF(A73&lt;'Données projet'!$A$114,$BV$205^A73,IF(A73='Données projet'!$A$114,'Données projet'!$B$114,BY72+BX73-CG72)))</f>
        <v>235.26522435897459</v>
      </c>
      <c r="BZ73" s="13">
        <f>BY73*VLOOKUP('Données projet'!$B$12,Paramètres!$A$1:$I$89,3,0)*VLOOKUP('Données projet'!$B$12,Paramètres!$A$1:$I$89,5,0)</f>
        <v>212.8679750000002</v>
      </c>
      <c r="CA73" s="13">
        <f t="shared" si="93"/>
        <v>52.561814761455608</v>
      </c>
      <c r="CB73" s="20">
        <f t="shared" si="64"/>
        <v>462.29021716786883</v>
      </c>
      <c r="CC73" s="59">
        <f t="shared" si="65"/>
        <v>755.62355050120209</v>
      </c>
      <c r="CD73" s="59">
        <f ca="1">AVERAGE(OFFSET($CC$3,0,0,'Données projet'!$E$12+1,1))-AVERAGE(OFFSET($H$3,0,0,'Données projet'!$E$12+1,1))</f>
        <v>280.25710840677186</v>
      </c>
      <c r="CE73" s="59">
        <f t="shared" si="94"/>
        <v>209.65224013288037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10.935782699502322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10.935782699502322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237</v>
      </c>
      <c r="CR73" s="12">
        <f>VLOOKUP(A73,'Données projet'!$A$139:$I$159,9,0)</f>
        <v>5</v>
      </c>
      <c r="CS73" s="12">
        <f t="array" ref="CS73">INDEX(CR:CR,MIN(IF(ISNUMBER(CR73:CR269),ROW(CR73:CR269),"")))</f>
        <v>5</v>
      </c>
      <c r="CT73" s="12">
        <f>IF('Données projet'!$A$140&gt;35,CT72+CS73-DB72,IF(A73&lt;'Données projet'!$A$140,$CQ$205^A73,IF(A73='Données projet'!$A$140,'Données projet'!$B$140,CT72+CS73-DB72)))</f>
        <v>237</v>
      </c>
      <c r="CU73" s="17">
        <f>CT73*VLOOKUP('Données projet'!$B$13,Paramètres!$A$1:$I$89,3,0)*VLOOKUP('Données projet'!$B$13,Paramètres!$A$1:$I$89,5,0)</f>
        <v>247.71240000000003</v>
      </c>
      <c r="CV73" s="13">
        <f t="shared" si="95"/>
        <v>60.095823975624157</v>
      </c>
      <c r="CW73" s="20">
        <f t="shared" si="67"/>
        <v>536.099323424212</v>
      </c>
      <c r="CX73" s="59">
        <f t="shared" si="68"/>
        <v>829.43265675754537</v>
      </c>
      <c r="CY73" s="59">
        <f ca="1">AVERAGE(OFFSET($CX$3,0,0,'Données projet'!$E$13+1,1))-AVERAGE(OFFSET($H$3,0,0,'Données projet'!$E$13+1,1))</f>
        <v>330.14201227773452</v>
      </c>
      <c r="CZ73" s="59">
        <f t="shared" si="96"/>
        <v>307.07297894926467</v>
      </c>
      <c r="DA73" s="15">
        <f>IF(ISNA(VLOOKUP(A73,'Données projet'!$A$139:$I$159,3,0)),0,VLOOKUP(A73,'Données projet'!$A$139:$I$159,3,0))</f>
        <v>11</v>
      </c>
      <c r="DB73" s="15" t="str">
        <f>IF(ISNA(VLOOKUP(A73,'Données projet'!$A$139:$I$159,4,0)),0,VLOOKUP(A73,'Données projet'!$A$139:$I$159,4,0))</f>
        <v>18</v>
      </c>
      <c r="DC73" s="16">
        <f>IF(ISNA(VLOOKUP(A73,'Données projet'!$A$139:$I$159,5,0)),0%,VLOOKUP(A73,'Données projet'!$A$139:$I$159,5,0)*VLOOKUP('Données projet'!$B$13,Paramètres!$A$1:$I$89,7,0))</f>
        <v>0.215</v>
      </c>
      <c r="DD73" s="16">
        <f>IF(ISNA(VLOOKUP(A73,'Données projet'!$A$139:$I$159,6,0)),0%,VLOOKUP(A73,'Données projet'!$A$139:$I$159,6,0)*VLOOKUP('Données projet'!$B$13,Paramètres!$A$1:$I$89,7,0))</f>
        <v>0.17200000000000001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23.00635229267791</v>
      </c>
      <c r="DG73" s="21">
        <f>EXP(-LN(2)/25)*DG72+(1-EXP(-LN(2)/25))/(LN(2)/25)*Calculateur!DB73*Calculateur!DD73*VLOOKUP('Données projet'!$B$13,Paramètres!$A$1:$I$89,3,0)*0.475*44/12</f>
        <v>23.905600074044322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46.911952366722232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9.9715384615384544</v>
      </c>
      <c r="N74" s="13">
        <f>IF('Données projet'!$A$36&gt;35,N73+M74-V73,IF(A74&lt;'Données projet'!$A$36,$K$205^A74,IF(A74='Données projet'!$A$36,'Données projet'!$B$36,N73+M74-V73)))</f>
        <v>470.36538461538453</v>
      </c>
      <c r="O74" s="13">
        <f>N74*VLOOKUP('Données projet'!$B$9,Paramètres!$A$1:$I$89,3,0)*VLOOKUP('Données projet'!$B$9,Paramètres!$A$1:$I$89,5,0)</f>
        <v>281.27849999999995</v>
      </c>
      <c r="P74" s="13">
        <f t="shared" si="87"/>
        <v>67.23712100524989</v>
      </c>
      <c r="Q74" s="20">
        <f t="shared" si="54"/>
        <v>606.99803991747683</v>
      </c>
      <c r="R74" s="59">
        <f t="shared" si="55"/>
        <v>900.3313732508102</v>
      </c>
      <c r="S74" s="59">
        <f ca="1">AVERAGE(OFFSET($R$3,0,0,'Données projet'!$E$9+1,1))-AVERAGE(OFFSET($H$3,0,0,'Données projet'!$E$9+1,1))</f>
        <v>283.73369613548124</v>
      </c>
      <c r="T74" s="59">
        <f t="shared" si="88"/>
        <v>249.77804091581208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53.371122695489554</v>
      </c>
      <c r="AA74" s="21">
        <f>EXP(-LN(2)/25)*AA73+(1-EXP(-LN(2)/25))/(LN(2)/25)*Calculateur!V74*Calculateur!X74*VLOOKUP('Données projet'!$B$9,Paramètres!$A$1:$I$89,3,0)*0.475*44/12</f>
        <v>13.013101876037769</v>
      </c>
      <c r="AB74" s="21">
        <f>EXP(-LN(2)/2)*AB73+(1-EXP(-LN(2)/2))/(LN(2)/2)*V74*Y74*VLOOKUP('Données projet'!$B$9,Paramètres!$A$1:$I$89,3,0)*0.475*44/12</f>
        <v>1.1074784066157348</v>
      </c>
      <c r="AC74" s="22">
        <f t="shared" si="57"/>
        <v>67.491702978143067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413.95384615384614</v>
      </c>
      <c r="AG74" s="12">
        <f>VLOOKUP(A74,'Données projet'!$A$61:$I$81,9,0)</f>
        <v>13.737499999999997</v>
      </c>
      <c r="AH74" s="12">
        <f t="array" ref="AH74">INDEX(AG:AG,MIN(IF(ISNUMBER(AG74:AG270),ROW(AG74:AG270),"")))</f>
        <v>13.737499999999997</v>
      </c>
      <c r="AI74" s="13">
        <f>IF('Données projet'!$A$62&gt;35,AI73+AH74-AQ73,IF(A74&lt;'Données projet'!$A$62,$AF$205^A74,IF(A74='Données projet'!$A$62,'Données projet'!$B$62,AI73+AH74-AQ73)))</f>
        <v>413.9538461538462</v>
      </c>
      <c r="AJ74" s="13">
        <f>AI74*VLOOKUP('Données projet'!$B$10,Paramètres!$A$1:$I$89,3,0)*VLOOKUP('Données projet'!$B$10,Paramètres!$A$1:$I$89,5,0)</f>
        <v>193.73040000000003</v>
      </c>
      <c r="AK74" s="13">
        <f t="shared" si="89"/>
        <v>48.363755728631737</v>
      </c>
      <c r="AL74" s="20">
        <f t="shared" si="58"/>
        <v>421.647321227367</v>
      </c>
      <c r="AM74" s="59">
        <f t="shared" si="59"/>
        <v>714.98065456070026</v>
      </c>
      <c r="AN74" s="59">
        <f ca="1">AVERAGE(OFFSET($AM$3,0,0,'Données projet'!$E$10+1,1))-AVERAGE(OFFSET($H$3,0,0,'Données projet'!$E$10+1,1))</f>
        <v>205.73717397588365</v>
      </c>
      <c r="AO74" s="59">
        <f t="shared" si="90"/>
        <v>190.64998698136026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80.399999999999991</v>
      </c>
      <c r="AR74" s="16">
        <f>IF(ISNA(VLOOKUP(A74,'Données projet'!$A$61:$I$81,5,0)),0%,VLOOKUP(A74,'Données projet'!$A$61:$I$81,5,0)*VLOOKUP('Données projet'!$B$10,Paramètres!$A$1:$I$89,7,0))</f>
        <v>0.38500000000000001</v>
      </c>
      <c r="AS74" s="16">
        <f>IF(ISNA(VLOOKUP(A74,'Données projet'!$A$61:$I$81,6,0)),0%,VLOOKUP(A74,'Données projet'!$A$61:$I$81,6,0)*VLOOKUP('Données projet'!$B$10,Paramètres!$A$1:$I$89,7,0))</f>
        <v>9.240000000000001E-2</v>
      </c>
      <c r="AT74" s="16">
        <f>IF(ISNA(VLOOKUP(A74,'Données projet'!$A$61:$I$81,7,0)),0%,VLOOKUP(A74,'Données projet'!$A$61:$I$81,7,0))</f>
        <v>0.13200000000000001</v>
      </c>
      <c r="AU74" s="21">
        <f>EXP(-LN(2)/35)*AU73+(1-EXP(-LN(2)/35))/(LN(2)/35)*AQ74*AR74*VLOOKUP('Données projet'!$B$10,Paramètres!$A$1:$I$89,3,0)*0.475*44/12</f>
        <v>61.255825119677326</v>
      </c>
      <c r="AV74" s="21">
        <f>EXP(-LN(2)/25)*AV73+(1-EXP(-LN(2)/25))/(LN(2)/25)*Calculateur!AQ74*Calculateur!AS74*VLOOKUP('Données projet'!$B$10,Paramètres!$A$1:$I$89,3,0)*0.475*44/12</f>
        <v>28.85509618606541</v>
      </c>
      <c r="AW74" s="21">
        <f>EXP(-LN(2)/2)*AW73+(1-EXP(-LN(2)/2))/(LN(2)/2)*AQ74*AT74*VLOOKUP('Données projet'!$B$10,Paramètres!$A$1:$I$89,3,0)*0.475*44/12</f>
        <v>5.9676324258492643</v>
      </c>
      <c r="AX74" s="21">
        <f t="shared" si="60"/>
        <v>96.078553731591995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-5.6843418860808015E-14</v>
      </c>
      <c r="BE74" s="13">
        <f>BD74*VLOOKUP('Données projet'!$B$11,Paramètres!$A$1:$I$89,3,0)*VLOOKUP('Données projet'!$B$11,Paramètres!$A$1:$I$89,5,0)</f>
        <v>-3.1036506698001178E-14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159.92263609041913</v>
      </c>
      <c r="BJ74" s="59">
        <f t="shared" si="92"/>
        <v>271.78119133009307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36.499716850554883</v>
      </c>
      <c r="BQ74" s="21">
        <f>EXP(-LN(2)/25)*BQ73+(1-EXP(-LN(2)/25))/(LN(2)/25)*Calculateur!BL74*Calculateur!BN74*VLOOKUP('Données projet'!$B$11,Paramètres!$A$1:$I$89,3,0)*0.475*44/12</f>
        <v>63.473763500714149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99.973480351269032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243.36538461538464</v>
      </c>
      <c r="BW74" s="12">
        <f>VLOOKUP(A74,'Données projet'!$A$113:$I$133,9,0)</f>
        <v>8.1001602564102626</v>
      </c>
      <c r="BX74" s="12">
        <f t="array" ref="BX74">INDEX(BW:BW,MIN(IF(ISNUMBER(BW74:BW270),ROW(BW74:BW270),"")))</f>
        <v>8.1001602564102626</v>
      </c>
      <c r="BY74" s="12">
        <f>IF('Données projet'!$A$114&gt;35,BY73+BX74-CG73,IF(A74&lt;'Données projet'!$A$114,$BV$205^A74,IF(A74='Données projet'!$A$114,'Données projet'!$B$114,BY73+BX74-CG73)))</f>
        <v>243.36538461538487</v>
      </c>
      <c r="BZ74" s="13">
        <f>BY74*VLOOKUP('Données projet'!$B$12,Paramètres!$A$1:$I$89,3,0)*VLOOKUP('Données projet'!$B$12,Paramètres!$A$1:$I$89,5,0)</f>
        <v>220.19700000000023</v>
      </c>
      <c r="CA74" s="13">
        <f t="shared" si="93"/>
        <v>54.157700466574305</v>
      </c>
      <c r="CB74" s="20">
        <f t="shared" si="64"/>
        <v>477.83443664595069</v>
      </c>
      <c r="CC74" s="59">
        <f t="shared" si="65"/>
        <v>771.167769979284</v>
      </c>
      <c r="CD74" s="59">
        <f ca="1">AVERAGE(OFFSET($CC$3,0,0,'Données projet'!$E$12+1,1))-AVERAGE(OFFSET($H$3,0,0,'Données projet'!$E$12+1,1))</f>
        <v>280.25710840677186</v>
      </c>
      <c r="CE74" s="59">
        <f t="shared" si="94"/>
        <v>209.65224013288037</v>
      </c>
      <c r="CF74" s="15">
        <f>IF(ISNA(VLOOKUP(A74,'Données projet'!$A$113:$I$133,3,0)),0,VLOOKUP(A74,'Données projet'!$A$113:$I$133,3,0))</f>
        <v>6</v>
      </c>
      <c r="CG74" s="15">
        <f>IF(ISNA(VLOOKUP(A74,'Données projet'!$A$113:$I$133,4,0)),0,VLOOKUP(A74,'Données projet'!$A$113:$I$133,4,0))</f>
        <v>39.935897435897431</v>
      </c>
      <c r="CH74" s="16">
        <f>IF(ISNA(VLOOKUP(A74,'Données projet'!$A$113:$I$133,5,0)),0%,VLOOKUP(A74,'Données projet'!$A$113:$I$133,5,0)*VLOOKUP('Données projet'!$B$12,Paramètres!$A$1:$I$89,7,0))</f>
        <v>0.30099999999999999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22.744803745841033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22.744803745841033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4.4000000000000004</v>
      </c>
      <c r="CT74" s="12">
        <f>IF('Données projet'!$A$140&gt;35,CT73+CS74-DB73,IF(A74&lt;'Données projet'!$A$140,$CQ$205^A74,IF(A74='Données projet'!$A$140,'Données projet'!$B$140,CT73+CS74-DB73)))</f>
        <v>223.4</v>
      </c>
      <c r="CU74" s="17">
        <f>CT74*VLOOKUP('Données projet'!$B$13,Paramètres!$A$1:$I$89,3,0)*VLOOKUP('Données projet'!$B$13,Paramètres!$A$1:$I$89,5,0)</f>
        <v>233.49768000000006</v>
      </c>
      <c r="CV74" s="13">
        <f t="shared" si="95"/>
        <v>57.038296123496387</v>
      </c>
      <c r="CW74" s="20">
        <f t="shared" si="67"/>
        <v>506.01682508175622</v>
      </c>
      <c r="CX74" s="59">
        <f t="shared" si="68"/>
        <v>799.35015841508948</v>
      </c>
      <c r="CY74" s="59">
        <f ca="1">AVERAGE(OFFSET($CX$3,0,0,'Données projet'!$E$13+1,1))-AVERAGE(OFFSET($H$3,0,0,'Données projet'!$E$13+1,1))</f>
        <v>330.14201227773452</v>
      </c>
      <c r="CZ74" s="59">
        <f t="shared" si="96"/>
        <v>307.07297894926467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22.555211756707802</v>
      </c>
      <c r="DG74" s="21">
        <f>EXP(-LN(2)/25)*DG73+(1-EXP(-LN(2)/25))/(LN(2)/25)*Calculateur!DB74*Calculateur!DD74*VLOOKUP('Données projet'!$B$13,Paramètres!$A$1:$I$89,3,0)*0.475*44/12</f>
        <v>23.25190018287871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45.807111939586513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9.9715384615384544</v>
      </c>
      <c r="N75" s="13">
        <f>IF('Données projet'!$A$36&gt;35,N74+M75-V74,IF(A75&lt;'Données projet'!$A$36,$K$205^A75,IF(A75='Données projet'!$A$36,'Données projet'!$B$36,N74+M75-V74)))</f>
        <v>480.33692307692297</v>
      </c>
      <c r="O75" s="13">
        <f>N75*VLOOKUP('Données projet'!$B$9,Paramètres!$A$1:$I$89,3,0)*VLOOKUP('Données projet'!$B$9,Paramètres!$A$1:$I$89,5,0)</f>
        <v>287.24147999999997</v>
      </c>
      <c r="P75" s="13">
        <f t="shared" si="87"/>
        <v>68.495060196585953</v>
      </c>
      <c r="Q75" s="20">
        <f t="shared" si="54"/>
        <v>619.57447417572041</v>
      </c>
      <c r="R75" s="59">
        <f t="shared" si="55"/>
        <v>912.90780750905378</v>
      </c>
      <c r="S75" s="59">
        <f ca="1">AVERAGE(OFFSET($R$3,0,0,'Données projet'!$E$9+1,1))-AVERAGE(OFFSET($H$3,0,0,'Données projet'!$E$9+1,1))</f>
        <v>283.73369613548124</v>
      </c>
      <c r="T75" s="59">
        <f t="shared" si="88"/>
        <v>249.77804091581208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52.324547532601493</v>
      </c>
      <c r="AA75" s="21">
        <f>EXP(-LN(2)/25)*AA74+(1-EXP(-LN(2)/25))/(LN(2)/25)*Calculateur!V75*Calculateur!X75*VLOOKUP('Données projet'!$B$9,Paramètres!$A$1:$I$89,3,0)*0.475*44/12</f>
        <v>12.657257920908231</v>
      </c>
      <c r="AB75" s="21">
        <f>EXP(-LN(2)/2)*AB74+(1-EXP(-LN(2)/2))/(LN(2)/2)*V75*Y75*VLOOKUP('Données projet'!$B$9,Paramètres!$A$1:$I$89,3,0)*0.475*44/12</f>
        <v>0.78310549133565877</v>
      </c>
      <c r="AC75" s="22">
        <f t="shared" si="57"/>
        <v>65.764910944845383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12.913461538461533</v>
      </c>
      <c r="AI75" s="13">
        <f>IF('Données projet'!$A$62&gt;35,AI74+AH75-AQ74,IF(A75&lt;'Données projet'!$A$62,$AF$205^A75,IF(A75='Données projet'!$A$62,'Données projet'!$B$62,AI74+AH75-AQ74)))</f>
        <v>346.46730769230777</v>
      </c>
      <c r="AJ75" s="13">
        <f>AI75*VLOOKUP('Données projet'!$B$10,Paramètres!$A$1:$I$89,3,0)*VLOOKUP('Données projet'!$B$10,Paramètres!$A$1:$I$89,5,0)</f>
        <v>162.14670000000004</v>
      </c>
      <c r="AK75" s="13">
        <f t="shared" si="89"/>
        <v>41.326333369414826</v>
      </c>
      <c r="AL75" s="20">
        <f t="shared" si="58"/>
        <v>354.38219978506419</v>
      </c>
      <c r="AM75" s="59">
        <f t="shared" si="59"/>
        <v>647.7155331183975</v>
      </c>
      <c r="AN75" s="59">
        <f ca="1">AVERAGE(OFFSET($AM$3,0,0,'Données projet'!$E$10+1,1))-AVERAGE(OFFSET($H$3,0,0,'Données projet'!$E$10+1,1))</f>
        <v>205.73717397588365</v>
      </c>
      <c r="AO75" s="59">
        <f t="shared" si="90"/>
        <v>190.64998698136026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60.05463575144455</v>
      </c>
      <c r="AV75" s="21">
        <f>EXP(-LN(2)/25)*AV74+(1-EXP(-LN(2)/25))/(LN(2)/25)*Calculateur!AQ75*Calculateur!AS75*VLOOKUP('Données projet'!$B$10,Paramètres!$A$1:$I$89,3,0)*0.475*44/12</f>
        <v>28.066052063433894</v>
      </c>
      <c r="AW75" s="21">
        <f>EXP(-LN(2)/2)*AW74+(1-EXP(-LN(2)/2))/(LN(2)/2)*AQ75*AT75*VLOOKUP('Données projet'!$B$10,Paramètres!$A$1:$I$89,3,0)*0.475*44/12</f>
        <v>4.2197533559467422</v>
      </c>
      <c r="AX75" s="21">
        <f t="shared" si="60"/>
        <v>92.340441170825173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-5.6843418860808015E-14</v>
      </c>
      <c r="BE75" s="13">
        <f>BD75*VLOOKUP('Données projet'!$B$11,Paramètres!$A$1:$I$89,3,0)*VLOOKUP('Données projet'!$B$11,Paramètres!$A$1:$I$89,5,0)</f>
        <v>-3.1036506698001178E-14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159.92263609041913</v>
      </c>
      <c r="BJ75" s="59">
        <f t="shared" si="92"/>
        <v>271.78119133009307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35.783979665744525</v>
      </c>
      <c r="BQ75" s="21">
        <f>EXP(-LN(2)/25)*BQ74+(1-EXP(-LN(2)/25))/(LN(2)/25)*Calculateur!BL75*Calculateur!BN75*VLOOKUP('Données projet'!$B$11,Paramètres!$A$1:$I$89,3,0)*0.475*44/12</f>
        <v>61.738070099846972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97.522049765591504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7.8425925925925934</v>
      </c>
      <c r="BY75" s="12">
        <f>IF('Données projet'!$A$114&gt;35,BY74+BX75-CG74,IF(A75&lt;'Données projet'!$A$114,$BV$205^A75,IF(A75='Données projet'!$A$114,'Données projet'!$B$114,BY74+BX75-CG74)))</f>
        <v>211.27207977208002</v>
      </c>
      <c r="BZ75" s="13">
        <f>BY75*VLOOKUP('Données projet'!$B$12,Paramètres!$A$1:$I$89,3,0)*VLOOKUP('Données projet'!$B$12,Paramètres!$A$1:$I$89,5,0)</f>
        <v>191.15897777777801</v>
      </c>
      <c r="CA75" s="13">
        <f t="shared" si="93"/>
        <v>47.796095622022989</v>
      </c>
      <c r="CB75" s="20">
        <f t="shared" si="64"/>
        <v>416.18008617132006</v>
      </c>
      <c r="CC75" s="59">
        <f t="shared" si="65"/>
        <v>709.51341950465337</v>
      </c>
      <c r="CD75" s="59">
        <f ca="1">AVERAGE(OFFSET($CC$3,0,0,'Données projet'!$E$12+1,1))-AVERAGE(OFFSET($H$3,0,0,'Données projet'!$E$12+1,1))</f>
        <v>280.25710840677186</v>
      </c>
      <c r="CE75" s="59">
        <f t="shared" si="94"/>
        <v>209.65224013288037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22.298792017345534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22.298792017345534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4.4000000000000004</v>
      </c>
      <c r="CT75" s="12">
        <f>IF('Données projet'!$A$140&gt;35,CT74+CS75-DB74,IF(A75&lt;'Données projet'!$A$140,$CQ$205^A75,IF(A75='Données projet'!$A$140,'Données projet'!$B$140,CT74+CS75-DB74)))</f>
        <v>227.8</v>
      </c>
      <c r="CU75" s="17">
        <f>CT75*VLOOKUP('Données projet'!$B$13,Paramètres!$A$1:$I$89,3,0)*VLOOKUP('Données projet'!$B$13,Paramètres!$A$1:$I$89,5,0)</f>
        <v>238.09656000000001</v>
      </c>
      <c r="CV75" s="13">
        <f t="shared" si="95"/>
        <v>58.029806498941532</v>
      </c>
      <c r="CW75" s="20">
        <f t="shared" si="67"/>
        <v>515.75342165232314</v>
      </c>
      <c r="CX75" s="59">
        <f t="shared" si="68"/>
        <v>809.0867549856564</v>
      </c>
      <c r="CY75" s="59">
        <f ca="1">AVERAGE(OFFSET($CX$3,0,0,'Données projet'!$E$13+1,1))-AVERAGE(OFFSET($H$3,0,0,'Données projet'!$E$13+1,1))</f>
        <v>330.14201227773452</v>
      </c>
      <c r="CZ75" s="59">
        <f t="shared" si="96"/>
        <v>307.07297894926467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22.112917811479512</v>
      </c>
      <c r="DG75" s="21">
        <f>EXP(-LN(2)/25)*DG74+(1-EXP(-LN(2)/25))/(LN(2)/25)*Calculateur!DB75*Calculateur!DD75*VLOOKUP('Données projet'!$B$13,Paramètres!$A$1:$I$89,3,0)*0.475*44/12</f>
        <v>22.616075749613604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44.72899356109312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9.9715384615384544</v>
      </c>
      <c r="N76" s="13">
        <f>IF('Données projet'!$A$36&gt;35,N75+M76-V75,IF(A76&lt;'Données projet'!$A$36,$K$205^A76,IF(A76='Données projet'!$A$36,'Données projet'!$B$36,N75+M76-V75)))</f>
        <v>490.30846153846142</v>
      </c>
      <c r="O76" s="13">
        <f>N76*VLOOKUP('Données projet'!$B$9,Paramètres!$A$1:$I$89,3,0)*VLOOKUP('Données projet'!$B$9,Paramètres!$A$1:$I$89,5,0)</f>
        <v>293.20445999999993</v>
      </c>
      <c r="P76" s="13">
        <f t="shared" si="87"/>
        <v>69.749963140285985</v>
      </c>
      <c r="Q76" s="20">
        <f t="shared" si="54"/>
        <v>632.14562030266472</v>
      </c>
      <c r="R76" s="59">
        <f t="shared" si="55"/>
        <v>925.4789536359981</v>
      </c>
      <c r="S76" s="59">
        <f ca="1">AVERAGE(OFFSET($R$3,0,0,'Données projet'!$E$9+1,1))-AVERAGE(OFFSET($H$3,0,0,'Données projet'!$E$9+1,1))</f>
        <v>283.73369613548124</v>
      </c>
      <c r="T76" s="59">
        <f t="shared" si="88"/>
        <v>249.77804091581208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51.298495070309848</v>
      </c>
      <c r="AA76" s="21">
        <f>EXP(-LN(2)/25)*AA75+(1-EXP(-LN(2)/25))/(LN(2)/25)*Calculateur!V76*Calculateur!X76*VLOOKUP('Données projet'!$B$9,Paramètres!$A$1:$I$89,3,0)*0.475*44/12</f>
        <v>12.311144537444729</v>
      </c>
      <c r="AB76" s="21">
        <f>EXP(-LN(2)/2)*AB75+(1-EXP(-LN(2)/2))/(LN(2)/2)*V76*Y76*VLOOKUP('Données projet'!$B$9,Paramètres!$A$1:$I$89,3,0)*0.475*44/12</f>
        <v>0.55373920330786752</v>
      </c>
      <c r="AC76" s="22">
        <f t="shared" si="57"/>
        <v>64.163378811062444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12.913461538461533</v>
      </c>
      <c r="AI76" s="13">
        <f>IF('Données projet'!$A$62&gt;35,AI75+AH76-AQ75,IF(A76&lt;'Données projet'!$A$62,$AF$205^A76,IF(A76='Données projet'!$A$62,'Données projet'!$B$62,AI75+AH76-AQ75)))</f>
        <v>359.38076923076932</v>
      </c>
      <c r="AJ76" s="13">
        <f>AI76*VLOOKUP('Données projet'!$B$10,Paramètres!$A$1:$I$89,3,0)*VLOOKUP('Données projet'!$B$10,Paramètres!$A$1:$I$89,5,0)</f>
        <v>168.19020000000003</v>
      </c>
      <c r="AK76" s="13">
        <f t="shared" si="89"/>
        <v>42.684436447240749</v>
      </c>
      <c r="AL76" s="20">
        <f t="shared" si="58"/>
        <v>367.27332514561107</v>
      </c>
      <c r="AM76" s="59">
        <f t="shared" si="59"/>
        <v>660.60665847894438</v>
      </c>
      <c r="AN76" s="59">
        <f ca="1">AVERAGE(OFFSET($AM$3,0,0,'Données projet'!$E$10+1,1))-AVERAGE(OFFSET($H$3,0,0,'Données projet'!$E$10+1,1))</f>
        <v>205.73717397588365</v>
      </c>
      <c r="AO76" s="59">
        <f t="shared" si="90"/>
        <v>190.64998698136026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58.877000974069645</v>
      </c>
      <c r="AV76" s="21">
        <f>EXP(-LN(2)/25)*AV75+(1-EXP(-LN(2)/25))/(LN(2)/25)*Calculateur!AQ76*Calculateur!AS76*VLOOKUP('Données projet'!$B$10,Paramètres!$A$1:$I$89,3,0)*0.475*44/12</f>
        <v>27.298584393829763</v>
      </c>
      <c r="AW76" s="21">
        <f>EXP(-LN(2)/2)*AW75+(1-EXP(-LN(2)/2))/(LN(2)/2)*AQ76*AT76*VLOOKUP('Données projet'!$B$10,Paramètres!$A$1:$I$89,3,0)*0.475*44/12</f>
        <v>2.9838162129246326</v>
      </c>
      <c r="AX76" s="21">
        <f t="shared" si="60"/>
        <v>89.159401580824039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-5.6843418860808015E-14</v>
      </c>
      <c r="BE76" s="13">
        <f>BD76*VLOOKUP('Données projet'!$B$11,Paramètres!$A$1:$I$89,3,0)*VLOOKUP('Données projet'!$B$11,Paramètres!$A$1:$I$89,5,0)</f>
        <v>-3.1036506698001178E-14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159.92263609041913</v>
      </c>
      <c r="BJ76" s="59">
        <f t="shared" si="92"/>
        <v>271.78119133009307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35.082277650571726</v>
      </c>
      <c r="BQ76" s="21">
        <f>EXP(-LN(2)/25)*BQ75+(1-EXP(-LN(2)/25))/(LN(2)/25)*Calculateur!BL76*Calculateur!BN76*VLOOKUP('Données projet'!$B$11,Paramètres!$A$1:$I$89,3,0)*0.475*44/12</f>
        <v>60.049839326302653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95.132116976874386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7.8425925925925934</v>
      </c>
      <c r="BY76" s="12">
        <f>IF('Données projet'!$A$114&gt;35,BY75+BX76-CG75,IF(A76&lt;'Données projet'!$A$114,$BV$205^A76,IF(A76='Données projet'!$A$114,'Données projet'!$B$114,BY75+BX76-CG75)))</f>
        <v>219.1146723646726</v>
      </c>
      <c r="BZ76" s="13">
        <f>BY76*VLOOKUP('Données projet'!$B$12,Paramètres!$A$1:$I$89,3,0)*VLOOKUP('Données projet'!$B$12,Paramètres!$A$1:$I$89,5,0)</f>
        <v>198.25495555555577</v>
      </c>
      <c r="CA76" s="13">
        <f t="shared" si="93"/>
        <v>49.360464390082804</v>
      </c>
      <c r="CB76" s="20">
        <f t="shared" si="64"/>
        <v>431.26352307198721</v>
      </c>
      <c r="CC76" s="59">
        <f t="shared" si="65"/>
        <v>724.59685640532052</v>
      </c>
      <c r="CD76" s="59">
        <f ca="1">AVERAGE(OFFSET($CC$3,0,0,'Données projet'!$E$12+1,1))-AVERAGE(OFFSET($H$3,0,0,'Données projet'!$E$12+1,1))</f>
        <v>280.25710840677186</v>
      </c>
      <c r="CE76" s="59">
        <f t="shared" si="94"/>
        <v>209.65224013288037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21.861526306805541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21.861526306805541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4.4000000000000004</v>
      </c>
      <c r="CT76" s="12">
        <f>IF('Données projet'!$A$140&gt;35,CT75+CS76-DB75,IF(A76&lt;'Données projet'!$A$140,$CQ$205^A76,IF(A76='Données projet'!$A$140,'Données projet'!$B$140,CT75+CS76-DB75)))</f>
        <v>232.20000000000002</v>
      </c>
      <c r="CU76" s="17">
        <f>CT76*VLOOKUP('Données projet'!$B$13,Paramètres!$A$1:$I$89,3,0)*VLOOKUP('Données projet'!$B$13,Paramètres!$A$1:$I$89,5,0)</f>
        <v>242.69544000000002</v>
      </c>
      <c r="CV76" s="13">
        <f t="shared" si="95"/>
        <v>59.019090031230249</v>
      </c>
      <c r="CW76" s="20">
        <f t="shared" si="67"/>
        <v>525.48613980439268</v>
      </c>
      <c r="CX76" s="59">
        <f t="shared" si="68"/>
        <v>818.81947313772594</v>
      </c>
      <c r="CY76" s="59">
        <f ca="1">AVERAGE(OFFSET($CX$3,0,0,'Données projet'!$E$13+1,1))-AVERAGE(OFFSET($H$3,0,0,'Données projet'!$E$13+1,1))</f>
        <v>330.14201227773452</v>
      </c>
      <c r="CZ76" s="59">
        <f t="shared" si="96"/>
        <v>307.07297894926467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21.679296980744478</v>
      </c>
      <c r="DG76" s="21">
        <f>EXP(-LN(2)/25)*DG75+(1-EXP(-LN(2)/25))/(LN(2)/25)*Calculateur!DB76*Calculateur!DD76*VLOOKUP('Données projet'!$B$13,Paramètres!$A$1:$I$89,3,0)*0.475*44/12</f>
        <v>21.997637968912684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43.676934949657166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9.9715384615384544</v>
      </c>
      <c r="N77" s="13">
        <f>IF('Données projet'!$A$36&gt;35,N76+M77-V76,IF(A77&lt;'Données projet'!$A$36,$K$205^A77,IF(A77='Données projet'!$A$36,'Données projet'!$B$36,N76+M77-V76)))</f>
        <v>500.27999999999986</v>
      </c>
      <c r="O77" s="13">
        <f>N77*VLOOKUP('Données projet'!$B$9,Paramètres!$A$1:$I$89,3,0)*VLOOKUP('Données projet'!$B$9,Paramètres!$A$1:$I$89,5,0)</f>
        <v>299.16743999999994</v>
      </c>
      <c r="P77" s="13">
        <f t="shared" si="87"/>
        <v>71.001898700991546</v>
      </c>
      <c r="Q77" s="20">
        <f t="shared" si="54"/>
        <v>644.71159823756022</v>
      </c>
      <c r="R77" s="59">
        <f t="shared" si="55"/>
        <v>938.0449315708936</v>
      </c>
      <c r="S77" s="59">
        <f ca="1">AVERAGE(OFFSET($R$3,0,0,'Données projet'!$E$9+1,1))-AVERAGE(OFFSET($H$3,0,0,'Données projet'!$E$9+1,1))</f>
        <v>283.73369613548124</v>
      </c>
      <c r="T77" s="59">
        <f t="shared" si="88"/>
        <v>249.77804091581208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50.292562870973534</v>
      </c>
      <c r="AA77" s="21">
        <f>EXP(-LN(2)/25)*AA76+(1-EXP(-LN(2)/25))/(LN(2)/25)*Calculateur!V77*Calculateur!X77*VLOOKUP('Données projet'!$B$9,Paramètres!$A$1:$I$89,3,0)*0.475*44/12</f>
        <v>11.97449564265335</v>
      </c>
      <c r="AB77" s="21">
        <f>EXP(-LN(2)/2)*AB76+(1-EXP(-LN(2)/2))/(LN(2)/2)*V77*Y77*VLOOKUP('Données projet'!$B$9,Paramètres!$A$1:$I$89,3,0)*0.475*44/12</f>
        <v>0.39155274566782944</v>
      </c>
      <c r="AC77" s="22">
        <f t="shared" si="57"/>
        <v>62.658611259294716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12.913461538461533</v>
      </c>
      <c r="AI77" s="13">
        <f>IF('Données projet'!$A$62&gt;35,AI76+AH77-AQ76,IF(A77&lt;'Données projet'!$A$62,$AF$205^A77,IF(A77='Données projet'!$A$62,'Données projet'!$B$62,AI76+AH77-AQ76)))</f>
        <v>372.29423076923086</v>
      </c>
      <c r="AJ77" s="13">
        <f>AI77*VLOOKUP('Données projet'!$B$10,Paramètres!$A$1:$I$89,3,0)*VLOOKUP('Données projet'!$B$10,Paramètres!$A$1:$I$89,5,0)</f>
        <v>174.23370000000006</v>
      </c>
      <c r="AK77" s="13">
        <f t="shared" si="89"/>
        <v>44.036869769028705</v>
      </c>
      <c r="AL77" s="20">
        <f t="shared" si="58"/>
        <v>380.15457568105836</v>
      </c>
      <c r="AM77" s="59">
        <f t="shared" si="59"/>
        <v>673.48790901439168</v>
      </c>
      <c r="AN77" s="59">
        <f ca="1">AVERAGE(OFFSET($AM$3,0,0,'Données projet'!$E$10+1,1))-AVERAGE(OFFSET($H$3,0,0,'Données projet'!$E$10+1,1))</f>
        <v>205.73717397588365</v>
      </c>
      <c r="AO77" s="59">
        <f t="shared" si="90"/>
        <v>190.64998698136026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57.722458896392773</v>
      </c>
      <c r="AV77" s="21">
        <f>EXP(-LN(2)/25)*AV76+(1-EXP(-LN(2)/25))/(LN(2)/25)*Calculateur!AQ77*Calculateur!AS77*VLOOKUP('Données projet'!$B$10,Paramètres!$A$1:$I$89,3,0)*0.475*44/12</f>
        <v>26.552103168010326</v>
      </c>
      <c r="AW77" s="21">
        <f>EXP(-LN(2)/2)*AW76+(1-EXP(-LN(2)/2))/(LN(2)/2)*AQ77*AT77*VLOOKUP('Données projet'!$B$10,Paramètres!$A$1:$I$89,3,0)*0.475*44/12</f>
        <v>2.1098766779733711</v>
      </c>
      <c r="AX77" s="21">
        <f t="shared" si="60"/>
        <v>86.384438742376474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-5.6843418860808015E-14</v>
      </c>
      <c r="BE77" s="13">
        <f>BD77*VLOOKUP('Données projet'!$B$11,Paramètres!$A$1:$I$89,3,0)*VLOOKUP('Données projet'!$B$11,Paramètres!$A$1:$I$89,5,0)</f>
        <v>-3.1036506698001178E-14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159.92263609041913</v>
      </c>
      <c r="BJ77" s="59">
        <f t="shared" si="92"/>
        <v>271.78119133009307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34.394335583920494</v>
      </c>
      <c r="BQ77" s="21">
        <f>EXP(-LN(2)/25)*BQ76+(1-EXP(-LN(2)/25))/(LN(2)/25)*Calculateur!BL77*Calculateur!BN77*VLOOKUP('Données projet'!$B$11,Paramètres!$A$1:$I$89,3,0)*0.475*44/12</f>
        <v>58.407773312041101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92.802108895961595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7.8425925925925934</v>
      </c>
      <c r="BY77" s="12">
        <f>IF('Données projet'!$A$114&gt;35,BY76+BX77-CG76,IF(A77&lt;'Données projet'!$A$114,$BV$205^A77,IF(A77='Données projet'!$A$114,'Données projet'!$B$114,BY76+BX77-CG76)))</f>
        <v>226.95726495726518</v>
      </c>
      <c r="BZ77" s="13">
        <f>BY77*VLOOKUP('Données projet'!$B$12,Paramètres!$A$1:$I$89,3,0)*VLOOKUP('Données projet'!$B$12,Paramètres!$A$1:$I$89,5,0)</f>
        <v>205.35093333333353</v>
      </c>
      <c r="CA77" s="13">
        <f t="shared" si="93"/>
        <v>50.91832775961656</v>
      </c>
      <c r="CB77" s="20">
        <f t="shared" si="64"/>
        <v>446.33562973688805</v>
      </c>
      <c r="CC77" s="59">
        <f t="shared" si="65"/>
        <v>739.66896307022137</v>
      </c>
      <c r="CD77" s="59">
        <f ca="1">AVERAGE(OFFSET($CC$3,0,0,'Données projet'!$E$12+1,1))-AVERAGE(OFFSET($H$3,0,0,'Données projet'!$E$12+1,1))</f>
        <v>280.25710840677186</v>
      </c>
      <c r="CE77" s="59">
        <f t="shared" si="94"/>
        <v>209.65224013288037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21.432835110143486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21.432835110143486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4.4000000000000004</v>
      </c>
      <c r="CT77" s="12">
        <f>IF('Données projet'!$A$140&gt;35,CT76+CS77-DB76,IF(A77&lt;'Données projet'!$A$140,$CQ$205^A77,IF(A77='Données projet'!$A$140,'Données projet'!$B$140,CT76+CS77-DB76)))</f>
        <v>236.60000000000002</v>
      </c>
      <c r="CU77" s="17">
        <f>CT77*VLOOKUP('Données projet'!$B$13,Paramètres!$A$1:$I$89,3,0)*VLOOKUP('Données projet'!$B$13,Paramètres!$A$1:$I$89,5,0)</f>
        <v>247.29432000000003</v>
      </c>
      <c r="CV77" s="13">
        <f t="shared" si="95"/>
        <v>60.006193782698659</v>
      </c>
      <c r="CW77" s="20">
        <f t="shared" si="67"/>
        <v>535.21506150486687</v>
      </c>
      <c r="CX77" s="59">
        <f t="shared" si="68"/>
        <v>828.54839483820024</v>
      </c>
      <c r="CY77" s="59">
        <f ca="1">AVERAGE(OFFSET($CX$3,0,0,'Données projet'!$E$13+1,1))-AVERAGE(OFFSET($H$3,0,0,'Données projet'!$E$13+1,1))</f>
        <v>330.14201227773452</v>
      </c>
      <c r="CZ77" s="59">
        <f t="shared" si="96"/>
        <v>307.07297894926467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21.254179190017567</v>
      </c>
      <c r="DG77" s="21">
        <f>EXP(-LN(2)/25)*DG76+(1-EXP(-LN(2)/25))/(LN(2)/25)*Calculateur!DB77*Calculateur!DD77*VLOOKUP('Données projet'!$B$13,Paramètres!$A$1:$I$89,3,0)*0.475*44/12</f>
        <v>21.396111401847264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42.650290591864831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9.9715384615384544</v>
      </c>
      <c r="N78" s="13">
        <f>IF('Données projet'!$A$36&gt;35,N77+M78-V77,IF(A78&lt;'Données projet'!$A$36,$K$205^A78,IF(A78='Données projet'!$A$36,'Données projet'!$B$36,N77+M78-V77)))</f>
        <v>510.2515384615383</v>
      </c>
      <c r="O78" s="13">
        <f>N78*VLOOKUP('Données projet'!$B$9,Paramètres!$A$1:$I$89,3,0)*VLOOKUP('Données projet'!$B$9,Paramètres!$A$1:$I$89,5,0)</f>
        <v>305.13041999999996</v>
      </c>
      <c r="P78" s="13">
        <f t="shared" si="87"/>
        <v>72.250932841155517</v>
      </c>
      <c r="Q78" s="20">
        <f t="shared" si="54"/>
        <v>657.27252286501243</v>
      </c>
      <c r="R78" s="59">
        <f t="shared" si="55"/>
        <v>950.60585619834569</v>
      </c>
      <c r="S78" s="59">
        <f ca="1">AVERAGE(OFFSET($R$3,0,0,'Données projet'!$E$9+1,1))-AVERAGE(OFFSET($H$3,0,0,'Données projet'!$E$9+1,1))</f>
        <v>283.73369613548124</v>
      </c>
      <c r="T78" s="59">
        <f t="shared" si="88"/>
        <v>249.77804091581208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49.306356388508149</v>
      </c>
      <c r="AA78" s="21">
        <f>EXP(-LN(2)/25)*AA77+(1-EXP(-LN(2)/25))/(LN(2)/25)*Calculateur!V78*Calculateur!X78*VLOOKUP('Données projet'!$B$9,Paramètres!$A$1:$I$89,3,0)*0.475*44/12</f>
        <v>11.647052429593636</v>
      </c>
      <c r="AB78" s="21">
        <f>EXP(-LN(2)/2)*AB77+(1-EXP(-LN(2)/2))/(LN(2)/2)*V78*Y78*VLOOKUP('Données projet'!$B$9,Paramètres!$A$1:$I$89,3,0)*0.475*44/12</f>
        <v>0.27686960165393376</v>
      </c>
      <c r="AC78" s="22">
        <f t="shared" si="57"/>
        <v>61.23027841975572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12.913461538461533</v>
      </c>
      <c r="AI78" s="13">
        <f>IF('Données projet'!$A$62&gt;35,AI77+AH78-AQ77,IF(A78&lt;'Données projet'!$A$62,$AF$205^A78,IF(A78='Données projet'!$A$62,'Données projet'!$B$62,AI77+AH78-AQ77)))</f>
        <v>385.20769230769241</v>
      </c>
      <c r="AJ78" s="13">
        <f>AI78*VLOOKUP('Données projet'!$B$10,Paramètres!$A$1:$I$89,3,0)*VLOOKUP('Données projet'!$B$10,Paramètres!$A$1:$I$89,5,0)</f>
        <v>180.27720000000005</v>
      </c>
      <c r="AK78" s="13">
        <f t="shared" si="89"/>
        <v>45.383852535093837</v>
      </c>
      <c r="AL78" s="20">
        <f t="shared" si="58"/>
        <v>393.02633316528846</v>
      </c>
      <c r="AM78" s="59">
        <f t="shared" si="59"/>
        <v>686.35966649862178</v>
      </c>
      <c r="AN78" s="59">
        <f ca="1">AVERAGE(OFFSET($AM$3,0,0,'Données projet'!$E$10+1,1))-AVERAGE(OFFSET($H$3,0,0,'Données projet'!$E$10+1,1))</f>
        <v>205.73717397588365</v>
      </c>
      <c r="AO78" s="59">
        <f t="shared" si="90"/>
        <v>190.64998698136026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56.590556684658011</v>
      </c>
      <c r="AV78" s="21">
        <f>EXP(-LN(2)/25)*AV77+(1-EXP(-LN(2)/25))/(LN(2)/25)*Calculateur!AQ78*Calculateur!AS78*VLOOKUP('Données projet'!$B$10,Paramètres!$A$1:$I$89,3,0)*0.475*44/12</f>
        <v>25.826034510566664</v>
      </c>
      <c r="AW78" s="21">
        <f>EXP(-LN(2)/2)*AW77+(1-EXP(-LN(2)/2))/(LN(2)/2)*AQ78*AT78*VLOOKUP('Données projet'!$B$10,Paramètres!$A$1:$I$89,3,0)*0.475*44/12</f>
        <v>1.4919081064623163</v>
      </c>
      <c r="AX78" s="21">
        <f t="shared" si="60"/>
        <v>83.908499301686987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-5.6843418860808015E-14</v>
      </c>
      <c r="BE78" s="13">
        <f>BD78*VLOOKUP('Données projet'!$B$11,Paramètres!$A$1:$I$89,3,0)*VLOOKUP('Données projet'!$B$11,Paramètres!$A$1:$I$89,5,0)</f>
        <v>-3.1036506698001178E-14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159.92263609041913</v>
      </c>
      <c r="BJ78" s="59">
        <f t="shared" si="92"/>
        <v>271.78119133009307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33.719883641593064</v>
      </c>
      <c r="BQ78" s="21">
        <f>EXP(-LN(2)/25)*BQ77+(1-EXP(-LN(2)/25))/(LN(2)/25)*Calculateur!BL78*Calculateur!BN78*VLOOKUP('Données projet'!$B$11,Paramètres!$A$1:$I$89,3,0)*0.475*44/12</f>
        <v>56.810609679292028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90.530493320885085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7.8425925925925934</v>
      </c>
      <c r="BY78" s="12">
        <f>IF('Données projet'!$A$114&gt;35,BY77+BX78-CG77,IF(A78&lt;'Données projet'!$A$114,$BV$205^A78,IF(A78='Données projet'!$A$114,'Données projet'!$B$114,BY77+BX78-CG77)))</f>
        <v>234.79985754985776</v>
      </c>
      <c r="BZ78" s="13">
        <f>BY78*VLOOKUP('Données projet'!$B$12,Paramètres!$A$1:$I$89,3,0)*VLOOKUP('Données projet'!$B$12,Paramètres!$A$1:$I$89,5,0)</f>
        <v>212.44691111111132</v>
      </c>
      <c r="CA78" s="13">
        <f t="shared" si="93"/>
        <v>52.469936290697497</v>
      </c>
      <c r="CB78" s="20">
        <f t="shared" si="64"/>
        <v>461.39684255815035</v>
      </c>
      <c r="CC78" s="59">
        <f t="shared" si="65"/>
        <v>754.73017589148367</v>
      </c>
      <c r="CD78" s="59">
        <f ca="1">AVERAGE(OFFSET($CC$3,0,0,'Données projet'!$E$12+1,1))-AVERAGE(OFFSET($H$3,0,0,'Données projet'!$E$12+1,1))</f>
        <v>280.25710840677186</v>
      </c>
      <c r="CE78" s="59">
        <f t="shared" si="94"/>
        <v>209.65224013288037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21.012550286372164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21.012550286372164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241</v>
      </c>
      <c r="CR78" s="12">
        <f>VLOOKUP(A78,'Données projet'!$A$139:$I$159,9,0)</f>
        <v>4.4000000000000004</v>
      </c>
      <c r="CS78" s="12">
        <f t="array" ref="CS78">INDEX(CR:CR,MIN(IF(ISNUMBER(CR78:CR274),ROW(CR78:CR274),"")))</f>
        <v>4.4000000000000004</v>
      </c>
      <c r="CT78" s="12">
        <f>IF('Données projet'!$A$140&gt;35,CT77+CS78-DB77,IF(A78&lt;'Données projet'!$A$140,$CQ$205^A78,IF(A78='Données projet'!$A$140,'Données projet'!$B$140,CT77+CS78-DB77)))</f>
        <v>241.00000000000003</v>
      </c>
      <c r="CU78" s="17">
        <f>CT78*VLOOKUP('Données projet'!$B$13,Paramètres!$A$1:$I$89,3,0)*VLOOKUP('Données projet'!$B$13,Paramètres!$A$1:$I$89,5,0)</f>
        <v>251.89320000000006</v>
      </c>
      <c r="CV78" s="13">
        <f t="shared" si="95"/>
        <v>60.991162965075887</v>
      </c>
      <c r="CW78" s="20">
        <f t="shared" si="67"/>
        <v>544.94026549750731</v>
      </c>
      <c r="CX78" s="59">
        <f t="shared" si="68"/>
        <v>838.27359883084068</v>
      </c>
      <c r="CY78" s="59">
        <f ca="1">AVERAGE(OFFSET($CX$3,0,0,'Données projet'!$E$13+1,1))-AVERAGE(OFFSET($H$3,0,0,'Données projet'!$E$13+1,1))</f>
        <v>330.14201227773452</v>
      </c>
      <c r="CZ78" s="59">
        <f t="shared" si="96"/>
        <v>307.07297894926467</v>
      </c>
      <c r="DA78" s="15">
        <f>IF(ISNA(VLOOKUP(A78,'Données projet'!$A$139:$I$159,3,0)),0,VLOOKUP(A78,'Données projet'!$A$139:$I$159,3,0))</f>
        <v>12</v>
      </c>
      <c r="DB78" s="15" t="str">
        <f>IF(ISNA(VLOOKUP(A78,'Données projet'!$A$139:$I$159,4,0)),0,VLOOKUP(A78,'Données projet'!$A$139:$I$159,4,0))</f>
        <v>16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0.129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25.607044280629964</v>
      </c>
      <c r="DG78" s="21">
        <f>EXP(-LN(2)/25)*DG77+(1-EXP(-LN(2)/25))/(LN(2)/25)*Calculateur!DB78*Calculateur!DD78*VLOOKUP('Données projet'!$B$13,Paramètres!$A$1:$I$89,3,0)*0.475*44/12</f>
        <v>23.186466942787717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48.793511223417681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>
        <f>VLOOKUP(A79,'Données projet'!$A$35:$I$55,2,0)</f>
        <v>520.22307692307686</v>
      </c>
      <c r="L79" s="12">
        <f>VLOOKUP(A79,'Données projet'!$A$35:$I$55,9,0)</f>
        <v>9.9715384615384544</v>
      </c>
      <c r="M79" s="12">
        <f t="array" ref="M79">INDEX(L:L,MIN(IF(ISNUMBER(L79:L275),ROW(L79:L275),"")))</f>
        <v>9.9715384615384544</v>
      </c>
      <c r="N79" s="13">
        <f>IF('Données projet'!$A$36&gt;35,N78+M79-V78,IF(A79&lt;'Données projet'!$A$36,$K$205^A79,IF(A79='Données projet'!$A$36,'Données projet'!$B$36,N78+M79-V78)))</f>
        <v>520.22307692307675</v>
      </c>
      <c r="O79" s="13">
        <f>N79*VLOOKUP('Données projet'!$B$9,Paramètres!$A$1:$I$89,3,0)*VLOOKUP('Données projet'!$B$9,Paramètres!$A$1:$I$89,5,0)</f>
        <v>311.09339999999992</v>
      </c>
      <c r="P79" s="13">
        <f t="shared" si="87"/>
        <v>73.497128797635312</v>
      </c>
      <c r="Q79" s="20">
        <f t="shared" si="54"/>
        <v>669.82850432254793</v>
      </c>
      <c r="R79" s="59">
        <f t="shared" si="55"/>
        <v>963.1618376558813</v>
      </c>
      <c r="S79" s="59">
        <f ca="1">AVERAGE(OFFSET($R$3,0,0,'Données projet'!$E$9+1,1))-AVERAGE(OFFSET($H$3,0,0,'Données projet'!$E$9+1,1))</f>
        <v>283.73369613548124</v>
      </c>
      <c r="T79" s="59">
        <f t="shared" si="88"/>
        <v>249.77804091581208</v>
      </c>
      <c r="U79" s="15">
        <f>IF(ISNA(VLOOKUP(A79,'Données projet'!$A$35:$I$55,3,0)),0,VLOOKUP(A79,'Données projet'!$A$35:$I$55,3,0))</f>
        <v>8</v>
      </c>
      <c r="V79" s="15">
        <f>IF(ISNA(VLOOKUP(A79,'Données projet'!$A$35:$I$55,4,0)),0,VLOOKUP(A79,'Données projet'!$A$35:$I$55,4,0))</f>
        <v>520.22307692307686</v>
      </c>
      <c r="W79" s="16">
        <f>IF(ISNA(VLOOKUP(A79,'Données projet'!$A$35:$I$55,5,0)),0%,VLOOKUP(A79,'Données projet'!$A$35:$I$55,5,0)*VLOOKUP('Données projet'!$B$9,Paramètres!$A$1:$I$89,7,0))</f>
        <v>0.315</v>
      </c>
      <c r="X79" s="16">
        <f>IF(ISNA(VLOOKUP(A79,'Données projet'!$A$35:$I$55,6,0)),0%,VLOOKUP(A79,'Données projet'!$A$35:$I$55,6,0)*VLOOKUP('Données projet'!$B$9,Paramètres!$A$1:$I$89,7,0))</f>
        <v>7.5600000000000001E-2</v>
      </c>
      <c r="Y79" s="16">
        <f>IF(ISNA(VLOOKUP(A79,'Données projet'!$A$35:$I$55,7,0)),0%,VLOOKUP(A79,'Données projet'!$A$35:$I$55,7,0))</f>
        <v>0.13200000000000001</v>
      </c>
      <c r="Z79" s="21">
        <f>EXP(-LN(2)/35)*Z78+(1-EXP(-LN(2)/35))/(LN(2)/35)*V79*W79*VLOOKUP('Données projet'!$B$9,Paramètres!$A$1:$I$89,3,0)*0.475*44/12</f>
        <v>178.3354045436154</v>
      </c>
      <c r="AA79" s="21">
        <f>EXP(-LN(2)/25)*AA78+(1-EXP(-LN(2)/25))/(LN(2)/25)*Calculateur!V79*Calculateur!X79*VLOOKUP('Données projet'!$B$9,Paramètres!$A$1:$I$89,3,0)*0.475*44/12</f>
        <v>42.404740514995794</v>
      </c>
      <c r="AB79" s="21">
        <f>EXP(-LN(2)/2)*AB78+(1-EXP(-LN(2)/2))/(LN(2)/2)*V79*Y79*VLOOKUP('Données projet'!$B$9,Paramètres!$A$1:$I$89,3,0)*0.475*44/12</f>
        <v>46.690135716440125</v>
      </c>
      <c r="AC79" s="22">
        <f t="shared" si="57"/>
        <v>267.4302807750513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12.913461538461533</v>
      </c>
      <c r="AI79" s="13">
        <f>IF('Données projet'!$A$62&gt;35,AI78+AH79-AQ78,IF(A79&lt;'Données projet'!$A$62,$AF$205^A79,IF(A79='Données projet'!$A$62,'Données projet'!$B$62,AI78+AH79-AQ78)))</f>
        <v>398.12115384615396</v>
      </c>
      <c r="AJ79" s="13">
        <f>AI79*VLOOKUP('Données projet'!$B$10,Paramètres!$A$1:$I$89,3,0)*VLOOKUP('Données projet'!$B$10,Paramètres!$A$1:$I$89,5,0)</f>
        <v>186.32070000000004</v>
      </c>
      <c r="AK79" s="13">
        <f t="shared" si="89"/>
        <v>46.725588415193215</v>
      </c>
      <c r="AL79" s="20">
        <f t="shared" si="58"/>
        <v>405.88895232312825</v>
      </c>
      <c r="AM79" s="59">
        <f t="shared" si="59"/>
        <v>699.22228565646151</v>
      </c>
      <c r="AN79" s="59">
        <f ca="1">AVERAGE(OFFSET($AM$3,0,0,'Données projet'!$E$10+1,1))-AVERAGE(OFFSET($H$3,0,0,'Données projet'!$E$10+1,1))</f>
        <v>205.73717397588365</v>
      </c>
      <c r="AO79" s="59">
        <f t="shared" si="90"/>
        <v>190.64998698136026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55.480850384903192</v>
      </c>
      <c r="AV79" s="21">
        <f>EXP(-LN(2)/25)*AV78+(1-EXP(-LN(2)/25))/(LN(2)/25)*Calculateur!AQ79*Calculateur!AS79*VLOOKUP('Données projet'!$B$10,Paramètres!$A$1:$I$89,3,0)*0.475*44/12</f>
        <v>25.119820238743092</v>
      </c>
      <c r="AW79" s="21">
        <f>EXP(-LN(2)/2)*AW78+(1-EXP(-LN(2)/2))/(LN(2)/2)*AQ79*AT79*VLOOKUP('Données projet'!$B$10,Paramètres!$A$1:$I$89,3,0)*0.475*44/12</f>
        <v>1.0549383389866855</v>
      </c>
      <c r="AX79" s="21">
        <f t="shared" si="60"/>
        <v>81.655608962632968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-5.6843418860808015E-14</v>
      </c>
      <c r="BE79" s="13">
        <f>BD79*VLOOKUP('Données projet'!$B$11,Paramètres!$A$1:$I$89,3,0)*VLOOKUP('Données projet'!$B$11,Paramètres!$A$1:$I$89,5,0)</f>
        <v>-3.1036506698001178E-14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159.92263609041913</v>
      </c>
      <c r="BJ79" s="59">
        <f t="shared" si="92"/>
        <v>271.78119133009307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33.058657290479616</v>
      </c>
      <c r="BQ79" s="21">
        <f>EXP(-LN(2)/25)*BQ78+(1-EXP(-LN(2)/25))/(LN(2)/25)*Calculateur!BL79*Calculateur!BN79*VLOOKUP('Données projet'!$B$11,Paramètres!$A$1:$I$89,3,0)*0.475*44/12</f>
        <v>55.25712057007167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88.315777860551293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7.8425925925925934</v>
      </c>
      <c r="BY79" s="12">
        <f>IF('Données projet'!$A$114&gt;35,BY78+BX79-CG78,IF(A79&lt;'Données projet'!$A$114,$BV$205^A79,IF(A79='Données projet'!$A$114,'Données projet'!$B$114,BY78+BX79-CG78)))</f>
        <v>242.64245014245034</v>
      </c>
      <c r="BZ79" s="13">
        <f>BY79*VLOOKUP('Données projet'!$B$12,Paramètres!$A$1:$I$89,3,0)*VLOOKUP('Données projet'!$B$12,Paramètres!$A$1:$I$89,5,0)</f>
        <v>219.54288888888908</v>
      </c>
      <c r="CA79" s="13">
        <f t="shared" si="93"/>
        <v>54.015522855627488</v>
      </c>
      <c r="CB79" s="20">
        <f t="shared" si="64"/>
        <v>476.44756712169959</v>
      </c>
      <c r="CC79" s="59">
        <f t="shared" si="65"/>
        <v>769.78090045503291</v>
      </c>
      <c r="CD79" s="59">
        <f ca="1">AVERAGE(OFFSET($CC$3,0,0,'Données projet'!$E$12+1,1))-AVERAGE(OFFSET($H$3,0,0,'Données projet'!$E$12+1,1))</f>
        <v>280.25710840677186</v>
      </c>
      <c r="CE79" s="59">
        <f t="shared" si="94"/>
        <v>209.65224013288037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20.600506991646569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20.600506991646569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229.00000000000003</v>
      </c>
      <c r="CU79" s="17">
        <f>CT79*VLOOKUP('Données projet'!$B$13,Paramètres!$A$1:$I$89,3,0)*VLOOKUP('Données projet'!$B$13,Paramètres!$A$1:$I$89,5,0)</f>
        <v>239.35080000000005</v>
      </c>
      <c r="CV79" s="13">
        <f t="shared" si="95"/>
        <v>58.299829927807131</v>
      </c>
      <c r="CW79" s="20">
        <f t="shared" si="67"/>
        <v>518.4081804575975</v>
      </c>
      <c r="CX79" s="59">
        <f t="shared" si="68"/>
        <v>811.74151379093087</v>
      </c>
      <c r="CY79" s="59">
        <f ca="1">AVERAGE(OFFSET($CX$3,0,0,'Données projet'!$E$13+1,1))-AVERAGE(OFFSET($H$3,0,0,'Données projet'!$E$13+1,1))</f>
        <v>330.14201227773452</v>
      </c>
      <c r="CZ79" s="59">
        <f t="shared" si="96"/>
        <v>307.07297894926467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25.104905761041596</v>
      </c>
      <c r="DG79" s="21">
        <f>EXP(-LN(2)/25)*DG78+(1-EXP(-LN(2)/25))/(LN(2)/25)*Calculateur!DB79*Calculateur!DD79*VLOOKUP('Données projet'!$B$13,Paramètres!$A$1:$I$89,3,0)*0.475*44/12</f>
        <v>22.552431784913885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47.657337545955485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283.73369613548124</v>
      </c>
      <c r="T80" s="59">
        <f t="shared" si="88"/>
        <v>249.77804091581208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174.83835603437134</v>
      </c>
      <c r="AA80" s="21">
        <f>EXP(-LN(2)/25)*AA79+(1-EXP(-LN(2)/25))/(LN(2)/25)*Calculateur!V80*Calculateur!X80*VLOOKUP('Données projet'!$B$9,Paramètres!$A$1:$I$89,3,0)*0.475*44/12</f>
        <v>41.245180655644845</v>
      </c>
      <c r="AB80" s="21">
        <f>EXP(-LN(2)/2)*AB79+(1-EXP(-LN(2)/2))/(LN(2)/2)*V80*Y80*VLOOKUP('Données projet'!$B$9,Paramètres!$A$1:$I$89,3,0)*0.475*44/12</f>
        <v>33.014911579615038</v>
      </c>
      <c r="AC80" s="22">
        <f t="shared" si="57"/>
        <v>249.09844826963123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12.913461538461533</v>
      </c>
      <c r="AI80" s="13">
        <f>IF('Données projet'!$A$62&gt;35,AI79+AH80-AQ79,IF(A80&lt;'Données projet'!$A$62,$AF$205^A80,IF(A80='Données projet'!$A$62,'Données projet'!$B$62,AI79+AH80-AQ79)))</f>
        <v>411.03461538461551</v>
      </c>
      <c r="AJ80" s="13">
        <f>AI80*VLOOKUP('Données projet'!$B$10,Paramètres!$A$1:$I$89,3,0)*VLOOKUP('Données projet'!$B$10,Paramètres!$A$1:$I$89,5,0)</f>
        <v>192.36420000000004</v>
      </c>
      <c r="AK80" s="13">
        <f t="shared" si="89"/>
        <v>48.062267116572606</v>
      </c>
      <c r="AL80" s="20">
        <f t="shared" si="58"/>
        <v>418.74276356136397</v>
      </c>
      <c r="AM80" s="59">
        <f t="shared" si="59"/>
        <v>712.07609689469723</v>
      </c>
      <c r="AN80" s="59">
        <f ca="1">AVERAGE(OFFSET($AM$3,0,0,'Données projet'!$E$10+1,1))-AVERAGE(OFFSET($H$3,0,0,'Données projet'!$E$10+1,1))</f>
        <v>205.73717397588365</v>
      </c>
      <c r="AO80" s="59">
        <f t="shared" si="90"/>
        <v>190.64998698136026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54.392904748832557</v>
      </c>
      <c r="AV80" s="21">
        <f>EXP(-LN(2)/25)*AV79+(1-EXP(-LN(2)/25))/(LN(2)/25)*Calculateur!AQ80*Calculateur!AS80*VLOOKUP('Données projet'!$B$10,Paramètres!$A$1:$I$89,3,0)*0.475*44/12</f>
        <v>24.432917433320728</v>
      </c>
      <c r="AW80" s="21">
        <f>EXP(-LN(2)/2)*AW79+(1-EXP(-LN(2)/2))/(LN(2)/2)*AQ80*AT80*VLOOKUP('Données projet'!$B$10,Paramètres!$A$1:$I$89,3,0)*0.475*44/12</f>
        <v>0.74595405323115815</v>
      </c>
      <c r="AX80" s="21">
        <f t="shared" si="60"/>
        <v>79.571776235384448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-5.6843418860808015E-14</v>
      </c>
      <c r="BE80" s="13">
        <f>BD80*VLOOKUP('Données projet'!$B$11,Paramètres!$A$1:$I$89,3,0)*VLOOKUP('Données projet'!$B$11,Paramètres!$A$1:$I$89,5,0)</f>
        <v>-3.1036506698001178E-14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159.92263609041913</v>
      </c>
      <c r="BJ80" s="59">
        <f t="shared" si="92"/>
        <v>271.78119133009307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32.410397184803251</v>
      </c>
      <c r="BQ80" s="21">
        <f>EXP(-LN(2)/25)*BQ79+(1-EXP(-LN(2)/25))/(LN(2)/25)*Calculateur!BL80*Calculateur!BN80*VLOOKUP('Données projet'!$B$11,Paramètres!$A$1:$I$89,3,0)*0.475*44/12</f>
        <v>53.746111702237378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86.15650888704063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7.8425925925925934</v>
      </c>
      <c r="BY80" s="12">
        <f>IF('Données projet'!$A$114&gt;35,BY79+BX80-CG79,IF(A80&lt;'Données projet'!$A$114,$BV$205^A80,IF(A80='Données projet'!$A$114,'Données projet'!$B$114,BY79+BX80-CG79)))</f>
        <v>250.48504273504292</v>
      </c>
      <c r="BZ80" s="13">
        <f>BY80*VLOOKUP('Données projet'!$B$12,Paramètres!$A$1:$I$89,3,0)*VLOOKUP('Données projet'!$B$12,Paramètres!$A$1:$I$89,5,0)</f>
        <v>226.63886666666684</v>
      </c>
      <c r="CA80" s="13">
        <f t="shared" si="93"/>
        <v>55.555304418491261</v>
      </c>
      <c r="CB80" s="20">
        <f t="shared" si="64"/>
        <v>491.4881813066504</v>
      </c>
      <c r="CC80" s="59">
        <f t="shared" si="65"/>
        <v>784.82151463998366</v>
      </c>
      <c r="CD80" s="59">
        <f ca="1">AVERAGE(OFFSET($CC$3,0,0,'Données projet'!$E$12+1,1))-AVERAGE(OFFSET($H$3,0,0,'Données projet'!$E$12+1,1))</f>
        <v>280.25710840677186</v>
      </c>
      <c r="CE80" s="59">
        <f t="shared" si="94"/>
        <v>209.65224013288037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20.196543614608945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20.196543614608945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233.00000000000003</v>
      </c>
      <c r="CU80" s="17">
        <f>CT80*VLOOKUP('Données projet'!$B$13,Paramètres!$A$1:$I$89,3,0)*VLOOKUP('Données projet'!$B$13,Paramètres!$A$1:$I$89,5,0)</f>
        <v>243.53160000000008</v>
      </c>
      <c r="CV80" s="13">
        <f t="shared" si="95"/>
        <v>59.198724224270414</v>
      </c>
      <c r="CW80" s="20">
        <f t="shared" si="67"/>
        <v>527.25531469060445</v>
      </c>
      <c r="CX80" s="59">
        <f t="shared" si="68"/>
        <v>820.58864802393782</v>
      </c>
      <c r="CY80" s="59">
        <f ca="1">AVERAGE(OFFSET($CX$3,0,0,'Données projet'!$E$13+1,1))-AVERAGE(OFFSET($H$3,0,0,'Données projet'!$E$13+1,1))</f>
        <v>330.14201227773452</v>
      </c>
      <c r="CZ80" s="59">
        <f t="shared" si="96"/>
        <v>307.07297894926467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24.612613871548103</v>
      </c>
      <c r="DG80" s="21">
        <f>EXP(-LN(2)/25)*DG79+(1-EXP(-LN(2)/25))/(LN(2)/25)*Calculateur!DB80*Calculateur!DD80*VLOOKUP('Données projet'!$B$13,Paramètres!$A$1:$I$89,3,0)*0.475*44/12</f>
        <v>21.93573435177457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46.548348223322677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283.73369613548124</v>
      </c>
      <c r="T81" s="59">
        <f t="shared" si="88"/>
        <v>249.77804091581208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171.4098825134046</v>
      </c>
      <c r="AA81" s="21">
        <f>EXP(-LN(2)/25)*AA80+(1-EXP(-LN(2)/25))/(LN(2)/25)*Calculateur!V81*Calculateur!X81*VLOOKUP('Données projet'!$B$9,Paramètres!$A$1:$I$89,3,0)*0.475*44/12</f>
        <v>40.117329021626453</v>
      </c>
      <c r="AB81" s="21">
        <f>EXP(-LN(2)/2)*AB80+(1-EXP(-LN(2)/2))/(LN(2)/2)*V81*Y81*VLOOKUP('Données projet'!$B$9,Paramètres!$A$1:$I$89,3,0)*0.475*44/12</f>
        <v>23.345067858220066</v>
      </c>
      <c r="AC81" s="22">
        <f t="shared" si="57"/>
        <v>234.87227939325112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12.913461538461533</v>
      </c>
      <c r="AI81" s="13">
        <f>IF('Données projet'!$A$62&gt;35,AI80+AH81-AQ80,IF(A81&lt;'Données projet'!$A$62,$AF$205^A81,IF(A81='Données projet'!$A$62,'Données projet'!$B$62,AI80+AH81-AQ80)))</f>
        <v>423.94807692307705</v>
      </c>
      <c r="AJ81" s="13">
        <f>AI81*VLOOKUP('Données projet'!$B$10,Paramètres!$A$1:$I$89,3,0)*VLOOKUP('Données projet'!$B$10,Paramètres!$A$1:$I$89,5,0)</f>
        <v>198.40770000000006</v>
      </c>
      <c r="AK81" s="13">
        <f t="shared" si="89"/>
        <v>49.394065749424826</v>
      </c>
      <c r="AL81" s="20">
        <f t="shared" si="58"/>
        <v>431.58807534691499</v>
      </c>
      <c r="AM81" s="59">
        <f t="shared" si="59"/>
        <v>724.92140868024831</v>
      </c>
      <c r="AN81" s="59">
        <f ca="1">AVERAGE(OFFSET($AM$3,0,0,'Données projet'!$E$10+1,1))-AVERAGE(OFFSET($H$3,0,0,'Données projet'!$E$10+1,1))</f>
        <v>205.73717397588365</v>
      </c>
      <c r="AO81" s="59">
        <f t="shared" si="90"/>
        <v>190.64998698136026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53.326293063103947</v>
      </c>
      <c r="AV81" s="21">
        <f>EXP(-LN(2)/25)*AV80+(1-EXP(-LN(2)/25))/(LN(2)/25)*Calculateur!AQ81*Calculateur!AS81*VLOOKUP('Données projet'!$B$10,Paramètres!$A$1:$I$89,3,0)*0.475*44/12</f>
        <v>23.764798021235286</v>
      </c>
      <c r="AW81" s="21">
        <f>EXP(-LN(2)/2)*AW80+(1-EXP(-LN(2)/2))/(LN(2)/2)*AQ81*AT81*VLOOKUP('Données projet'!$B$10,Paramètres!$A$1:$I$89,3,0)*0.475*44/12</f>
        <v>0.52746916949334277</v>
      </c>
      <c r="AX81" s="21">
        <f t="shared" si="60"/>
        <v>77.618560253832584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-5.6843418860808015E-14</v>
      </c>
      <c r="BE81" s="13">
        <f>BD81*VLOOKUP('Données projet'!$B$11,Paramètres!$A$1:$I$89,3,0)*VLOOKUP('Données projet'!$B$11,Paramètres!$A$1:$I$89,5,0)</f>
        <v>-3.1036506698001178E-14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159.92263609041913</v>
      </c>
      <c r="BJ81" s="59">
        <f t="shared" si="92"/>
        <v>271.78119133009307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31.774849064399575</v>
      </c>
      <c r="BQ81" s="21">
        <f>EXP(-LN(2)/25)*BQ80+(1-EXP(-LN(2)/25))/(LN(2)/25)*Calculateur!BL81*Calculateur!BN81*VLOOKUP('Données projet'!$B$11,Paramètres!$A$1:$I$89,3,0)*0.475*44/12</f>
        <v>52.276421451354523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84.051270515754098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7.8425925925925934</v>
      </c>
      <c r="BY81" s="12">
        <f>IF('Données projet'!$A$114&gt;35,BY80+BX81-CG80,IF(A81&lt;'Données projet'!$A$114,$BV$205^A81,IF(A81='Données projet'!$A$114,'Données projet'!$B$114,BY80+BX81-CG80)))</f>
        <v>258.32763532763551</v>
      </c>
      <c r="BZ81" s="13">
        <f>BY81*VLOOKUP('Données projet'!$B$12,Paramètres!$A$1:$I$89,3,0)*VLOOKUP('Données projet'!$B$12,Paramètres!$A$1:$I$89,5,0)</f>
        <v>233.7348444444446</v>
      </c>
      <c r="CA81" s="13">
        <f t="shared" si="93"/>
        <v>57.089483585580787</v>
      </c>
      <c r="CB81" s="20">
        <f t="shared" si="64"/>
        <v>506.51903798562756</v>
      </c>
      <c r="CC81" s="59">
        <f t="shared" si="65"/>
        <v>799.85237131896088</v>
      </c>
      <c r="CD81" s="59">
        <f ca="1">AVERAGE(OFFSET($CC$3,0,0,'Données projet'!$E$12+1,1))-AVERAGE(OFFSET($H$3,0,0,'Données projet'!$E$12+1,1))</f>
        <v>280.25710840677186</v>
      </c>
      <c r="CE81" s="59">
        <f t="shared" si="94"/>
        <v>209.65224013288037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19.800501713001701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19.800501713001701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237.00000000000003</v>
      </c>
      <c r="CU81" s="17">
        <f>CT81*VLOOKUP('Données projet'!$B$13,Paramètres!$A$1:$I$89,3,0)*VLOOKUP('Données projet'!$B$13,Paramètres!$A$1:$I$89,5,0)</f>
        <v>247.71240000000003</v>
      </c>
      <c r="CV81" s="13">
        <f t="shared" si="95"/>
        <v>60.095823975624157</v>
      </c>
      <c r="CW81" s="20">
        <f t="shared" si="67"/>
        <v>536.099323424212</v>
      </c>
      <c r="CX81" s="59">
        <f t="shared" si="68"/>
        <v>829.43265675754537</v>
      </c>
      <c r="CY81" s="59">
        <f ca="1">AVERAGE(OFFSET($CX$3,0,0,'Données projet'!$E$13+1,1))-AVERAGE(OFFSET($H$3,0,0,'Données projet'!$E$13+1,1))</f>
        <v>330.14201227773452</v>
      </c>
      <c r="CZ81" s="59">
        <f t="shared" si="96"/>
        <v>307.07297894926467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24.129975525739173</v>
      </c>
      <c r="DG81" s="21">
        <f>EXP(-LN(2)/25)*DG80+(1-EXP(-LN(2)/25))/(LN(2)/25)*Calculateur!DB81*Calculateur!DD81*VLOOKUP('Données projet'!$B$13,Paramètres!$A$1:$I$89,3,0)*0.475*44/12</f>
        <v>21.33590054237516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45.465876068114333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283.73369613548124</v>
      </c>
      <c r="T82" s="59">
        <f t="shared" si="88"/>
        <v>249.77804091581208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168.04863926702163</v>
      </c>
      <c r="AA82" s="21">
        <f>EXP(-LN(2)/25)*AA81+(1-EXP(-LN(2)/25))/(LN(2)/25)*Calculateur!V82*Calculateur!X82*VLOOKUP('Données projet'!$B$9,Paramètres!$A$1:$I$89,3,0)*0.475*44/12</f>
        <v>39.020318549851432</v>
      </c>
      <c r="AB82" s="21">
        <f>EXP(-LN(2)/2)*AB81+(1-EXP(-LN(2)/2))/(LN(2)/2)*V82*Y82*VLOOKUP('Données projet'!$B$9,Paramètres!$A$1:$I$89,3,0)*0.475*44/12</f>
        <v>16.507455789807523</v>
      </c>
      <c r="AC82" s="22">
        <f t="shared" si="57"/>
        <v>223.57641360668057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436.86153846153843</v>
      </c>
      <c r="AG82" s="12">
        <f>VLOOKUP(A82,'Données projet'!$A$61:$I$81,9,0)</f>
        <v>12.913461538461533</v>
      </c>
      <c r="AH82" s="12">
        <f t="array" ref="AH82">INDEX(AG:AG,MIN(IF(ISNUMBER(AG82:AG278),ROW(AG82:AG278),"")))</f>
        <v>12.913461538461533</v>
      </c>
      <c r="AI82" s="13">
        <f>IF('Données projet'!$A$62&gt;35,AI81+AH82-AQ81,IF(A82&lt;'Données projet'!$A$62,$AF$205^A82,IF(A82='Données projet'!$A$62,'Données projet'!$B$62,AI81+AH82-AQ81)))</f>
        <v>436.8615384615386</v>
      </c>
      <c r="AJ82" s="13">
        <f>AI82*VLOOKUP('Données projet'!$B$10,Paramètres!$A$1:$I$89,3,0)*VLOOKUP('Données projet'!$B$10,Paramètres!$A$1:$I$89,5,0)</f>
        <v>204.45120000000009</v>
      </c>
      <c r="AK82" s="13">
        <f t="shared" si="89"/>
        <v>50.721150021305952</v>
      </c>
      <c r="AL82" s="20">
        <f t="shared" si="58"/>
        <v>444.42517628710794</v>
      </c>
      <c r="AM82" s="59">
        <f t="shared" si="59"/>
        <v>737.75850962044126</v>
      </c>
      <c r="AN82" s="59">
        <f ca="1">AVERAGE(OFFSET($AM$3,0,0,'Données projet'!$E$10+1,1))-AVERAGE(OFFSET($H$3,0,0,'Données projet'!$E$10+1,1))</f>
        <v>205.73717397588365</v>
      </c>
      <c r="AO82" s="59">
        <f t="shared" si="90"/>
        <v>190.64998698136026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77.338461538461544</v>
      </c>
      <c r="AR82" s="16">
        <f>IF(ISNA(VLOOKUP(A82,'Données projet'!$A$61:$I$81,5,0)),0%,VLOOKUP(A82,'Données projet'!$A$61:$I$81,5,0)*VLOOKUP('Données projet'!$B$10,Paramètres!$A$1:$I$89,7,0))</f>
        <v>0.38500000000000001</v>
      </c>
      <c r="AS82" s="16">
        <f>IF(ISNA(VLOOKUP(A82,'Données projet'!$A$61:$I$81,6,0)),0%,VLOOKUP(A82,'Données projet'!$A$61:$I$81,6,0)*VLOOKUP('Données projet'!$B$10,Paramètres!$A$1:$I$89,7,0))</f>
        <v>9.240000000000001E-2</v>
      </c>
      <c r="AT82" s="16">
        <f>IF(ISNA(VLOOKUP(A82,'Données projet'!$A$61:$I$81,7,0)),0%,VLOOKUP(A82,'Données projet'!$A$61:$I$81,7,0))</f>
        <v>0.13200000000000001</v>
      </c>
      <c r="AU82" s="21">
        <f>EXP(-LN(2)/35)*AU81+(1-EXP(-LN(2)/35))/(LN(2)/35)*AQ82*AR82*VLOOKUP('Données projet'!$B$10,Paramètres!$A$1:$I$89,3,0)*0.475*44/12</f>
        <v>70.766065724458542</v>
      </c>
      <c r="AV82" s="21">
        <f>EXP(-LN(2)/25)*AV81+(1-EXP(-LN(2)/25))/(LN(2)/25)*Calculateur!AQ82*Calculateur!AS82*VLOOKUP('Données projet'!$B$10,Paramètres!$A$1:$I$89,3,0)*0.475*44/12</f>
        <v>27.533992627657781</v>
      </c>
      <c r="AW82" s="21">
        <f>EXP(-LN(2)/2)*AW81+(1-EXP(-LN(2)/2))/(LN(2)/2)*AQ82*AT82*VLOOKUP('Données projet'!$B$10,Paramètres!$A$1:$I$89,3,0)*0.475*44/12</f>
        <v>5.7823988910017112</v>
      </c>
      <c r="AX82" s="21">
        <f t="shared" si="60"/>
        <v>104.08245724311803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-5.6843418860808015E-14</v>
      </c>
      <c r="BE82" s="13">
        <f>BD82*VLOOKUP('Données projet'!$B$11,Paramètres!$A$1:$I$89,3,0)*VLOOKUP('Données projet'!$B$11,Paramètres!$A$1:$I$89,5,0)</f>
        <v>-3.1036506698001178E-14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159.92263609041913</v>
      </c>
      <c r="BJ82" s="59">
        <f t="shared" si="92"/>
        <v>271.78119133009307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31.15176365499094</v>
      </c>
      <c r="BQ82" s="21">
        <f>EXP(-LN(2)/25)*BQ81+(1-EXP(-LN(2)/25))/(LN(2)/25)*Calculateur!BL82*Calculateur!BN82*VLOOKUP('Données projet'!$B$11,Paramètres!$A$1:$I$89,3,0)*0.475*44/12</f>
        <v>50.846919957669705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81.998683612660642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7.8425925925925934</v>
      </c>
      <c r="BY82" s="12">
        <f>IF('Données projet'!$A$114&gt;35,BY81+BX82-CG81,IF(A82&lt;'Données projet'!$A$114,$BV$205^A82,IF(A82='Données projet'!$A$114,'Données projet'!$B$114,BY81+BX82-CG81)))</f>
        <v>266.17022792022811</v>
      </c>
      <c r="BZ82" s="13">
        <f>BY82*VLOOKUP('Données projet'!$B$12,Paramètres!$A$1:$I$89,3,0)*VLOOKUP('Données projet'!$B$12,Paramètres!$A$1:$I$89,5,0)</f>
        <v>240.83082222222239</v>
      </c>
      <c r="CA82" s="13">
        <f t="shared" si="93"/>
        <v>58.618249962252264</v>
      </c>
      <c r="CB82" s="20">
        <f t="shared" si="64"/>
        <v>521.54046738795989</v>
      </c>
      <c r="CC82" s="59">
        <f t="shared" si="65"/>
        <v>814.87380072129326</v>
      </c>
      <c r="CD82" s="59">
        <f ca="1">AVERAGE(OFFSET($CC$3,0,0,'Données projet'!$E$12+1,1))-AVERAGE(OFFSET($H$3,0,0,'Données projet'!$E$12+1,1))</f>
        <v>280.25710840677186</v>
      </c>
      <c r="CE82" s="59">
        <f t="shared" si="94"/>
        <v>209.65224013288037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19.412225951523265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19.412225951523265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241.00000000000003</v>
      </c>
      <c r="CU82" s="17">
        <f>CT82*VLOOKUP('Données projet'!$B$13,Paramètres!$A$1:$I$89,3,0)*VLOOKUP('Données projet'!$B$13,Paramètres!$A$1:$I$89,5,0)</f>
        <v>251.89320000000006</v>
      </c>
      <c r="CV82" s="13">
        <f t="shared" si="95"/>
        <v>60.991162965075887</v>
      </c>
      <c r="CW82" s="20">
        <f t="shared" si="67"/>
        <v>544.94026549750731</v>
      </c>
      <c r="CX82" s="59">
        <f t="shared" si="68"/>
        <v>838.27359883084068</v>
      </c>
      <c r="CY82" s="59">
        <f ca="1">AVERAGE(OFFSET($CX$3,0,0,'Données projet'!$E$13+1,1))-AVERAGE(OFFSET($H$3,0,0,'Données projet'!$E$13+1,1))</f>
        <v>330.14201227773452</v>
      </c>
      <c r="CZ82" s="59">
        <f t="shared" si="96"/>
        <v>307.07297894926467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23.656801423511233</v>
      </c>
      <c r="DG82" s="21">
        <f>EXP(-LN(2)/25)*DG81+(1-EXP(-LN(2)/25))/(LN(2)/25)*Calculateur!DB82*Calculateur!DD82*VLOOKUP('Données projet'!$B$13,Paramètres!$A$1:$I$89,3,0)*0.475*44/12</f>
        <v>20.752469220037668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44.409270643548901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283.73369613548124</v>
      </c>
      <c r="T83" s="59">
        <f t="shared" si="88"/>
        <v>249.77804091581208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164.7533079505443</v>
      </c>
      <c r="AA83" s="21">
        <f>EXP(-LN(2)/25)*AA82+(1-EXP(-LN(2)/25))/(LN(2)/25)*Calculateur!V83*Calculateur!X83*VLOOKUP('Données projet'!$B$9,Paramètres!$A$1:$I$89,3,0)*0.475*44/12</f>
        <v>37.953305887116372</v>
      </c>
      <c r="AB83" s="21">
        <f>EXP(-LN(2)/2)*AB82+(1-EXP(-LN(2)/2))/(LN(2)/2)*V83*Y83*VLOOKUP('Données projet'!$B$9,Paramètres!$A$1:$I$89,3,0)*0.475*44/12</f>
        <v>11.672533929110037</v>
      </c>
      <c r="AC83" s="22">
        <f t="shared" si="57"/>
        <v>214.3791477667707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12.124038461538468</v>
      </c>
      <c r="AI83" s="13">
        <f>IF('Données projet'!$A$62&gt;35,AI82+AH83-AQ82,IF(A83&lt;'Données projet'!$A$62,$AF$205^A83,IF(A83='Données projet'!$A$62,'Données projet'!$B$62,AI82+AH83-AQ82)))</f>
        <v>371.64711538461552</v>
      </c>
      <c r="AJ83" s="13">
        <f>AI83*VLOOKUP('Données projet'!$B$10,Paramètres!$A$1:$I$89,3,0)*VLOOKUP('Données projet'!$B$10,Paramètres!$A$1:$I$89,5,0)</f>
        <v>173.93085000000008</v>
      </c>
      <c r="AK83" s="13">
        <f t="shared" si="89"/>
        <v>43.969228534222836</v>
      </c>
      <c r="AL83" s="20">
        <f t="shared" si="58"/>
        <v>379.50930344710491</v>
      </c>
      <c r="AM83" s="59">
        <f t="shared" si="59"/>
        <v>672.84263678043817</v>
      </c>
      <c r="AN83" s="59">
        <f ca="1">AVERAGE(OFFSET($AM$3,0,0,'Données projet'!$E$10+1,1))-AVERAGE(OFFSET($H$3,0,0,'Données projet'!$E$10+1,1))</f>
        <v>205.73717397588365</v>
      </c>
      <c r="AO83" s="59">
        <f t="shared" si="90"/>
        <v>190.64998698136026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69.378386338640013</v>
      </c>
      <c r="AV83" s="21">
        <f>EXP(-LN(2)/25)*AV82+(1-EXP(-LN(2)/25))/(LN(2)/25)*Calculateur!AQ83*Calculateur!AS83*VLOOKUP('Données projet'!$B$10,Paramètres!$A$1:$I$89,3,0)*0.475*44/12</f>
        <v>26.781074151304736</v>
      </c>
      <c r="AW83" s="21">
        <f>EXP(-LN(2)/2)*AW82+(1-EXP(-LN(2)/2))/(LN(2)/2)*AQ83*AT83*VLOOKUP('Données projet'!$B$10,Paramètres!$A$1:$I$89,3,0)*0.475*44/12</f>
        <v>4.0887734673528824</v>
      </c>
      <c r="AX83" s="21">
        <f t="shared" si="60"/>
        <v>100.24823395729763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-5.6843418860808015E-14</v>
      </c>
      <c r="BE83" s="13">
        <f>BD83*VLOOKUP('Données projet'!$B$11,Paramètres!$A$1:$I$89,3,0)*VLOOKUP('Données projet'!$B$11,Paramètres!$A$1:$I$89,5,0)</f>
        <v>-3.1036506698001178E-14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159.92263609041913</v>
      </c>
      <c r="BJ83" s="59">
        <f t="shared" si="92"/>
        <v>271.78119133009307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30.540896570416233</v>
      </c>
      <c r="BQ83" s="21">
        <f>EXP(-LN(2)/25)*BQ82+(1-EXP(-LN(2)/25))/(LN(2)/25)*Calculateur!BL83*Calculateur!BN83*VLOOKUP('Données projet'!$B$11,Paramètres!$A$1:$I$89,3,0)*0.475*44/12</f>
        <v>49.45650825750392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79.99740482792015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274.01282051282055</v>
      </c>
      <c r="BW83" s="12">
        <f>VLOOKUP(A83,'Données projet'!$A$113:$I$133,9,0)</f>
        <v>7.8425925925925934</v>
      </c>
      <c r="BX83" s="12">
        <f t="array" ref="BX83">INDEX(BW:BW,MIN(IF(ISNUMBER(BW83:BW279),ROW(BW83:BW279),"")))</f>
        <v>7.8425925925925934</v>
      </c>
      <c r="BY83" s="12">
        <f>IF('Données projet'!$A$114&gt;35,BY82+BX83-CG82,IF(A83&lt;'Données projet'!$A$114,$BV$205^A83,IF(A83='Données projet'!$A$114,'Données projet'!$B$114,BY82+BX83-CG82)))</f>
        <v>274.01282051282072</v>
      </c>
      <c r="BZ83" s="13">
        <f>BY83*VLOOKUP('Données projet'!$B$12,Paramètres!$A$1:$I$89,3,0)*VLOOKUP('Données projet'!$B$12,Paramètres!$A$1:$I$89,5,0)</f>
        <v>247.92680000000016</v>
      </c>
      <c r="CA83" s="13">
        <f t="shared" si="93"/>
        <v>60.141781345371967</v>
      </c>
      <c r="CB83" s="20">
        <f t="shared" si="64"/>
        <v>536.55277917652313</v>
      </c>
      <c r="CC83" s="59">
        <f t="shared" si="65"/>
        <v>829.8861125098565</v>
      </c>
      <c r="CD83" s="59">
        <f ca="1">AVERAGE(OFFSET($CC$3,0,0,'Données projet'!$E$12+1,1))-AVERAGE(OFFSET($H$3,0,0,'Données projet'!$E$12+1,1))</f>
        <v>280.25710840677186</v>
      </c>
      <c r="CE83" s="59">
        <f t="shared" si="94"/>
        <v>209.65224013288037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45.608974358974358</v>
      </c>
      <c r="CH83" s="16">
        <f>IF(ISNA(VLOOKUP(A83,'Données projet'!$A$113:$I$133,5,0)),0%,VLOOKUP(A83,'Données projet'!$A$113:$I$133,5,0)*VLOOKUP('Données projet'!$B$12,Paramètres!$A$1:$I$89,7,0))</f>
        <v>0.30099999999999999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32.763017332710646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32.763017332710646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245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245.00000000000003</v>
      </c>
      <c r="CU83" s="17">
        <f>CT83*VLOOKUP('Données projet'!$B$13,Paramètres!$A$1:$I$89,3,0)*VLOOKUP('Données projet'!$B$13,Paramètres!$A$1:$I$89,5,0)</f>
        <v>256.07400000000007</v>
      </c>
      <c r="CV83" s="13">
        <f t="shared" si="95"/>
        <v>61.884773790113961</v>
      </c>
      <c r="CW83" s="20">
        <f t="shared" si="67"/>
        <v>553.77819768444851</v>
      </c>
      <c r="CX83" s="59">
        <f t="shared" si="68"/>
        <v>847.11153101778177</v>
      </c>
      <c r="CY83" s="59">
        <f ca="1">AVERAGE(OFFSET($CX$3,0,0,'Données projet'!$E$13+1,1))-AVERAGE(OFFSET($H$3,0,0,'Données projet'!$E$13+1,1))</f>
        <v>330.14201227773452</v>
      </c>
      <c r="CZ83" s="59">
        <f t="shared" si="96"/>
        <v>307.07297894926467</v>
      </c>
      <c r="DA83" s="15">
        <f>IF(ISNA(VLOOKUP(A83,'Données projet'!$A$139:$I$159,3,0)),0,VLOOKUP(A83,'Données projet'!$A$139:$I$159,3,0))</f>
        <v>13</v>
      </c>
      <c r="DB83" s="15" t="str">
        <f>IF(ISNA(VLOOKUP(A83,'Données projet'!$A$139:$I$159,4,0)),0,VLOOKUP(A83,'Données projet'!$A$139:$I$159,4,0))</f>
        <v>15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0.129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27.664449646282215</v>
      </c>
      <c r="DG83" s="21">
        <f>EXP(-LN(2)/25)*DG82+(1-EXP(-LN(2)/25))/(LN(2)/25)*Calculateur!DB83*Calculateur!DD83*VLOOKUP('Données projet'!$B$13,Paramètres!$A$1:$I$89,3,0)*0.475*44/12</f>
        <v>22.411960607012588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50.076410253294803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283.73369613548124</v>
      </c>
      <c r="T84" s="59">
        <f t="shared" si="88"/>
        <v>249.77804091581208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161.52259607122946</v>
      </c>
      <c r="AA84" s="21">
        <f>EXP(-LN(2)/25)*AA83+(1-EXP(-LN(2)/25))/(LN(2)/25)*Calculateur!V84*Calculateur!X84*VLOOKUP('Données projet'!$B$9,Paramètres!$A$1:$I$89,3,0)*0.475*44/12</f>
        <v>36.915470741755563</v>
      </c>
      <c r="AB84" s="21">
        <f>EXP(-LN(2)/2)*AB83+(1-EXP(-LN(2)/2))/(LN(2)/2)*V84*Y84*VLOOKUP('Données projet'!$B$9,Paramètres!$A$1:$I$89,3,0)*0.475*44/12</f>
        <v>8.2537278949037631</v>
      </c>
      <c r="AC84" s="22">
        <f t="shared" si="57"/>
        <v>206.69179470788879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12.124038461538468</v>
      </c>
      <c r="AI84" s="13">
        <f>IF('Données projet'!$A$62&gt;35,AI83+AH84-AQ83,IF(A84&lt;'Données projet'!$A$62,$AF$205^A84,IF(A84='Données projet'!$A$62,'Données projet'!$B$62,AI83+AH84-AQ83)))</f>
        <v>383.77115384615399</v>
      </c>
      <c r="AJ84" s="13">
        <f>AI84*VLOOKUP('Données projet'!$B$10,Paramètres!$A$1:$I$89,3,0)*VLOOKUP('Données projet'!$B$10,Paramètres!$A$1:$I$89,5,0)</f>
        <v>179.60490000000007</v>
      </c>
      <c r="AK84" s="13">
        <f t="shared" si="89"/>
        <v>45.234272457213635</v>
      </c>
      <c r="AL84" s="20">
        <f t="shared" si="58"/>
        <v>391.59489202964716</v>
      </c>
      <c r="AM84" s="59">
        <f t="shared" si="59"/>
        <v>684.92822536298047</v>
      </c>
      <c r="AN84" s="59">
        <f ca="1">AVERAGE(OFFSET($AM$3,0,0,'Données projet'!$E$10+1,1))-AVERAGE(OFFSET($H$3,0,0,'Données projet'!$E$10+1,1))</f>
        <v>205.73717397588365</v>
      </c>
      <c r="AO84" s="59">
        <f t="shared" si="90"/>
        <v>190.64998698136026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68.017918499176531</v>
      </c>
      <c r="AV84" s="21">
        <f>EXP(-LN(2)/25)*AV83+(1-EXP(-LN(2)/25))/(LN(2)/25)*Calculateur!AQ84*Calculateur!AS84*VLOOKUP('Données projet'!$B$10,Paramètres!$A$1:$I$89,3,0)*0.475*44/12</f>
        <v>26.048744270281826</v>
      </c>
      <c r="AW84" s="21">
        <f>EXP(-LN(2)/2)*AW83+(1-EXP(-LN(2)/2))/(LN(2)/2)*AQ84*AT84*VLOOKUP('Données projet'!$B$10,Paramètres!$A$1:$I$89,3,0)*0.475*44/12</f>
        <v>2.8911994455008561</v>
      </c>
      <c r="AX84" s="21">
        <f t="shared" si="60"/>
        <v>96.957862214959221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-5.6843418860808015E-14</v>
      </c>
      <c r="BE84" s="13">
        <f>BD84*VLOOKUP('Données projet'!$B$11,Paramètres!$A$1:$I$89,3,0)*VLOOKUP('Données projet'!$B$11,Paramètres!$A$1:$I$89,5,0)</f>
        <v>-3.1036506698001178E-14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159.92263609041913</v>
      </c>
      <c r="BJ84" s="59">
        <f t="shared" si="92"/>
        <v>271.78119133009307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29.942008216777907</v>
      </c>
      <c r="BQ84" s="21">
        <f>EXP(-LN(2)/25)*BQ83+(1-EXP(-LN(2)/25))/(LN(2)/25)*Calculateur!BL84*Calculateur!BN84*VLOOKUP('Données projet'!$B$11,Paramètres!$A$1:$I$89,3,0)*0.475*44/12</f>
        <v>48.104117438397743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78.046125655175643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7.4950142450142421</v>
      </c>
      <c r="BY84" s="12">
        <f>IF('Données projet'!$A$114&gt;35,BY83+BX84-CG83,IF(A84&lt;'Données projet'!$A$114,$BV$205^A84,IF(A84='Données projet'!$A$114,'Données projet'!$B$114,BY83+BX84-CG83)))</f>
        <v>235.89886039886062</v>
      </c>
      <c r="BZ84" s="13">
        <f>BY84*VLOOKUP('Données projet'!$B$12,Paramètres!$A$1:$I$89,3,0)*VLOOKUP('Données projet'!$B$12,Paramètres!$A$1:$I$89,5,0)</f>
        <v>213.44128888888909</v>
      </c>
      <c r="CA84" s="13">
        <f t="shared" si="93"/>
        <v>52.686881026481977</v>
      </c>
      <c r="CB84" s="20">
        <f t="shared" si="64"/>
        <v>463.50656260260456</v>
      </c>
      <c r="CC84" s="59">
        <f t="shared" si="65"/>
        <v>756.83989593593788</v>
      </c>
      <c r="CD84" s="59">
        <f ca="1">AVERAGE(OFFSET($CC$3,0,0,'Données projet'!$E$12+1,1))-AVERAGE(OFFSET($H$3,0,0,'Données projet'!$E$12+1,1))</f>
        <v>280.25710840677186</v>
      </c>
      <c r="CE84" s="59">
        <f t="shared" si="94"/>
        <v>209.65224013288037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32.120554546283557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32.120554546283557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3.6</v>
      </c>
      <c r="CT84" s="12">
        <f>IF('Données projet'!$A$140&gt;35,CT83+CS84-DB83,IF(A84&lt;'Données projet'!$A$140,$CQ$205^A84,IF(A84='Données projet'!$A$140,'Données projet'!$B$140,CT83+CS84-DB83)))</f>
        <v>233.60000000000002</v>
      </c>
      <c r="CU84" s="17">
        <f>CT84*VLOOKUP('Données projet'!$B$13,Paramètres!$A$1:$I$89,3,0)*VLOOKUP('Données projet'!$B$13,Paramètres!$A$1:$I$89,5,0)</f>
        <v>244.15872000000005</v>
      </c>
      <c r="CV84" s="13">
        <f t="shared" si="95"/>
        <v>59.333402749839792</v>
      </c>
      <c r="CW84" s="20">
        <f t="shared" si="67"/>
        <v>528.58211378930434</v>
      </c>
      <c r="CX84" s="59">
        <f t="shared" si="68"/>
        <v>821.91544712263772</v>
      </c>
      <c r="CY84" s="59">
        <f ca="1">AVERAGE(OFFSET($CX$3,0,0,'Données projet'!$E$13+1,1))-AVERAGE(OFFSET($H$3,0,0,'Données projet'!$E$13+1,1))</f>
        <v>330.14201227773452</v>
      </c>
      <c r="CZ84" s="59">
        <f t="shared" si="96"/>
        <v>307.07297894926467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27.12196666236677</v>
      </c>
      <c r="DG84" s="21">
        <f>EXP(-LN(2)/25)*DG83+(1-EXP(-LN(2)/25))/(LN(2)/25)*Calculateur!DB84*Calculateur!DD84*VLOOKUP('Données projet'!$B$13,Paramètres!$A$1:$I$89,3,0)*0.475*44/12</f>
        <v>21.799104365620043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48.921071027986812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283.73369613548124</v>
      </c>
      <c r="T85" s="59">
        <f t="shared" si="88"/>
        <v>249.77804091581208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158.35523648132829</v>
      </c>
      <c r="AA85" s="21">
        <f>EXP(-LN(2)/25)*AA84+(1-EXP(-LN(2)/25))/(LN(2)/25)*Calculateur!V85*Calculateur!X85*VLOOKUP('Données projet'!$B$9,Paramètres!$A$1:$I$89,3,0)*0.475*44/12</f>
        <v>35.906015253022019</v>
      </c>
      <c r="AB85" s="21">
        <f>EXP(-LN(2)/2)*AB84+(1-EXP(-LN(2)/2))/(LN(2)/2)*V85*Y85*VLOOKUP('Données projet'!$B$9,Paramètres!$A$1:$I$89,3,0)*0.475*44/12</f>
        <v>5.8362669645550191</v>
      </c>
      <c r="AC85" s="22">
        <f t="shared" si="57"/>
        <v>200.09751869890533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12.124038461538468</v>
      </c>
      <c r="AI85" s="13">
        <f>IF('Données projet'!$A$62&gt;35,AI84+AH85-AQ84,IF(A85&lt;'Données projet'!$A$62,$AF$205^A85,IF(A85='Données projet'!$A$62,'Données projet'!$B$62,AI84+AH85-AQ84)))</f>
        <v>395.89519230769247</v>
      </c>
      <c r="AJ85" s="13">
        <f>AI85*VLOOKUP('Données projet'!$B$10,Paramètres!$A$1:$I$89,3,0)*VLOOKUP('Données projet'!$B$10,Paramètres!$A$1:$I$89,5,0)</f>
        <v>185.27895000000009</v>
      </c>
      <c r="AK85" s="13">
        <f t="shared" si="89"/>
        <v>46.494672172616063</v>
      </c>
      <c r="AL85" s="20">
        <f t="shared" si="58"/>
        <v>403.67239195063979</v>
      </c>
      <c r="AM85" s="59">
        <f t="shared" si="59"/>
        <v>697.00572528397311</v>
      </c>
      <c r="AN85" s="59">
        <f ca="1">AVERAGE(OFFSET($AM$3,0,0,'Données projet'!$E$10+1,1))-AVERAGE(OFFSET($H$3,0,0,'Données projet'!$E$10+1,1))</f>
        <v>205.73717397588365</v>
      </c>
      <c r="AO85" s="59">
        <f t="shared" si="90"/>
        <v>190.64998698136026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66.684128604241479</v>
      </c>
      <c r="AV85" s="21">
        <f>EXP(-LN(2)/25)*AV84+(1-EXP(-LN(2)/25))/(LN(2)/25)*Calculateur!AQ85*Calculateur!AS85*VLOOKUP('Données projet'!$B$10,Paramètres!$A$1:$I$89,3,0)*0.475*44/12</f>
        <v>25.336439988367044</v>
      </c>
      <c r="AW85" s="21">
        <f>EXP(-LN(2)/2)*AW84+(1-EXP(-LN(2)/2))/(LN(2)/2)*AQ85*AT85*VLOOKUP('Données projet'!$B$10,Paramètres!$A$1:$I$89,3,0)*0.475*44/12</f>
        <v>2.0443867336764416</v>
      </c>
      <c r="AX85" s="21">
        <f t="shared" si="60"/>
        <v>94.064955326284974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-5.6843418860808015E-14</v>
      </c>
      <c r="BE85" s="13">
        <f>BD85*VLOOKUP('Données projet'!$B$11,Paramètres!$A$1:$I$89,3,0)*VLOOKUP('Données projet'!$B$11,Paramètres!$A$1:$I$89,5,0)</f>
        <v>-3.1036506698001178E-14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159.92263609041913</v>
      </c>
      <c r="BJ85" s="59">
        <f t="shared" si="92"/>
        <v>271.78119133009307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29.354863698468602</v>
      </c>
      <c r="BQ85" s="21">
        <f>EXP(-LN(2)/25)*BQ84+(1-EXP(-LN(2)/25))/(LN(2)/25)*Calculateur!BL85*Calculateur!BN85*VLOOKUP('Données projet'!$B$11,Paramètres!$A$1:$I$89,3,0)*0.475*44/12</f>
        <v>46.788707817359168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76.143571515827773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7.4950142450142421</v>
      </c>
      <c r="BY85" s="12">
        <f>IF('Données projet'!$A$114&gt;35,BY84+BX85-CG84,IF(A85&lt;'Données projet'!$A$114,$BV$205^A85,IF(A85='Données projet'!$A$114,'Données projet'!$B$114,BY84+BX85-CG84)))</f>
        <v>243.39387464387485</v>
      </c>
      <c r="BZ85" s="13">
        <f>BY85*VLOOKUP('Données projet'!$B$12,Paramètres!$A$1:$I$89,3,0)*VLOOKUP('Données projet'!$B$12,Paramètres!$A$1:$I$89,5,0)</f>
        <v>220.22277777777796</v>
      </c>
      <c r="CA85" s="13">
        <f t="shared" si="93"/>
        <v>54.163302517364365</v>
      </c>
      <c r="CB85" s="20">
        <f t="shared" si="64"/>
        <v>477.88908984737282</v>
      </c>
      <c r="CC85" s="59">
        <f t="shared" si="65"/>
        <v>771.22242318070607</v>
      </c>
      <c r="CD85" s="59">
        <f ca="1">AVERAGE(OFFSET($CC$3,0,0,'Données projet'!$E$12+1,1))-AVERAGE(OFFSET($H$3,0,0,'Données projet'!$E$12+1,1))</f>
        <v>280.25710840677186</v>
      </c>
      <c r="CE85" s="59">
        <f t="shared" si="94"/>
        <v>209.65224013288037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31.490690063234698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31.490690063234698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3.6</v>
      </c>
      <c r="CT85" s="12">
        <f>IF('Données projet'!$A$140&gt;35,CT84+CS85-DB84,IF(A85&lt;'Données projet'!$A$140,$CQ$205^A85,IF(A85='Données projet'!$A$140,'Données projet'!$B$140,CT84+CS85-DB84)))</f>
        <v>237.20000000000002</v>
      </c>
      <c r="CU85" s="17">
        <f>CT85*VLOOKUP('Données projet'!$B$13,Paramètres!$A$1:$I$89,3,0)*VLOOKUP('Données projet'!$B$13,Paramètres!$A$1:$I$89,5,0)</f>
        <v>247.92144000000008</v>
      </c>
      <c r="CV85" s="13">
        <f t="shared" si="95"/>
        <v>60.140632467523915</v>
      </c>
      <c r="CW85" s="20">
        <f t="shared" si="67"/>
        <v>536.54144288093755</v>
      </c>
      <c r="CX85" s="59">
        <f t="shared" si="68"/>
        <v>829.87477621427092</v>
      </c>
      <c r="CY85" s="59">
        <f ca="1">AVERAGE(OFFSET($CX$3,0,0,'Données projet'!$E$13+1,1))-AVERAGE(OFFSET($H$3,0,0,'Données projet'!$E$13+1,1))</f>
        <v>330.14201227773452</v>
      </c>
      <c r="CZ85" s="59">
        <f t="shared" si="96"/>
        <v>307.07297894926467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26.590121438883958</v>
      </c>
      <c r="DG85" s="21">
        <f>EXP(-LN(2)/25)*DG84+(1-EXP(-LN(2)/25))/(LN(2)/25)*Calculateur!DB85*Calculateur!DD85*VLOOKUP('Données projet'!$B$13,Paramètres!$A$1:$I$89,3,0)*0.475*44/12</f>
        <v>21.203006710377085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47.793128149261044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283.73369613548124</v>
      </c>
      <c r="T86" s="59">
        <f t="shared" si="88"/>
        <v>249.77804091581208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155.2499868810865</v>
      </c>
      <c r="AA86" s="21">
        <f>EXP(-LN(2)/25)*AA85+(1-EXP(-LN(2)/25))/(LN(2)/25)*Calculateur!V86*Calculateur!X86*VLOOKUP('Données projet'!$B$9,Paramètres!$A$1:$I$89,3,0)*0.475*44/12</f>
        <v>34.924163377712851</v>
      </c>
      <c r="AB86" s="21">
        <f>EXP(-LN(2)/2)*AB85+(1-EXP(-LN(2)/2))/(LN(2)/2)*V86*Y86*VLOOKUP('Données projet'!$B$9,Paramètres!$A$1:$I$89,3,0)*0.475*44/12</f>
        <v>4.1268639474518825</v>
      </c>
      <c r="AC86" s="22">
        <f t="shared" si="57"/>
        <v>194.30101420625124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12.124038461538468</v>
      </c>
      <c r="AI86" s="13">
        <f>IF('Données projet'!$A$62&gt;35,AI85+AH86-AQ85,IF(A86&lt;'Données projet'!$A$62,$AF$205^A86,IF(A86='Données projet'!$A$62,'Données projet'!$B$62,AI85+AH86-AQ85)))</f>
        <v>408.01923076923094</v>
      </c>
      <c r="AJ86" s="13">
        <f>AI86*VLOOKUP('Données projet'!$B$10,Paramètres!$A$1:$I$89,3,0)*VLOOKUP('Données projet'!$B$10,Paramètres!$A$1:$I$89,5,0)</f>
        <v>190.95300000000006</v>
      </c>
      <c r="AK86" s="13">
        <f t="shared" si="89"/>
        <v>47.750586229034354</v>
      </c>
      <c r="AL86" s="20">
        <f t="shared" si="58"/>
        <v>415.7420793489016</v>
      </c>
      <c r="AM86" s="59">
        <f t="shared" si="59"/>
        <v>709.07541268223486</v>
      </c>
      <c r="AN86" s="59">
        <f ca="1">AVERAGE(OFFSET($AM$3,0,0,'Données projet'!$E$10+1,1))-AVERAGE(OFFSET($H$3,0,0,'Données projet'!$E$10+1,1))</f>
        <v>205.73717397588365</v>
      </c>
      <c r="AO86" s="59">
        <f t="shared" si="90"/>
        <v>190.64998698136026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65.376493515614598</v>
      </c>
      <c r="AV86" s="21">
        <f>EXP(-LN(2)/25)*AV85+(1-EXP(-LN(2)/25))/(LN(2)/25)*Calculateur!AQ86*Calculateur!AS86*VLOOKUP('Données projet'!$B$10,Paramètres!$A$1:$I$89,3,0)*0.475*44/12</f>
        <v>24.643613704499675</v>
      </c>
      <c r="AW86" s="21">
        <f>EXP(-LN(2)/2)*AW85+(1-EXP(-LN(2)/2))/(LN(2)/2)*AQ86*AT86*VLOOKUP('Données projet'!$B$10,Paramètres!$A$1:$I$89,3,0)*0.475*44/12</f>
        <v>1.4455997227504283</v>
      </c>
      <c r="AX86" s="21">
        <f t="shared" si="60"/>
        <v>91.465706942864699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-5.6843418860808015E-14</v>
      </c>
      <c r="BE86" s="13">
        <f>BD86*VLOOKUP('Données projet'!$B$11,Paramètres!$A$1:$I$89,3,0)*VLOOKUP('Données projet'!$B$11,Paramètres!$A$1:$I$89,5,0)</f>
        <v>-3.1036506698001178E-14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159.92263609041913</v>
      </c>
      <c r="BJ86" s="59">
        <f t="shared" si="92"/>
        <v>271.78119133009307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28.779232726040547</v>
      </c>
      <c r="BQ86" s="21">
        <f>EXP(-LN(2)/25)*BQ85+(1-EXP(-LN(2)/25))/(LN(2)/25)*Calculateur!BL86*Calculateur!BN86*VLOOKUP('Données projet'!$B$11,Paramètres!$A$1:$I$89,3,0)*0.475*44/12</f>
        <v>45.509268141582275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74.288500867622815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7.4950142450142421</v>
      </c>
      <c r="BY86" s="12">
        <f>IF('Données projet'!$A$114&gt;35,BY85+BX86-CG85,IF(A86&lt;'Données projet'!$A$114,$BV$205^A86,IF(A86='Données projet'!$A$114,'Données projet'!$B$114,BY85+BX86-CG85)))</f>
        <v>250.88888888888908</v>
      </c>
      <c r="BZ86" s="13">
        <f>BY86*VLOOKUP('Données projet'!$B$12,Paramètres!$A$1:$I$89,3,0)*VLOOKUP('Données projet'!$B$12,Paramètres!$A$1:$I$89,5,0)</f>
        <v>227.00426666666684</v>
      </c>
      <c r="CA86" s="13">
        <f t="shared" si="93"/>
        <v>55.634440522110118</v>
      </c>
      <c r="CB86" s="20">
        <f t="shared" si="64"/>
        <v>492.26241502045315</v>
      </c>
      <c r="CC86" s="59">
        <f t="shared" si="65"/>
        <v>785.59574835378646</v>
      </c>
      <c r="CD86" s="59">
        <f ca="1">AVERAGE(OFFSET($CC$3,0,0,'Données projet'!$E$12+1,1))-AVERAGE(OFFSET($H$3,0,0,'Données projet'!$E$12+1,1))</f>
        <v>280.25710840677186</v>
      </c>
      <c r="CE86" s="59">
        <f t="shared" si="94"/>
        <v>209.65224013288037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30.873176838519029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30.873176838519029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3.6</v>
      </c>
      <c r="CT86" s="12">
        <f>IF('Données projet'!$A$140&gt;35,CT85+CS86-DB85,IF(A86&lt;'Données projet'!$A$140,$CQ$205^A86,IF(A86='Données projet'!$A$140,'Données projet'!$B$140,CT85+CS86-DB85)))</f>
        <v>240.8</v>
      </c>
      <c r="CU86" s="17">
        <f>CT86*VLOOKUP('Données projet'!$B$13,Paramètres!$A$1:$I$89,3,0)*VLOOKUP('Données projet'!$B$13,Paramètres!$A$1:$I$89,5,0)</f>
        <v>251.68416000000002</v>
      </c>
      <c r="CV86" s="13">
        <f t="shared" si="95"/>
        <v>60.946437325817293</v>
      </c>
      <c r="CW86" s="20">
        <f t="shared" si="67"/>
        <v>544.49829034246511</v>
      </c>
      <c r="CX86" s="59">
        <f t="shared" si="68"/>
        <v>837.83162367579848</v>
      </c>
      <c r="CY86" s="59">
        <f ca="1">AVERAGE(OFFSET($CX$3,0,0,'Données projet'!$E$13+1,1))-AVERAGE(OFFSET($H$3,0,0,'Données projet'!$E$13+1,1))</f>
        <v>330.14201227773452</v>
      </c>
      <c r="CZ86" s="59">
        <f t="shared" si="96"/>
        <v>307.07297894926467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26.068705375840089</v>
      </c>
      <c r="DG86" s="21">
        <f>EXP(-LN(2)/25)*DG85+(1-EXP(-LN(2)/25))/(LN(2)/25)*Calculateur!DB86*Calculateur!DD86*VLOOKUP('Données projet'!$B$13,Paramètres!$A$1:$I$89,3,0)*0.475*44/12</f>
        <v>20.62320937686416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46.69191475270425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283.73369613548124</v>
      </c>
      <c r="T87" s="59">
        <f t="shared" si="88"/>
        <v>249.77804091581208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152.20562933149023</v>
      </c>
      <c r="AA87" s="21">
        <f>EXP(-LN(2)/25)*AA86+(1-EXP(-LN(2)/25))/(LN(2)/25)*Calculateur!V87*Calculateur!X87*VLOOKUP('Données projet'!$B$9,Paramètres!$A$1:$I$89,3,0)*0.475*44/12</f>
        <v>33.969160293567363</v>
      </c>
      <c r="AB87" s="21">
        <f>EXP(-LN(2)/2)*AB86+(1-EXP(-LN(2)/2))/(LN(2)/2)*V87*Y87*VLOOKUP('Données projet'!$B$9,Paramètres!$A$1:$I$89,3,0)*0.475*44/12</f>
        <v>2.91813348227751</v>
      </c>
      <c r="AC87" s="22">
        <f t="shared" si="57"/>
        <v>189.09292310733511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12.124038461538468</v>
      </c>
      <c r="AI87" s="13">
        <f>IF('Données projet'!$A$62&gt;35,AI86+AH87-AQ86,IF(A87&lt;'Données projet'!$A$62,$AF$205^A87,IF(A87='Données projet'!$A$62,'Données projet'!$B$62,AI86+AH87-AQ86)))</f>
        <v>420.14326923076942</v>
      </c>
      <c r="AJ87" s="13">
        <f>AI87*VLOOKUP('Données projet'!$B$10,Paramètres!$A$1:$I$89,3,0)*VLOOKUP('Données projet'!$B$10,Paramètres!$A$1:$I$89,5,0)</f>
        <v>196.62705000000008</v>
      </c>
      <c r="AK87" s="13">
        <f t="shared" si="89"/>
        <v>49.002163217129386</v>
      </c>
      <c r="AL87" s="20">
        <f t="shared" si="58"/>
        <v>427.80421301983375</v>
      </c>
      <c r="AM87" s="59">
        <f t="shared" si="59"/>
        <v>721.13754635316707</v>
      </c>
      <c r="AN87" s="59">
        <f ca="1">AVERAGE(OFFSET($AM$3,0,0,'Données projet'!$E$10+1,1))-AVERAGE(OFFSET($H$3,0,0,'Données projet'!$E$10+1,1))</f>
        <v>205.73717397588365</v>
      </c>
      <c r="AO87" s="59">
        <f t="shared" si="90"/>
        <v>190.64998698136026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64.09450035349704</v>
      </c>
      <c r="AV87" s="21">
        <f>EXP(-LN(2)/25)*AV86+(1-EXP(-LN(2)/25))/(LN(2)/25)*Calculateur!AQ87*Calculateur!AS87*VLOOKUP('Données projet'!$B$10,Paramètres!$A$1:$I$89,3,0)*0.475*44/12</f>
        <v>23.969732791798812</v>
      </c>
      <c r="AW87" s="21">
        <f>EXP(-LN(2)/2)*AW86+(1-EXP(-LN(2)/2))/(LN(2)/2)*AQ87*AT87*VLOOKUP('Données projet'!$B$10,Paramètres!$A$1:$I$89,3,0)*0.475*44/12</f>
        <v>1.0221933668382208</v>
      </c>
      <c r="AX87" s="21">
        <f t="shared" si="60"/>
        <v>89.086426512134068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-5.6843418860808015E-14</v>
      </c>
      <c r="BE87" s="13">
        <f>BD87*VLOOKUP('Données projet'!$B$11,Paramètres!$A$1:$I$89,3,0)*VLOOKUP('Données projet'!$B$11,Paramètres!$A$1:$I$89,5,0)</f>
        <v>-3.1036506698001178E-14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159.92263609041913</v>
      </c>
      <c r="BJ87" s="59">
        <f t="shared" si="92"/>
        <v>271.78119133009307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28.214889525881581</v>
      </c>
      <c r="BQ87" s="21">
        <f>EXP(-LN(2)/25)*BQ86+(1-EXP(-LN(2)/25))/(LN(2)/25)*Calculateur!BL87*Calculateur!BN87*VLOOKUP('Données projet'!$B$11,Paramètres!$A$1:$I$89,3,0)*0.475*44/12</f>
        <v>44.264814811022312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72.479704336903893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7.4950142450142421</v>
      </c>
      <c r="BY87" s="12">
        <f>IF('Données projet'!$A$114&gt;35,BY86+BX87-CG86,IF(A87&lt;'Données projet'!$A$114,$BV$205^A87,IF(A87='Données projet'!$A$114,'Données projet'!$B$114,BY86+BX87-CG86)))</f>
        <v>258.38390313390335</v>
      </c>
      <c r="BZ87" s="13">
        <f>BY87*VLOOKUP('Données projet'!$B$12,Paramètres!$A$1:$I$89,3,0)*VLOOKUP('Données projet'!$B$12,Paramètres!$A$1:$I$89,5,0)</f>
        <v>233.78575555555574</v>
      </c>
      <c r="CA87" s="13">
        <f t="shared" si="93"/>
        <v>57.10047099813341</v>
      </c>
      <c r="CB87" s="20">
        <f t="shared" si="64"/>
        <v>506.62684458100858</v>
      </c>
      <c r="CC87" s="59">
        <f t="shared" si="65"/>
        <v>799.9601779143419</v>
      </c>
      <c r="CD87" s="59">
        <f ca="1">AVERAGE(OFFSET($CC$3,0,0,'Données projet'!$E$12+1,1))-AVERAGE(OFFSET($H$3,0,0,'Données projet'!$E$12+1,1))</f>
        <v>280.25710840677186</v>
      </c>
      <c r="CE87" s="59">
        <f t="shared" si="94"/>
        <v>209.65224013288037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30.267772671494157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30.267772671494157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3.6</v>
      </c>
      <c r="CT87" s="12">
        <f>IF('Données projet'!$A$140&gt;35,CT86+CS87-DB86,IF(A87&lt;'Données projet'!$A$140,$CQ$205^A87,IF(A87='Données projet'!$A$140,'Données projet'!$B$140,CT86+CS87-DB86)))</f>
        <v>244.4</v>
      </c>
      <c r="CU87" s="17">
        <f>CT87*VLOOKUP('Données projet'!$B$13,Paramètres!$A$1:$I$89,3,0)*VLOOKUP('Données projet'!$B$13,Paramètres!$A$1:$I$89,5,0)</f>
        <v>255.44688000000005</v>
      </c>
      <c r="CV87" s="13">
        <f t="shared" si="95"/>
        <v>61.750841087245945</v>
      </c>
      <c r="CW87" s="20">
        <f t="shared" si="67"/>
        <v>552.45269756028677</v>
      </c>
      <c r="CX87" s="59">
        <f t="shared" si="68"/>
        <v>845.78603089362014</v>
      </c>
      <c r="CY87" s="59">
        <f ca="1">AVERAGE(OFFSET($CX$3,0,0,'Données projet'!$E$13+1,1))-AVERAGE(OFFSET($H$3,0,0,'Données projet'!$E$13+1,1))</f>
        <v>330.14201227773452</v>
      </c>
      <c r="CZ87" s="59">
        <f t="shared" si="96"/>
        <v>307.07297894926467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25.557513963760115</v>
      </c>
      <c r="DG87" s="21">
        <f>EXP(-LN(2)/25)*DG86+(1-EXP(-LN(2)/25))/(LN(2)/25)*Calculateur!DB87*Calculateur!DD87*VLOOKUP('Données projet'!$B$13,Paramètres!$A$1:$I$89,3,0)*0.475*44/12</f>
        <v>20.059266631926363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45.616780595686478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283.73369613548124</v>
      </c>
      <c r="T88" s="59">
        <f t="shared" si="88"/>
        <v>249.77804091581208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149.22096977656679</v>
      </c>
      <c r="AA88" s="21">
        <f>EXP(-LN(2)/25)*AA87+(1-EXP(-LN(2)/25))/(LN(2)/25)*Calculateur!V88*Calculateur!X88*VLOOKUP('Données projet'!$B$9,Paramètres!$A$1:$I$89,3,0)*0.475*44/12</f>
        <v>33.040271818979264</v>
      </c>
      <c r="AB88" s="21">
        <f>EXP(-LN(2)/2)*AB87+(1-EXP(-LN(2)/2))/(LN(2)/2)*V88*Y88*VLOOKUP('Données projet'!$B$9,Paramètres!$A$1:$I$89,3,0)*0.475*44/12</f>
        <v>2.0634319737259412</v>
      </c>
      <c r="AC88" s="22">
        <f t="shared" si="57"/>
        <v>184.32467356927199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12.124038461538468</v>
      </c>
      <c r="AI88" s="13">
        <f>IF('Données projet'!$A$62&gt;35,AI87+AH88-AQ87,IF(A88&lt;'Données projet'!$A$62,$AF$205^A88,IF(A88='Données projet'!$A$62,'Données projet'!$B$62,AI87+AH88-AQ87)))</f>
        <v>432.2673076923079</v>
      </c>
      <c r="AJ88" s="13">
        <f>AI88*VLOOKUP('Données projet'!$B$10,Paramètres!$A$1:$I$89,3,0)*VLOOKUP('Données projet'!$B$10,Paramètres!$A$1:$I$89,5,0)</f>
        <v>202.3011000000001</v>
      </c>
      <c r="AK88" s="13">
        <f t="shared" si="89"/>
        <v>50.249542664134772</v>
      </c>
      <c r="AL88" s="20">
        <f t="shared" si="58"/>
        <v>439.85903597336824</v>
      </c>
      <c r="AM88" s="59">
        <f t="shared" si="59"/>
        <v>733.19236930670149</v>
      </c>
      <c r="AN88" s="59">
        <f ca="1">AVERAGE(OFFSET($AM$3,0,0,'Données projet'!$E$10+1,1))-AVERAGE(OFFSET($H$3,0,0,'Données projet'!$E$10+1,1))</f>
        <v>205.73717397588365</v>
      </c>
      <c r="AO88" s="59">
        <f t="shared" si="90"/>
        <v>190.64998698136026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62.837646295349991</v>
      </c>
      <c r="AV88" s="21">
        <f>EXP(-LN(2)/25)*AV87+(1-EXP(-LN(2)/25))/(LN(2)/25)*Calculateur!AQ88*Calculateur!AS88*VLOOKUP('Données projet'!$B$10,Paramètres!$A$1:$I$89,3,0)*0.475*44/12</f>
        <v>23.314279188093611</v>
      </c>
      <c r="AW88" s="21">
        <f>EXP(-LN(2)/2)*AW87+(1-EXP(-LN(2)/2))/(LN(2)/2)*AQ88*AT88*VLOOKUP('Données projet'!$B$10,Paramètres!$A$1:$I$89,3,0)*0.475*44/12</f>
        <v>0.72279986137521413</v>
      </c>
      <c r="AX88" s="21">
        <f t="shared" si="60"/>
        <v>86.874725344818813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-5.6843418860808015E-14</v>
      </c>
      <c r="BE88" s="13">
        <f>BD88*VLOOKUP('Données projet'!$B$11,Paramètres!$A$1:$I$89,3,0)*VLOOKUP('Données projet'!$B$11,Paramètres!$A$1:$I$89,5,0)</f>
        <v>-3.1036506698001178E-14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159.92263609041913</v>
      </c>
      <c r="BJ88" s="59">
        <f t="shared" si="92"/>
        <v>271.78119133009307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27.661612751662368</v>
      </c>
      <c r="BQ88" s="21">
        <f>EXP(-LN(2)/25)*BQ87+(1-EXP(-LN(2)/25))/(LN(2)/25)*Calculateur!BL88*Calculateur!BN88*VLOOKUP('Données projet'!$B$11,Paramètres!$A$1:$I$89,3,0)*0.475*44/12</f>
        <v>43.054391122229461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70.716003873891822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7.4950142450142421</v>
      </c>
      <c r="BY88" s="12">
        <f>IF('Données projet'!$A$114&gt;35,BY87+BX88-CG87,IF(A88&lt;'Données projet'!$A$114,$BV$205^A88,IF(A88='Données projet'!$A$114,'Données projet'!$B$114,BY87+BX88-CG87)))</f>
        <v>265.87891737891761</v>
      </c>
      <c r="BZ88" s="13">
        <f>BY88*VLOOKUP('Données projet'!$B$12,Paramètres!$A$1:$I$89,3,0)*VLOOKUP('Données projet'!$B$12,Paramètres!$A$1:$I$89,5,0)</f>
        <v>240.56724444444464</v>
      </c>
      <c r="CA88" s="13">
        <f t="shared" si="93"/>
        <v>58.5615591142816</v>
      </c>
      <c r="CB88" s="20">
        <f t="shared" si="64"/>
        <v>520.98266619811488</v>
      </c>
      <c r="CC88" s="59">
        <f t="shared" si="65"/>
        <v>814.31599953144814</v>
      </c>
      <c r="CD88" s="59">
        <f ca="1">AVERAGE(OFFSET($CC$3,0,0,'Données projet'!$E$12+1,1))-AVERAGE(OFFSET($H$3,0,0,'Données projet'!$E$12+1,1))</f>
        <v>280.25710840677186</v>
      </c>
      <c r="CE88" s="59">
        <f t="shared" si="94"/>
        <v>209.65224013288037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29.674240110924561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29.674240110924561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248</v>
      </c>
      <c r="CR88" s="12">
        <f>VLOOKUP(A88,'Données projet'!$A$139:$I$159,9,0)</f>
        <v>3.6</v>
      </c>
      <c r="CS88" s="12">
        <f t="array" ref="CS88">INDEX(CR:CR,MIN(IF(ISNUMBER(CR88:CR284),ROW(CR88:CR284),"")))</f>
        <v>3.6</v>
      </c>
      <c r="CT88" s="12">
        <f>IF('Données projet'!$A$140&gt;35,CT87+CS88-DB87,IF(A88&lt;'Données projet'!$A$140,$CQ$205^A88,IF(A88='Données projet'!$A$140,'Données projet'!$B$140,CT87+CS88-DB87)))</f>
        <v>248</v>
      </c>
      <c r="CU88" s="17">
        <f>CT88*VLOOKUP('Données projet'!$B$13,Paramètres!$A$1:$I$89,3,0)*VLOOKUP('Données projet'!$B$13,Paramètres!$A$1:$I$89,5,0)</f>
        <v>259.20960000000002</v>
      </c>
      <c r="CV88" s="13">
        <f t="shared" si="95"/>
        <v>62.553866774106702</v>
      </c>
      <c r="CW88" s="20">
        <f t="shared" si="67"/>
        <v>560.40470463156919</v>
      </c>
      <c r="CX88" s="59">
        <f t="shared" si="68"/>
        <v>853.73803796490256</v>
      </c>
      <c r="CY88" s="59">
        <f ca="1">AVERAGE(OFFSET($CX$3,0,0,'Données projet'!$E$13+1,1))-AVERAGE(OFFSET($H$3,0,0,'Données projet'!$E$13+1,1))</f>
        <v>330.14201227773452</v>
      </c>
      <c r="CZ88" s="59">
        <f t="shared" si="96"/>
        <v>307.07297894926467</v>
      </c>
      <c r="DA88" s="15">
        <f>IF(ISNA(VLOOKUP(A88,'Données projet'!$A$139:$I$159,3,0)),0,VLOOKUP(A88,'Données projet'!$A$139:$I$159,3,0))</f>
        <v>14</v>
      </c>
      <c r="DB88" s="15" t="str">
        <f>IF(ISNA(VLOOKUP(A88,'Données projet'!$A$139:$I$159,4,0)),0,VLOOKUP(A88,'Données projet'!$A$139:$I$159,4,0))</f>
        <v>14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0.129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29.229787461639532</v>
      </c>
      <c r="DG88" s="21">
        <f>EXP(-LN(2)/25)*DG87+(1-EXP(-LN(2)/25))/(LN(2)/25)*Calculateur!DB88*Calculateur!DD88*VLOOKUP('Données projet'!$B$13,Paramètres!$A$1:$I$89,3,0)*0.475*44/12</f>
        <v>21.589249096852345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50.819036558491874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283.73369613548124</v>
      </c>
      <c r="T89" s="59">
        <f t="shared" si="88"/>
        <v>249.77804091581208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146.29483757505281</v>
      </c>
      <c r="AA89" s="21">
        <f>EXP(-LN(2)/25)*AA88+(1-EXP(-LN(2)/25))/(LN(2)/25)*Calculateur!V89*Calculateur!X89*VLOOKUP('Données projet'!$B$9,Paramètres!$A$1:$I$89,3,0)*0.475*44/12</f>
        <v>32.136783848576897</v>
      </c>
      <c r="AB89" s="21">
        <f>EXP(-LN(2)/2)*AB88+(1-EXP(-LN(2)/2))/(LN(2)/2)*V89*Y89*VLOOKUP('Données projet'!$B$9,Paramètres!$A$1:$I$89,3,0)*0.475*44/12</f>
        <v>1.459066741138755</v>
      </c>
      <c r="AC89" s="22">
        <f t="shared" si="57"/>
        <v>179.89068816476845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12.124038461538468</v>
      </c>
      <c r="AI89" s="13">
        <f>IF('Données projet'!$A$62&gt;35,AI88+AH89-AQ88,IF(A89&lt;'Données projet'!$A$62,$AF$205^A89,IF(A89='Données projet'!$A$62,'Données projet'!$B$62,AI88+AH89-AQ88)))</f>
        <v>444.39134615384637</v>
      </c>
      <c r="AJ89" s="13">
        <f>AI89*VLOOKUP('Données projet'!$B$10,Paramètres!$A$1:$I$89,3,0)*VLOOKUP('Données projet'!$B$10,Paramètres!$A$1:$I$89,5,0)</f>
        <v>207.9751500000001</v>
      </c>
      <c r="AK89" s="13">
        <f t="shared" si="89"/>
        <v>51.492855825196166</v>
      </c>
      <c r="AL89" s="20">
        <f t="shared" si="58"/>
        <v>451.90677681221678</v>
      </c>
      <c r="AM89" s="59">
        <f t="shared" si="59"/>
        <v>745.24011014555003</v>
      </c>
      <c r="AN89" s="59">
        <f ca="1">AVERAGE(OFFSET($AM$3,0,0,'Données projet'!$E$10+1,1))-AVERAGE(OFFSET($H$3,0,0,'Données projet'!$E$10+1,1))</f>
        <v>205.73717397588365</v>
      </c>
      <c r="AO89" s="59">
        <f t="shared" si="90"/>
        <v>190.64998698136026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61.605438378677924</v>
      </c>
      <c r="AV89" s="21">
        <f>EXP(-LN(2)/25)*AV88+(1-EXP(-LN(2)/25))/(LN(2)/25)*Calculateur!AQ89*Calculateur!AS89*VLOOKUP('Données projet'!$B$10,Paramètres!$A$1:$I$89,3,0)*0.475*44/12</f>
        <v>22.676748997650535</v>
      </c>
      <c r="AW89" s="21">
        <f>EXP(-LN(2)/2)*AW88+(1-EXP(-LN(2)/2))/(LN(2)/2)*AQ89*AT89*VLOOKUP('Données projet'!$B$10,Paramètres!$A$1:$I$89,3,0)*0.475*44/12</f>
        <v>0.51109668341911041</v>
      </c>
      <c r="AX89" s="21">
        <f t="shared" si="60"/>
        <v>84.793284059747577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-5.6843418860808015E-14</v>
      </c>
      <c r="BE89" s="13">
        <f>BD89*VLOOKUP('Données projet'!$B$11,Paramètres!$A$1:$I$89,3,0)*VLOOKUP('Données projet'!$B$11,Paramètres!$A$1:$I$89,5,0)</f>
        <v>-3.1036506698001178E-14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159.92263609041913</v>
      </c>
      <c r="BJ89" s="59">
        <f t="shared" si="92"/>
        <v>271.78119133009307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27.119185397520084</v>
      </c>
      <c r="BQ89" s="21">
        <f>EXP(-LN(2)/25)*BQ88+(1-EXP(-LN(2)/25))/(LN(2)/25)*Calculateur!BL89*Calculateur!BN89*VLOOKUP('Données projet'!$B$11,Paramètres!$A$1:$I$89,3,0)*0.475*44/12</f>
        <v>41.87706653286007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68.996251930380154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7.4950142450142421</v>
      </c>
      <c r="BY89" s="12">
        <f>IF('Données projet'!$A$114&gt;35,BY88+BX89-CG88,IF(A89&lt;'Données projet'!$A$114,$BV$205^A89,IF(A89='Données projet'!$A$114,'Données projet'!$B$114,BY88+BX89-CG88)))</f>
        <v>273.37393162393187</v>
      </c>
      <c r="BZ89" s="13">
        <f>BY89*VLOOKUP('Données projet'!$B$12,Paramètres!$A$1:$I$89,3,0)*VLOOKUP('Données projet'!$B$12,Paramètres!$A$1:$I$89,5,0)</f>
        <v>247.34873333333351</v>
      </c>
      <c r="CA89" s="13">
        <f t="shared" si="93"/>
        <v>60.017860197565874</v>
      </c>
      <c r="CB89" s="20">
        <f t="shared" si="64"/>
        <v>535.33015039964971</v>
      </c>
      <c r="CC89" s="59">
        <f t="shared" si="65"/>
        <v>828.66348373298297</v>
      </c>
      <c r="CD89" s="59">
        <f ca="1">AVERAGE(OFFSET($CC$3,0,0,'Données projet'!$E$12+1,1))-AVERAGE(OFFSET($H$3,0,0,'Données projet'!$E$12+1,1))</f>
        <v>280.25710840677186</v>
      </c>
      <c r="CE89" s="59">
        <f t="shared" si="94"/>
        <v>209.65224013288037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29.09234636184862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29.09234636184862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3</v>
      </c>
      <c r="CT89" s="12">
        <f>IF('Données projet'!$A$140&gt;35,CT88+CS89-DB88,IF(A89&lt;'Données projet'!$A$140,$CQ$205^A89,IF(A89='Données projet'!$A$140,'Données projet'!$B$140,CT88+CS89-DB88)))</f>
        <v>237</v>
      </c>
      <c r="CU89" s="17">
        <f>CT89*VLOOKUP('Données projet'!$B$13,Paramètres!$A$1:$I$89,3,0)*VLOOKUP('Données projet'!$B$13,Paramètres!$A$1:$I$89,5,0)</f>
        <v>247.71240000000003</v>
      </c>
      <c r="CV89" s="13">
        <f t="shared" si="95"/>
        <v>60.095823975624157</v>
      </c>
      <c r="CW89" s="20">
        <f t="shared" si="67"/>
        <v>536.099323424212</v>
      </c>
      <c r="CX89" s="59">
        <f t="shared" si="68"/>
        <v>829.43265675754537</v>
      </c>
      <c r="CY89" s="59">
        <f ca="1">AVERAGE(OFFSET($CX$3,0,0,'Données projet'!$E$13+1,1))-AVERAGE(OFFSET($H$3,0,0,'Données projet'!$E$13+1,1))</f>
        <v>330.14201227773452</v>
      </c>
      <c r="CZ89" s="59">
        <f t="shared" si="96"/>
        <v>307.07297894926467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28.656609157926724</v>
      </c>
      <c r="DG89" s="21">
        <f>EXP(-LN(2)/25)*DG88+(1-EXP(-LN(2)/25))/(LN(2)/25)*Calculateur!DB89*Calculateur!DD89*VLOOKUP('Données projet'!$B$13,Paramètres!$A$1:$I$89,3,0)*0.475*44/12</f>
        <v>20.998889944969651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49.655499102896371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283.73369613548124</v>
      </c>
      <c r="T90" s="59">
        <f t="shared" si="88"/>
        <v>249.77804091581208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143.42608504124613</v>
      </c>
      <c r="AA90" s="21">
        <f>EXP(-LN(2)/25)*AA89+(1-EXP(-LN(2)/25))/(LN(2)/25)*Calculateur!V90*Calculateur!X90*VLOOKUP('Données projet'!$B$9,Paramètres!$A$1:$I$89,3,0)*0.475*44/12</f>
        <v>31.258001804237548</v>
      </c>
      <c r="AB90" s="21">
        <f>EXP(-LN(2)/2)*AB89+(1-EXP(-LN(2)/2))/(LN(2)/2)*V90*Y90*VLOOKUP('Données projet'!$B$9,Paramètres!$A$1:$I$89,3,0)*0.475*44/12</f>
        <v>1.0317159868629706</v>
      </c>
      <c r="AC90" s="22">
        <f t="shared" si="57"/>
        <v>175.71580283234664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456.51538461538462</v>
      </c>
      <c r="AG90" s="12">
        <f>VLOOKUP(A90,'Données projet'!$A$61:$I$81,9,0)</f>
        <v>12.124038461538468</v>
      </c>
      <c r="AH90" s="12">
        <f t="array" ref="AH90">INDEX(AG:AG,MIN(IF(ISNUMBER(AG90:AG286),ROW(AG90:AG286),"")))</f>
        <v>12.124038461538468</v>
      </c>
      <c r="AI90" s="13">
        <f>IF('Données projet'!$A$62&gt;35,AI89+AH90-AQ89,IF(A90&lt;'Données projet'!$A$62,$AF$205^A90,IF(A90='Données projet'!$A$62,'Données projet'!$B$62,AI89+AH90-AQ89)))</f>
        <v>456.51538461538485</v>
      </c>
      <c r="AJ90" s="13">
        <f>AI90*VLOOKUP('Données projet'!$B$10,Paramètres!$A$1:$I$89,3,0)*VLOOKUP('Données projet'!$B$10,Paramètres!$A$1:$I$89,5,0)</f>
        <v>213.64920000000012</v>
      </c>
      <c r="AK90" s="13">
        <f t="shared" si="89"/>
        <v>52.732226385923781</v>
      </c>
      <c r="AL90" s="20">
        <f t="shared" si="58"/>
        <v>463.94765095548405</v>
      </c>
      <c r="AM90" s="59">
        <f t="shared" si="59"/>
        <v>757.28098428881731</v>
      </c>
      <c r="AN90" s="59">
        <f ca="1">AVERAGE(OFFSET($AM$3,0,0,'Données projet'!$E$10+1,1))-AVERAGE(OFFSET($H$3,0,0,'Données projet'!$E$10+1,1))</f>
        <v>205.73717397588365</v>
      </c>
      <c r="AO90" s="59">
        <f t="shared" si="90"/>
        <v>190.64998698136026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77.330769230769235</v>
      </c>
      <c r="AR90" s="16">
        <f>IF(ISNA(VLOOKUP(A90,'Données projet'!$A$61:$I$81,5,0)),0%,VLOOKUP(A90,'Données projet'!$A$61:$I$81,5,0)*VLOOKUP('Données projet'!$B$10,Paramètres!$A$1:$I$89,7,0))</f>
        <v>0.38500000000000001</v>
      </c>
      <c r="AS90" s="16">
        <f>IF(ISNA(VLOOKUP(A90,'Données projet'!$A$61:$I$81,6,0)),0%,VLOOKUP(A90,'Données projet'!$A$61:$I$81,6,0)*VLOOKUP('Données projet'!$B$10,Paramètres!$A$1:$I$89,7,0))</f>
        <v>9.240000000000001E-2</v>
      </c>
      <c r="AT90" s="16">
        <f>IF(ISNA(VLOOKUP(A90,'Données projet'!$A$61:$I$81,7,0)),0%,VLOOKUP(A90,'Données projet'!$A$61:$I$81,7,0))</f>
        <v>0.13200000000000001</v>
      </c>
      <c r="AU90" s="21">
        <f>EXP(-LN(2)/35)*AU89+(1-EXP(-LN(2)/35))/(LN(2)/35)*AQ90*AR90*VLOOKUP('Données projet'!$B$10,Paramètres!$A$1:$I$89,3,0)*0.475*44/12</f>
        <v>78.881023431838884</v>
      </c>
      <c r="AV90" s="21">
        <f>EXP(-LN(2)/25)*AV89+(1-EXP(-LN(2)/25))/(LN(2)/25)*Calculateur!AQ90*Calculateur!AS90*VLOOKUP('Données projet'!$B$10,Paramètres!$A$1:$I$89,3,0)*0.475*44/12</f>
        <v>26.475256830882337</v>
      </c>
      <c r="AW90" s="21">
        <f>EXP(-LN(2)/2)*AW89+(1-EXP(-LN(2)/2))/(LN(2)/2)*AQ90*AT90*VLOOKUP('Données projet'!$B$10,Paramètres!$A$1:$I$89,3,0)*0.475*44/12</f>
        <v>5.770283758285955</v>
      </c>
      <c r="AX90" s="21">
        <f t="shared" si="60"/>
        <v>111.12656402100717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-5.6843418860808015E-14</v>
      </c>
      <c r="BE90" s="13">
        <f>BD90*VLOOKUP('Données projet'!$B$11,Paramètres!$A$1:$I$89,3,0)*VLOOKUP('Données projet'!$B$11,Paramètres!$A$1:$I$89,5,0)</f>
        <v>-3.1036506698001178E-14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159.92263609041913</v>
      </c>
      <c r="BJ90" s="59">
        <f t="shared" si="92"/>
        <v>271.78119133009307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26.587394712944512</v>
      </c>
      <c r="BQ90" s="21">
        <f>EXP(-LN(2)/25)*BQ89+(1-EXP(-LN(2)/25))/(LN(2)/25)*Calculateur!BL90*Calculateur!BN90*VLOOKUP('Données projet'!$B$11,Paramètres!$A$1:$I$89,3,0)*0.475*44/12</f>
        <v>40.731935946299792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67.319330659244301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7.4950142450142421</v>
      </c>
      <c r="BY90" s="12">
        <f>IF('Données projet'!$A$114&gt;35,BY89+BX90-CG89,IF(A90&lt;'Données projet'!$A$114,$BV$205^A90,IF(A90='Données projet'!$A$114,'Données projet'!$B$114,BY89+BX90-CG89)))</f>
        <v>280.86894586894613</v>
      </c>
      <c r="BZ90" s="13">
        <f>BY90*VLOOKUP('Données projet'!$B$12,Paramètres!$A$1:$I$89,3,0)*VLOOKUP('Données projet'!$B$12,Paramètres!$A$1:$I$89,5,0)</f>
        <v>254.13022222222247</v>
      </c>
      <c r="CA90" s="13">
        <f t="shared" si="93"/>
        <v>61.469520573147591</v>
      </c>
      <c r="CB90" s="20">
        <f t="shared" si="64"/>
        <v>549.66955203526948</v>
      </c>
      <c r="CC90" s="59">
        <f t="shared" si="65"/>
        <v>843.00288536860285</v>
      </c>
      <c r="CD90" s="59">
        <f ca="1">AVERAGE(OFFSET($CC$3,0,0,'Données projet'!$E$12+1,1))-AVERAGE(OFFSET($H$3,0,0,'Données projet'!$E$12+1,1))</f>
        <v>280.25710840677186</v>
      </c>
      <c r="CE90" s="59">
        <f t="shared" si="94"/>
        <v>209.65224013288037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28.521863194271916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28.521863194271916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3</v>
      </c>
      <c r="CT90" s="12">
        <f>IF('Données projet'!$A$140&gt;35,CT89+CS90-DB89,IF(A90&lt;'Données projet'!$A$140,$CQ$205^A90,IF(A90='Données projet'!$A$140,'Données projet'!$B$140,CT89+CS90-DB89)))</f>
        <v>240</v>
      </c>
      <c r="CU90" s="17">
        <f>CT90*VLOOKUP('Données projet'!$B$13,Paramètres!$A$1:$I$89,3,0)*VLOOKUP('Données projet'!$B$13,Paramètres!$A$1:$I$89,5,0)</f>
        <v>250.84800000000001</v>
      </c>
      <c r="CV90" s="13">
        <f t="shared" si="95"/>
        <v>60.767491486783541</v>
      </c>
      <c r="CW90" s="20">
        <f t="shared" si="67"/>
        <v>542.7303143394812</v>
      </c>
      <c r="CX90" s="59">
        <f t="shared" si="68"/>
        <v>836.06364767281457</v>
      </c>
      <c r="CY90" s="59">
        <f ca="1">AVERAGE(OFFSET($CX$3,0,0,'Données projet'!$E$13+1,1))-AVERAGE(OFFSET($H$3,0,0,'Données projet'!$E$13+1,1))</f>
        <v>330.14201227773452</v>
      </c>
      <c r="CZ90" s="59">
        <f t="shared" si="96"/>
        <v>307.07297894926467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28.094670531145479</v>
      </c>
      <c r="DG90" s="21">
        <f>EXP(-LN(2)/25)*DG89+(1-EXP(-LN(2)/25))/(LN(2)/25)*Calculateur!DB90*Calculateur!DD90*VLOOKUP('Données projet'!$B$13,Paramètres!$A$1:$I$89,3,0)*0.475*44/12</f>
        <v>20.424674195140827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48.519344726286306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283.73369613548124</v>
      </c>
      <c r="T91" s="59">
        <f t="shared" si="88"/>
        <v>249.77804091581208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140.61358699486109</v>
      </c>
      <c r="AA91" s="21">
        <f>EXP(-LN(2)/25)*AA90+(1-EXP(-LN(2)/25))/(LN(2)/25)*Calculateur!V91*Calculateur!X91*VLOOKUP('Données projet'!$B$9,Paramètres!$A$1:$I$89,3,0)*0.475*44/12</f>
        <v>30.403250101113798</v>
      </c>
      <c r="AB91" s="21">
        <f>EXP(-LN(2)/2)*AB90+(1-EXP(-LN(2)/2))/(LN(2)/2)*V91*Y91*VLOOKUP('Données projet'!$B$9,Paramètres!$A$1:$I$89,3,0)*0.475*44/12</f>
        <v>0.7295333705693775</v>
      </c>
      <c r="AC91" s="22">
        <f t="shared" si="57"/>
        <v>171.74637046654428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11.242307692307691</v>
      </c>
      <c r="AI91" s="13">
        <f>IF('Données projet'!$A$62&gt;35,AI90+AH91-AQ90,IF(A91&lt;'Données projet'!$A$62,$AF$205^A91,IF(A91='Données projet'!$A$62,'Données projet'!$B$62,AI90+AH91-AQ90)))</f>
        <v>390.42692307692329</v>
      </c>
      <c r="AJ91" s="13">
        <f>AI91*VLOOKUP('Données projet'!$B$10,Paramètres!$A$1:$I$89,3,0)*VLOOKUP('Données projet'!$B$10,Paramètres!$A$1:$I$89,5,0)</f>
        <v>182.71980000000011</v>
      </c>
      <c r="AK91" s="13">
        <f t="shared" si="89"/>
        <v>45.926762394770535</v>
      </c>
      <c r="AL91" s="20">
        <f t="shared" si="58"/>
        <v>398.22609617089216</v>
      </c>
      <c r="AM91" s="59">
        <f t="shared" si="59"/>
        <v>691.55942950422548</v>
      </c>
      <c r="AN91" s="59">
        <f ca="1">AVERAGE(OFFSET($AM$3,0,0,'Données projet'!$E$10+1,1))-AVERAGE(OFFSET($H$3,0,0,'Données projet'!$E$10+1,1))</f>
        <v>205.73717397588365</v>
      </c>
      <c r="AO91" s="59">
        <f t="shared" si="90"/>
        <v>190.64998698136026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77.334214675014081</v>
      </c>
      <c r="AV91" s="21">
        <f>EXP(-LN(2)/25)*AV90+(1-EXP(-LN(2)/25))/(LN(2)/25)*Calculateur!AQ91*Calculateur!AS91*VLOOKUP('Données projet'!$B$10,Paramètres!$A$1:$I$89,3,0)*0.475*44/12</f>
        <v>25.751289540568614</v>
      </c>
      <c r="AW91" s="21">
        <f>EXP(-LN(2)/2)*AW90+(1-EXP(-LN(2)/2))/(LN(2)/2)*AQ91*AT91*VLOOKUP('Données projet'!$B$10,Paramètres!$A$1:$I$89,3,0)*0.475*44/12</f>
        <v>4.080206774854596</v>
      </c>
      <c r="AX91" s="21">
        <f t="shared" si="60"/>
        <v>107.16571099043729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-5.6843418860808015E-14</v>
      </c>
      <c r="BE91" s="13">
        <f>BD91*VLOOKUP('Données projet'!$B$11,Paramètres!$A$1:$I$89,3,0)*VLOOKUP('Données projet'!$B$11,Paramètres!$A$1:$I$89,5,0)</f>
        <v>-3.1036506698001178E-14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159.92263609041913</v>
      </c>
      <c r="BJ91" s="59">
        <f t="shared" si="92"/>
        <v>271.78119133009307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26.06603211933318</v>
      </c>
      <c r="BQ91" s="21">
        <f>EXP(-LN(2)/25)*BQ90+(1-EXP(-LN(2)/25))/(LN(2)/25)*Calculateur!BL91*Calculateur!BN91*VLOOKUP('Données projet'!$B$11,Paramètres!$A$1:$I$89,3,0)*0.475*44/12</f>
        <v>39.618119015848805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65.684151135181992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7.4950142450142421</v>
      </c>
      <c r="BY91" s="12">
        <f>IF('Données projet'!$A$114&gt;35,BY90+BX91-CG90,IF(A91&lt;'Données projet'!$A$114,$BV$205^A91,IF(A91='Données projet'!$A$114,'Données projet'!$B$114,BY90+BX91-CG90)))</f>
        <v>288.36396011396039</v>
      </c>
      <c r="BZ91" s="13">
        <f>BY91*VLOOKUP('Données projet'!$B$12,Paramètres!$A$1:$I$89,3,0)*VLOOKUP('Données projet'!$B$12,Paramètres!$A$1:$I$89,5,0)</f>
        <v>260.91171111111134</v>
      </c>
      <c r="CA91" s="13">
        <f t="shared" si="93"/>
        <v>62.916678312142118</v>
      </c>
      <c r="CB91" s="20">
        <f t="shared" si="64"/>
        <v>564.00111157883305</v>
      </c>
      <c r="CC91" s="59">
        <f t="shared" si="65"/>
        <v>857.33444491216642</v>
      </c>
      <c r="CD91" s="59">
        <f ca="1">AVERAGE(OFFSET($CC$3,0,0,'Données projet'!$E$12+1,1))-AVERAGE(OFFSET($H$3,0,0,'Données projet'!$E$12+1,1))</f>
        <v>280.25710840677186</v>
      </c>
      <c r="CE91" s="59">
        <f t="shared" si="94"/>
        <v>209.65224013288037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27.962566853651019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27.962566853651019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3</v>
      </c>
      <c r="CT91" s="12">
        <f>IF('Données projet'!$A$140&gt;35,CT90+CS91-DB90,IF(A91&lt;'Données projet'!$A$140,$CQ$205^A91,IF(A91='Données projet'!$A$140,'Données projet'!$B$140,CT90+CS91-DB90)))</f>
        <v>243</v>
      </c>
      <c r="CU91" s="17">
        <f>CT91*VLOOKUP('Données projet'!$B$13,Paramètres!$A$1:$I$89,3,0)*VLOOKUP('Données projet'!$B$13,Paramètres!$A$1:$I$89,5,0)</f>
        <v>253.98360000000002</v>
      </c>
      <c r="CV91" s="13">
        <f t="shared" si="95"/>
        <v>61.438182405444294</v>
      </c>
      <c r="CW91" s="20">
        <f t="shared" si="67"/>
        <v>549.35960435614891</v>
      </c>
      <c r="CX91" s="59">
        <f t="shared" si="68"/>
        <v>842.69293768948228</v>
      </c>
      <c r="CY91" s="59">
        <f ca="1">AVERAGE(OFFSET($CX$3,0,0,'Données projet'!$E$13+1,1))-AVERAGE(OFFSET($H$3,0,0,'Données projet'!$E$13+1,1))</f>
        <v>330.14201227773452</v>
      </c>
      <c r="CZ91" s="59">
        <f t="shared" si="96"/>
        <v>307.07297894926467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27.543751178086694</v>
      </c>
      <c r="DG91" s="21">
        <f>EXP(-LN(2)/25)*DG90+(1-EXP(-LN(2)/25))/(LN(2)/25)*Calculateur!DB91*Calculateur!DD91*VLOOKUP('Données projet'!$B$13,Paramètres!$A$1:$I$89,3,0)*0.475*44/12</f>
        <v>19.866160405187767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47.409911583274464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283.73369613548124</v>
      </c>
      <c r="T92" s="59">
        <f t="shared" si="88"/>
        <v>249.77804091581208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137.85624031971128</v>
      </c>
      <c r="AA92" s="21">
        <f>EXP(-LN(2)/25)*AA91+(1-EXP(-LN(2)/25))/(LN(2)/25)*Calculateur!V92*Calculateur!X92*VLOOKUP('Données projet'!$B$9,Paramètres!$A$1:$I$89,3,0)*0.475*44/12</f>
        <v>29.571871628261405</v>
      </c>
      <c r="AB92" s="21">
        <f>EXP(-LN(2)/2)*AB91+(1-EXP(-LN(2)/2))/(LN(2)/2)*V92*Y92*VLOOKUP('Données projet'!$B$9,Paramètres!$A$1:$I$89,3,0)*0.475*44/12</f>
        <v>0.51585799343148531</v>
      </c>
      <c r="AC92" s="22">
        <f t="shared" si="57"/>
        <v>167.94396994140419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11.242307692307691</v>
      </c>
      <c r="AI92" s="13">
        <f>IF('Données projet'!$A$62&gt;35,AI91+AH92-AQ91,IF(A92&lt;'Données projet'!$A$62,$AF$205^A92,IF(A92='Données projet'!$A$62,'Données projet'!$B$62,AI91+AH92-AQ91)))</f>
        <v>401.66923076923098</v>
      </c>
      <c r="AJ92" s="13">
        <f>AI92*VLOOKUP('Données projet'!$B$10,Paramètres!$A$1:$I$89,3,0)*VLOOKUP('Données projet'!$B$10,Paramètres!$A$1:$I$89,5,0)</f>
        <v>187.98120000000011</v>
      </c>
      <c r="AK92" s="13">
        <f t="shared" si="89"/>
        <v>47.093347732155607</v>
      </c>
      <c r="AL92" s="20">
        <f t="shared" si="58"/>
        <v>409.42150396683786</v>
      </c>
      <c r="AM92" s="59">
        <f t="shared" si="59"/>
        <v>702.75483730017118</v>
      </c>
      <c r="AN92" s="59">
        <f ca="1">AVERAGE(OFFSET($AM$3,0,0,'Données projet'!$E$10+1,1))-AVERAGE(OFFSET($H$3,0,0,'Données projet'!$E$10+1,1))</f>
        <v>205.73717397588365</v>
      </c>
      <c r="AO92" s="59">
        <f t="shared" si="90"/>
        <v>190.64998698136026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75.817737894450431</v>
      </c>
      <c r="AV92" s="21">
        <f>EXP(-LN(2)/25)*AV91+(1-EXP(-LN(2)/25))/(LN(2)/25)*Calculateur!AQ92*Calculateur!AS92*VLOOKUP('Données projet'!$B$10,Paramètres!$A$1:$I$89,3,0)*0.475*44/12</f>
        <v>25.047119173880304</v>
      </c>
      <c r="AW92" s="21">
        <f>EXP(-LN(2)/2)*AW91+(1-EXP(-LN(2)/2))/(LN(2)/2)*AQ92*AT92*VLOOKUP('Données projet'!$B$10,Paramètres!$A$1:$I$89,3,0)*0.475*44/12</f>
        <v>2.8851418791429779</v>
      </c>
      <c r="AX92" s="21">
        <f t="shared" si="60"/>
        <v>103.74999894747371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-5.6843418860808015E-14</v>
      </c>
      <c r="BE92" s="13">
        <f>BD92*VLOOKUP('Données projet'!$B$11,Paramètres!$A$1:$I$89,3,0)*VLOOKUP('Données projet'!$B$11,Paramètres!$A$1:$I$89,5,0)</f>
        <v>-3.1036506698001178E-14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159.92263609041913</v>
      </c>
      <c r="BJ92" s="59">
        <f t="shared" si="92"/>
        <v>271.78119133009307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25.554893128182783</v>
      </c>
      <c r="BQ92" s="21">
        <f>EXP(-LN(2)/25)*BQ91+(1-EXP(-LN(2)/25))/(LN(2)/25)*Calculateur!BL92*Calculateur!BN92*VLOOKUP('Données projet'!$B$11,Paramètres!$A$1:$I$89,3,0)*0.475*44/12</f>
        <v>38.534759467934087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64.089652596116878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>
        <f>VLOOKUP(A92,'Données projet'!$A$113:$I$133,2,0)</f>
        <v>295.85897435897436</v>
      </c>
      <c r="BW92" s="12">
        <f>VLOOKUP(A92,'Données projet'!$A$113:$I$133,9,0)</f>
        <v>7.4950142450142421</v>
      </c>
      <c r="BX92" s="12">
        <f t="array" ref="BX92">INDEX(BW:BW,MIN(IF(ISNUMBER(BW92:BW288),ROW(BW92:BW288),"")))</f>
        <v>7.4950142450142421</v>
      </c>
      <c r="BY92" s="12">
        <f>IF('Données projet'!$A$114&gt;35,BY91+BX92-CG91,IF(A92&lt;'Données projet'!$A$114,$BV$205^A92,IF(A92='Données projet'!$A$114,'Données projet'!$B$114,BY91+BX92-CG91)))</f>
        <v>295.85897435897465</v>
      </c>
      <c r="BZ92" s="13">
        <f>BY92*VLOOKUP('Données projet'!$B$12,Paramètres!$A$1:$I$89,3,0)*VLOOKUP('Données projet'!$B$12,Paramètres!$A$1:$I$89,5,0)</f>
        <v>267.69320000000022</v>
      </c>
      <c r="CA92" s="13">
        <f t="shared" si="93"/>
        <v>64.359463899490166</v>
      </c>
      <c r="CB92" s="20">
        <f t="shared" si="64"/>
        <v>578.32505629161233</v>
      </c>
      <c r="CC92" s="59">
        <f t="shared" si="65"/>
        <v>871.65838962494558</v>
      </c>
      <c r="CD92" s="59">
        <f ca="1">AVERAGE(OFFSET($CC$3,0,0,'Données projet'!$E$12+1,1))-AVERAGE(OFFSET($H$3,0,0,'Données projet'!$E$12+1,1))</f>
        <v>280.25710840677186</v>
      </c>
      <c r="CE92" s="59">
        <f t="shared" si="94"/>
        <v>209.65224013288037</v>
      </c>
      <c r="CF92" s="15">
        <f>IF(ISNA(VLOOKUP(A92,'Données projet'!$A$113:$I$133,3,0)),0,VLOOKUP(A92,'Données projet'!$A$113:$I$133,3,0))</f>
        <v>8</v>
      </c>
      <c r="CG92" s="15">
        <f>IF(ISNA(VLOOKUP(A92,'Données projet'!$A$113:$I$133,4,0)),0,VLOOKUP(A92,'Données projet'!$A$113:$I$133,4,0))</f>
        <v>49.391025641025635</v>
      </c>
      <c r="CH92" s="16">
        <f>IF(ISNA(VLOOKUP(A92,'Données projet'!$A$113:$I$133,5,0)),0%,VLOOKUP(A92,'Données projet'!$A$113:$I$133,5,0)*VLOOKUP('Données projet'!$B$12,Paramètres!$A$1:$I$89,7,0))</f>
        <v>0.30099999999999999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42.284350076207964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42.284350076207964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3</v>
      </c>
      <c r="CT92" s="12">
        <f>IF('Données projet'!$A$140&gt;35,CT91+CS92-DB91,IF(A92&lt;'Données projet'!$A$140,$CQ$205^A92,IF(A92='Données projet'!$A$140,'Données projet'!$B$140,CT91+CS92-DB91)))</f>
        <v>246</v>
      </c>
      <c r="CU92" s="17">
        <f>CT92*VLOOKUP('Données projet'!$B$13,Paramètres!$A$1:$I$89,3,0)*VLOOKUP('Données projet'!$B$13,Paramètres!$A$1:$I$89,5,0)</f>
        <v>257.11920000000003</v>
      </c>
      <c r="CV92" s="13">
        <f t="shared" si="95"/>
        <v>62.107910182723955</v>
      </c>
      <c r="CW92" s="20">
        <f t="shared" si="67"/>
        <v>555.98721690157754</v>
      </c>
      <c r="CX92" s="59">
        <f t="shared" si="68"/>
        <v>849.3205502349108</v>
      </c>
      <c r="CY92" s="59">
        <f ca="1">AVERAGE(OFFSET($CX$3,0,0,'Données projet'!$E$13+1,1))-AVERAGE(OFFSET($H$3,0,0,'Données projet'!$E$13+1,1))</f>
        <v>330.14201227773452</v>
      </c>
      <c r="CZ92" s="59">
        <f t="shared" si="96"/>
        <v>307.07297894926467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27.003635017513769</v>
      </c>
      <c r="DG92" s="21">
        <f>EXP(-LN(2)/25)*DG91+(1-EXP(-LN(2)/25))/(LN(2)/25)*Calculateur!DB92*Calculateur!DD92*VLOOKUP('Données projet'!$B$13,Paramètres!$A$1:$I$89,3,0)*0.475*44/12</f>
        <v>19.322919204191937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46.326554221705706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283.73369613548124</v>
      </c>
      <c r="T93" s="59">
        <f t="shared" si="88"/>
        <v>249.77804091581208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135.15296353104571</v>
      </c>
      <c r="AA93" s="21">
        <f>EXP(-LN(2)/25)*AA92+(1-EXP(-LN(2)/25))/(LN(2)/25)*Calculateur!V93*Calculateur!X93*VLOOKUP('Données projet'!$B$9,Paramètres!$A$1:$I$89,3,0)*0.475*44/12</f>
        <v>28.763227243469455</v>
      </c>
      <c r="AB93" s="21">
        <f>EXP(-LN(2)/2)*AB92+(1-EXP(-LN(2)/2))/(LN(2)/2)*V93*Y93*VLOOKUP('Données projet'!$B$9,Paramètres!$A$1:$I$89,3,0)*0.475*44/12</f>
        <v>0.36476668528468875</v>
      </c>
      <c r="AC93" s="22">
        <f t="shared" si="57"/>
        <v>164.28095745979985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11.242307692307691</v>
      </c>
      <c r="AI93" s="13">
        <f>IF('Données projet'!$A$62&gt;35,AI92+AH93-AQ92,IF(A93&lt;'Données projet'!$A$62,$AF$205^A93,IF(A93='Données projet'!$A$62,'Données projet'!$B$62,AI92+AH93-AQ92)))</f>
        <v>412.91153846153867</v>
      </c>
      <c r="AJ93" s="13">
        <f>AI93*VLOOKUP('Données projet'!$B$10,Paramètres!$A$1:$I$89,3,0)*VLOOKUP('Données projet'!$B$10,Paramètres!$A$1:$I$89,5,0)</f>
        <v>193.2426000000001</v>
      </c>
      <c r="AK93" s="13">
        <f t="shared" si="89"/>
        <v>48.256138093290417</v>
      </c>
      <c r="AL93" s="20">
        <f t="shared" si="58"/>
        <v>420.6103021791476</v>
      </c>
      <c r="AM93" s="59">
        <f t="shared" si="59"/>
        <v>713.94363551248091</v>
      </c>
      <c r="AN93" s="59">
        <f ca="1">AVERAGE(OFFSET($AM$3,0,0,'Données projet'!$E$10+1,1))-AVERAGE(OFFSET($H$3,0,0,'Données projet'!$E$10+1,1))</f>
        <v>205.73717397588365</v>
      </c>
      <c r="AO93" s="59">
        <f t="shared" si="90"/>
        <v>190.64998698136026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74.330998298594139</v>
      </c>
      <c r="AV93" s="21">
        <f>EXP(-LN(2)/25)*AV92+(1-EXP(-LN(2)/25))/(LN(2)/25)*Calculateur!AQ93*Calculateur!AS93*VLOOKUP('Données projet'!$B$10,Paramètres!$A$1:$I$89,3,0)*0.475*44/12</f>
        <v>24.362204382899797</v>
      </c>
      <c r="AW93" s="21">
        <f>EXP(-LN(2)/2)*AW92+(1-EXP(-LN(2)/2))/(LN(2)/2)*AQ93*AT93*VLOOKUP('Données projet'!$B$10,Paramètres!$A$1:$I$89,3,0)*0.475*44/12</f>
        <v>2.0401033874272985</v>
      </c>
      <c r="AX93" s="21">
        <f t="shared" si="60"/>
        <v>100.73330606892124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-5.6843418860808015E-14</v>
      </c>
      <c r="BE93" s="13">
        <f>BD93*VLOOKUP('Données projet'!$B$11,Paramètres!$A$1:$I$89,3,0)*VLOOKUP('Données projet'!$B$11,Paramètres!$A$1:$I$89,5,0)</f>
        <v>-3.1036506698001178E-14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159.92263609041913</v>
      </c>
      <c r="BJ93" s="59">
        <f t="shared" si="92"/>
        <v>271.78119133009307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25.053777260884843</v>
      </c>
      <c r="BQ93" s="21">
        <f>EXP(-LN(2)/25)*BQ92+(1-EXP(-LN(2)/25))/(LN(2)/25)*Calculateur!BL93*Calculateur!BN93*VLOOKUP('Données projet'!$B$11,Paramètres!$A$1:$I$89,3,0)*0.475*44/12</f>
        <v>37.481024443828503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62.534801704713345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7.1782051282051267</v>
      </c>
      <c r="BY93" s="12">
        <f>IF('Données projet'!$A$114&gt;35,BY92+BX93-CG92,IF(A93&lt;'Données projet'!$A$114,$BV$205^A93,IF(A93='Données projet'!$A$114,'Données projet'!$B$114,BY92+BX93-CG92)))</f>
        <v>253.64615384615416</v>
      </c>
      <c r="BZ93" s="13">
        <f>BY93*VLOOKUP('Données projet'!$B$12,Paramètres!$A$1:$I$89,3,0)*VLOOKUP('Données projet'!$B$12,Paramètres!$A$1:$I$89,5,0)</f>
        <v>229.49904000000029</v>
      </c>
      <c r="CA93" s="13">
        <f t="shared" si="93"/>
        <v>56.174348524497042</v>
      </c>
      <c r="CB93" s="20">
        <f t="shared" si="64"/>
        <v>497.54781834683286</v>
      </c>
      <c r="CC93" s="59">
        <f t="shared" si="65"/>
        <v>790.88115168016611</v>
      </c>
      <c r="CD93" s="59">
        <f ca="1">AVERAGE(OFFSET($CC$3,0,0,'Données projet'!$E$12+1,1))-AVERAGE(OFFSET($H$3,0,0,'Données projet'!$E$12+1,1))</f>
        <v>280.25710840677186</v>
      </c>
      <c r="CE93" s="59">
        <f t="shared" si="94"/>
        <v>209.65224013288037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41.45517976212043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41.45517976212043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249</v>
      </c>
      <c r="CR93" s="12">
        <f>VLOOKUP(A93,'Données projet'!$A$139:$I$159,9,0)</f>
        <v>3</v>
      </c>
      <c r="CS93" s="12">
        <f t="array" ref="CS93">INDEX(CR:CR,MIN(IF(ISNUMBER(CR93:CR289),ROW(CR93:CR289),"")))</f>
        <v>3</v>
      </c>
      <c r="CT93" s="12">
        <f>IF('Données projet'!$A$140&gt;35,CT92+CS93-DB92,IF(A93&lt;'Données projet'!$A$140,$CQ$205^A93,IF(A93='Données projet'!$A$140,'Données projet'!$B$140,CT92+CS93-DB92)))</f>
        <v>249</v>
      </c>
      <c r="CU93" s="17">
        <f>CT93*VLOOKUP('Données projet'!$B$13,Paramètres!$A$1:$I$89,3,0)*VLOOKUP('Données projet'!$B$13,Paramètres!$A$1:$I$89,5,0)</f>
        <v>260.25480000000005</v>
      </c>
      <c r="CV93" s="13">
        <f t="shared" si="95"/>
        <v>62.776687922790821</v>
      </c>
      <c r="CW93" s="20">
        <f t="shared" si="67"/>
        <v>562.61317479886077</v>
      </c>
      <c r="CX93" s="59">
        <f t="shared" si="68"/>
        <v>855.94650813219414</v>
      </c>
      <c r="CY93" s="59">
        <f ca="1">AVERAGE(OFFSET($CX$3,0,0,'Données projet'!$E$13+1,1))-AVERAGE(OFFSET($H$3,0,0,'Données projet'!$E$13+1,1))</f>
        <v>330.14201227773452</v>
      </c>
      <c r="CZ93" s="59">
        <f t="shared" si="96"/>
        <v>307.07297894926467</v>
      </c>
      <c r="DA93" s="15">
        <f>IF(ISNA(VLOOKUP(A93,'Données projet'!$A$139:$I$159,3,0)),0,VLOOKUP(A93,'Données projet'!$A$139:$I$159,3,0))</f>
        <v>15</v>
      </c>
      <c r="DB93" s="15" t="str">
        <f>IF(ISNA(VLOOKUP(A93,'Données projet'!$A$139:$I$159,4,0)),0,VLOOKUP(A93,'Données projet'!$A$139:$I$159,4,0))</f>
        <v>12</v>
      </c>
      <c r="DC93" s="16">
        <f>IF(ISNA(VLOOKUP(A93,'Données projet'!$A$139:$I$159,5,0)),0%,VLOOKUP(A93,'Données projet'!$A$139:$I$159,5,0)*VLOOKUP('Données projet'!$B$13,Paramètres!$A$1:$I$89,7,0))</f>
        <v>0.25800000000000001</v>
      </c>
      <c r="DD93" s="16">
        <f>IF(ISNA(VLOOKUP(A93,'Données projet'!$A$139:$I$159,6,0)),0%,VLOOKUP(A93,'Données projet'!$A$139:$I$159,6,0)*VLOOKUP('Données projet'!$B$13,Paramètres!$A$1:$I$89,7,0))</f>
        <v>0.129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30.051345140980899</v>
      </c>
      <c r="DG93" s="21">
        <f>EXP(-LN(2)/25)*DG92+(1-EXP(-LN(2)/25))/(LN(2)/25)*Calculateur!DB93*Calculateur!DD93*VLOOKUP('Données projet'!$B$13,Paramètres!$A$1:$I$89,3,0)*0.475*44/12</f>
        <v>20.576107961702572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50.627453102683475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283.73369613548124</v>
      </c>
      <c r="T94" s="59">
        <f t="shared" si="88"/>
        <v>249.77804091581208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132.50269635136988</v>
      </c>
      <c r="AA94" s="21">
        <f>EXP(-LN(2)/25)*AA93+(1-EXP(-LN(2)/25))/(LN(2)/25)*Calculateur!V94*Calculateur!X94*VLOOKUP('Données projet'!$B$9,Paramètres!$A$1:$I$89,3,0)*0.475*44/12</f>
        <v>27.976695281904401</v>
      </c>
      <c r="AB94" s="21">
        <f>EXP(-LN(2)/2)*AB93+(1-EXP(-LN(2)/2))/(LN(2)/2)*V94*Y94*VLOOKUP('Données projet'!$B$9,Paramètres!$A$1:$I$89,3,0)*0.475*44/12</f>
        <v>0.25792899671574265</v>
      </c>
      <c r="AC94" s="22">
        <f t="shared" si="57"/>
        <v>160.73732062999002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11.242307692307691</v>
      </c>
      <c r="AI94" s="13">
        <f>IF('Données projet'!$A$62&gt;35,AI93+AH94-AQ93,IF(A94&lt;'Données projet'!$A$62,$AF$205^A94,IF(A94='Données projet'!$A$62,'Données projet'!$B$62,AI93+AH94-AQ93)))</f>
        <v>424.15384615384636</v>
      </c>
      <c r="AJ94" s="13">
        <f>AI94*VLOOKUP('Données projet'!$B$10,Paramètres!$A$1:$I$89,3,0)*VLOOKUP('Données projet'!$B$10,Paramètres!$A$1:$I$89,5,0)</f>
        <v>198.5040000000001</v>
      </c>
      <c r="AK94" s="13">
        <f t="shared" si="89"/>
        <v>49.415248676990458</v>
      </c>
      <c r="AL94" s="20">
        <f t="shared" si="58"/>
        <v>431.79269144575846</v>
      </c>
      <c r="AM94" s="59">
        <f t="shared" si="59"/>
        <v>725.12602477909172</v>
      </c>
      <c r="AN94" s="59">
        <f ca="1">AVERAGE(OFFSET($AM$3,0,0,'Données projet'!$E$10+1,1))-AVERAGE(OFFSET($H$3,0,0,'Données projet'!$E$10+1,1))</f>
        <v>205.73717397588365</v>
      </c>
      <c r="AO94" s="59">
        <f t="shared" si="90"/>
        <v>190.64998698136026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72.873412759390973</v>
      </c>
      <c r="AV94" s="21">
        <f>EXP(-LN(2)/25)*AV93+(1-EXP(-LN(2)/25))/(LN(2)/25)*Calculateur!AQ94*Calculateur!AS94*VLOOKUP('Données projet'!$B$10,Paramètres!$A$1:$I$89,3,0)*0.475*44/12</f>
        <v>23.696018622896755</v>
      </c>
      <c r="AW94" s="21">
        <f>EXP(-LN(2)/2)*AW93+(1-EXP(-LN(2)/2))/(LN(2)/2)*AQ94*AT94*VLOOKUP('Données projet'!$B$10,Paramètres!$A$1:$I$89,3,0)*0.475*44/12</f>
        <v>1.4425709395714892</v>
      </c>
      <c r="AX94" s="21">
        <f t="shared" si="60"/>
        <v>98.012002321859228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-3.1036506698001178E-14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159.92263609041913</v>
      </c>
      <c r="BJ94" s="59">
        <f t="shared" si="92"/>
        <v>271.78119133009307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24.562487970094118</v>
      </c>
      <c r="BQ94" s="21">
        <f>EXP(-LN(2)/25)*BQ93+(1-EXP(-LN(2)/25))/(LN(2)/25)*Calculateur!BL94*Calculateur!BN94*VLOOKUP('Données projet'!$B$11,Paramètres!$A$1:$I$89,3,0)*0.475*44/12</f>
        <v>36.4561038593706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61.018591829464718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7.1782051282051267</v>
      </c>
      <c r="BY94" s="12">
        <f>IF('Données projet'!$A$114&gt;35,BY93+BX94-CG93,IF(A94&lt;'Données projet'!$A$114,$BV$205^A94,IF(A94='Données projet'!$A$114,'Données projet'!$B$114,BY93+BX94-CG93)))</f>
        <v>260.82435897435931</v>
      </c>
      <c r="BZ94" s="13">
        <f>BY94*VLOOKUP('Données projet'!$B$12,Paramètres!$A$1:$I$89,3,0)*VLOOKUP('Données projet'!$B$12,Paramètres!$A$1:$I$89,5,0)</f>
        <v>235.99388000000027</v>
      </c>
      <c r="CA94" s="13">
        <f t="shared" si="93"/>
        <v>57.57675164364376</v>
      </c>
      <c r="CB94" s="20">
        <f t="shared" si="64"/>
        <v>511.30218344601343</v>
      </c>
      <c r="CC94" s="59">
        <f t="shared" si="65"/>
        <v>804.63551677934674</v>
      </c>
      <c r="CD94" s="59">
        <f ca="1">AVERAGE(OFFSET($CC$3,0,0,'Données projet'!$E$12+1,1))-AVERAGE(OFFSET($H$3,0,0,'Données projet'!$E$12+1,1))</f>
        <v>280.25710840677186</v>
      </c>
      <c r="CE94" s="59">
        <f t="shared" si="94"/>
        <v>209.65224013288037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40.642268972148202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40.642268972148202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</v>
      </c>
      <c r="CT94" s="12">
        <f>IF('Données projet'!$A$140&gt;35,CT93+CS94-DB93,IF(A94&lt;'Données projet'!$A$140,$CQ$205^A94,IF(A94='Données projet'!$A$140,'Données projet'!$B$140,CT93+CS94-DB93)))</f>
        <v>240</v>
      </c>
      <c r="CU94" s="17">
        <f>CT94*VLOOKUP('Données projet'!$B$13,Paramètres!$A$1:$I$89,3,0)*VLOOKUP('Données projet'!$B$13,Paramètres!$A$1:$I$89,5,0)</f>
        <v>250.84800000000001</v>
      </c>
      <c r="CV94" s="13">
        <f t="shared" si="95"/>
        <v>60.767491486783541</v>
      </c>
      <c r="CW94" s="20">
        <f t="shared" si="67"/>
        <v>542.7303143394812</v>
      </c>
      <c r="CX94" s="59">
        <f t="shared" si="68"/>
        <v>836.06364767281457</v>
      </c>
      <c r="CY94" s="59">
        <f ca="1">AVERAGE(OFFSET($CX$3,0,0,'Données projet'!$E$13+1,1))-AVERAGE(OFFSET($H$3,0,0,'Données projet'!$E$13+1,1))</f>
        <v>330.14201227773452</v>
      </c>
      <c r="CZ94" s="59">
        <f t="shared" si="96"/>
        <v>307.07297894926467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29.462056592276912</v>
      </c>
      <c r="DG94" s="21">
        <f>EXP(-LN(2)/25)*DG93+(1-EXP(-LN(2)/25))/(LN(2)/25)*Calculateur!DB94*Calculateur!DD94*VLOOKUP('Données projet'!$B$13,Paramètres!$A$1:$I$89,3,0)*0.475*44/12</f>
        <v>20.013453207439326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49.475509799716235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283.73369613548124</v>
      </c>
      <c r="T95" s="59">
        <f t="shared" si="88"/>
        <v>249.77804091581208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129.9043992945841</v>
      </c>
      <c r="AA95" s="21">
        <f>EXP(-LN(2)/25)*AA94+(1-EXP(-LN(2)/25))/(LN(2)/25)*Calculateur!V95*Calculateur!X95*VLOOKUP('Données projet'!$B$9,Paramètres!$A$1:$I$89,3,0)*0.475*44/12</f>
        <v>27.211671078190264</v>
      </c>
      <c r="AB95" s="21">
        <f>EXP(-LN(2)/2)*AB94+(1-EXP(-LN(2)/2))/(LN(2)/2)*V95*Y95*VLOOKUP('Données projet'!$B$9,Paramètres!$A$1:$I$89,3,0)*0.475*44/12</f>
        <v>0.18238334264234438</v>
      </c>
      <c r="AC95" s="22">
        <f t="shared" si="57"/>
        <v>157.29845371541668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11.242307692307691</v>
      </c>
      <c r="AI95" s="13">
        <f>IF('Données projet'!$A$62&gt;35,AI94+AH95-AQ94,IF(A95&lt;'Données projet'!$A$62,$AF$205^A95,IF(A95='Données projet'!$A$62,'Données projet'!$B$62,AI94+AH95-AQ94)))</f>
        <v>435.39615384615405</v>
      </c>
      <c r="AJ95" s="13">
        <f>AI95*VLOOKUP('Données projet'!$B$10,Paramètres!$A$1:$I$89,3,0)*VLOOKUP('Données projet'!$B$10,Paramètres!$A$1:$I$89,5,0)</f>
        <v>203.76540000000008</v>
      </c>
      <c r="AK95" s="13">
        <f t="shared" si="89"/>
        <v>50.570788227585879</v>
      </c>
      <c r="AL95" s="20">
        <f t="shared" si="58"/>
        <v>442.96886116304557</v>
      </c>
      <c r="AM95" s="59">
        <f t="shared" si="59"/>
        <v>736.30219449637889</v>
      </c>
      <c r="AN95" s="59">
        <f ca="1">AVERAGE(OFFSET($AM$3,0,0,'Données projet'!$E$10+1,1))-AVERAGE(OFFSET($H$3,0,0,'Données projet'!$E$10+1,1))</f>
        <v>205.73717397588365</v>
      </c>
      <c r="AO95" s="59">
        <f t="shared" si="90"/>
        <v>190.64998698136026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71.444409583572181</v>
      </c>
      <c r="AV95" s="21">
        <f>EXP(-LN(2)/25)*AV94+(1-EXP(-LN(2)/25))/(LN(2)/25)*Calculateur!AQ95*Calculateur!AS95*VLOOKUP('Données projet'!$B$10,Paramètres!$A$1:$I$89,3,0)*0.475*44/12</f>
        <v>23.048049747534183</v>
      </c>
      <c r="AW95" s="21">
        <f>EXP(-LN(2)/2)*AW94+(1-EXP(-LN(2)/2))/(LN(2)/2)*AQ95*AT95*VLOOKUP('Données projet'!$B$10,Paramètres!$A$1:$I$89,3,0)*0.475*44/12</f>
        <v>1.0200516937136495</v>
      </c>
      <c r="AX95" s="21">
        <f t="shared" si="60"/>
        <v>95.512511024820014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-3.1036506698001178E-14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159.92263609041913</v>
      </c>
      <c r="BJ95" s="59">
        <f t="shared" si="92"/>
        <v>271.78119133009307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24.080832562638921</v>
      </c>
      <c r="BQ95" s="21">
        <f>EXP(-LN(2)/25)*BQ94+(1-EXP(-LN(2)/25))/(LN(2)/25)*Calculateur!BL95*Calculateur!BN95*VLOOKUP('Données projet'!$B$11,Paramètres!$A$1:$I$89,3,0)*0.475*44/12</f>
        <v>35.459209782192929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59.540042344831846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7.1782051282051267</v>
      </c>
      <c r="BY95" s="12">
        <f>IF('Données projet'!$A$114&gt;35,BY94+BX95-CG94,IF(A95&lt;'Données projet'!$A$114,$BV$205^A95,IF(A95='Données projet'!$A$114,'Données projet'!$B$114,BY94+BX95-CG94)))</f>
        <v>268.00256410256446</v>
      </c>
      <c r="BZ95" s="13">
        <f>BY95*VLOOKUP('Données projet'!$B$12,Paramètres!$A$1:$I$89,3,0)*VLOOKUP('Données projet'!$B$12,Paramètres!$A$1:$I$89,5,0)</f>
        <v>242.48872000000031</v>
      </c>
      <c r="CA95" s="13">
        <f t="shared" si="93"/>
        <v>58.974668795914049</v>
      </c>
      <c r="CB95" s="20">
        <f t="shared" si="64"/>
        <v>525.04873548621742</v>
      </c>
      <c r="CC95" s="59">
        <f t="shared" si="65"/>
        <v>818.3820688195508</v>
      </c>
      <c r="CD95" s="59">
        <f ca="1">AVERAGE(OFFSET($CC$3,0,0,'Données projet'!$E$12+1,1))-AVERAGE(OFFSET($H$3,0,0,'Données projet'!$E$12+1,1))</f>
        <v>280.25710840677186</v>
      </c>
      <c r="CE95" s="59">
        <f t="shared" si="94"/>
        <v>209.65224013288037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39.845298866940702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39.845298866940702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</v>
      </c>
      <c r="CT95" s="12">
        <f>IF('Données projet'!$A$140&gt;35,CT94+CS95-DB94,IF(A95&lt;'Données projet'!$A$140,$CQ$205^A95,IF(A95='Données projet'!$A$140,'Données projet'!$B$140,CT94+CS95-DB94)))</f>
        <v>243</v>
      </c>
      <c r="CU95" s="17">
        <f>CT95*VLOOKUP('Données projet'!$B$13,Paramètres!$A$1:$I$89,3,0)*VLOOKUP('Données projet'!$B$13,Paramètres!$A$1:$I$89,5,0)</f>
        <v>253.98360000000002</v>
      </c>
      <c r="CV95" s="13">
        <f t="shared" si="95"/>
        <v>61.438182405444294</v>
      </c>
      <c r="CW95" s="20">
        <f t="shared" si="67"/>
        <v>549.35960435614891</v>
      </c>
      <c r="CX95" s="59">
        <f t="shared" si="68"/>
        <v>842.69293768948228</v>
      </c>
      <c r="CY95" s="59">
        <f ca="1">AVERAGE(OFFSET($CX$3,0,0,'Données projet'!$E$13+1,1))-AVERAGE(OFFSET($H$3,0,0,'Données projet'!$E$13+1,1))</f>
        <v>330.14201227773452</v>
      </c>
      <c r="CZ95" s="59">
        <f t="shared" si="96"/>
        <v>307.07297894926467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28.884323632582486</v>
      </c>
      <c r="DG95" s="21">
        <f>EXP(-LN(2)/25)*DG94+(1-EXP(-LN(2)/25))/(LN(2)/25)*Calculateur!DB95*Calculateur!DD95*VLOOKUP('Données projet'!$B$13,Paramètres!$A$1:$I$89,3,0)*0.475*44/12</f>
        <v>19.466184277020137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48.350507909602626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283.73369613548124</v>
      </c>
      <c r="T96" s="59">
        <f t="shared" si="88"/>
        <v>249.77804091581208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127.35705325827718</v>
      </c>
      <c r="AA96" s="21">
        <f>EXP(-LN(2)/25)*AA95+(1-EXP(-LN(2)/25))/(LN(2)/25)*Calculateur!V96*Calculateur!X96*VLOOKUP('Données projet'!$B$9,Paramètres!$A$1:$I$89,3,0)*0.475*44/12</f>
        <v>26.467566501557563</v>
      </c>
      <c r="AB96" s="21">
        <f>EXP(-LN(2)/2)*AB95+(1-EXP(-LN(2)/2))/(LN(2)/2)*V96*Y96*VLOOKUP('Données projet'!$B$9,Paramètres!$A$1:$I$89,3,0)*0.475*44/12</f>
        <v>0.12896449835787133</v>
      </c>
      <c r="AC96" s="22">
        <f t="shared" si="57"/>
        <v>153.95358425819262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11.242307692307691</v>
      </c>
      <c r="AI96" s="13">
        <f>IF('Données projet'!$A$62&gt;35,AI95+AH96-AQ95,IF(A96&lt;'Données projet'!$A$62,$AF$205^A96,IF(A96='Données projet'!$A$62,'Données projet'!$B$62,AI95+AH96-AQ95)))</f>
        <v>446.63846153846174</v>
      </c>
      <c r="AJ96" s="13">
        <f>AI96*VLOOKUP('Données projet'!$B$10,Paramètres!$A$1:$I$89,3,0)*VLOOKUP('Données projet'!$B$10,Paramètres!$A$1:$I$89,5,0)</f>
        <v>209.02680000000009</v>
      </c>
      <c r="AK96" s="13">
        <f t="shared" si="89"/>
        <v>51.722859553755349</v>
      </c>
      <c r="AL96" s="20">
        <f t="shared" si="58"/>
        <v>454.13899038945743</v>
      </c>
      <c r="AM96" s="59">
        <f t="shared" si="59"/>
        <v>747.47232372279075</v>
      </c>
      <c r="AN96" s="59">
        <f ca="1">AVERAGE(OFFSET($AM$3,0,0,'Données projet'!$E$10+1,1))-AVERAGE(OFFSET($H$3,0,0,'Données projet'!$E$10+1,1))</f>
        <v>205.73717397588365</v>
      </c>
      <c r="AO96" s="59">
        <f t="shared" si="90"/>
        <v>190.64998698136026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70.043428288425332</v>
      </c>
      <c r="AV96" s="21">
        <f>EXP(-LN(2)/25)*AV95+(1-EXP(-LN(2)/25))/(LN(2)/25)*Calculateur!AQ96*Calculateur!AS96*VLOOKUP('Données projet'!$B$10,Paramètres!$A$1:$I$89,3,0)*0.475*44/12</f>
        <v>22.417799615143601</v>
      </c>
      <c r="AW96" s="21">
        <f>EXP(-LN(2)/2)*AW95+(1-EXP(-LN(2)/2))/(LN(2)/2)*AQ96*AT96*VLOOKUP('Données projet'!$B$10,Paramètres!$A$1:$I$89,3,0)*0.475*44/12</f>
        <v>0.72128546978574481</v>
      </c>
      <c r="AX96" s="21">
        <f t="shared" si="60"/>
        <v>93.182513373354666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-3.1036506698001178E-14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159.92263609041913</v>
      </c>
      <c r="BJ96" s="59">
        <f t="shared" si="92"/>
        <v>271.78119133009307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23.608622123943128</v>
      </c>
      <c r="BQ96" s="21">
        <f>EXP(-LN(2)/25)*BQ95+(1-EXP(-LN(2)/25))/(LN(2)/25)*Calculateur!BL96*Calculateur!BN96*VLOOKUP('Données projet'!$B$11,Paramètres!$A$1:$I$89,3,0)*0.475*44/12</f>
        <v>34.489575825980062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58.09819794992319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7.1782051282051267</v>
      </c>
      <c r="BY96" s="12">
        <f>IF('Données projet'!$A$114&gt;35,BY95+BX96-CG95,IF(A96&lt;'Données projet'!$A$114,$BV$205^A96,IF(A96='Données projet'!$A$114,'Données projet'!$B$114,BY95+BX96-CG95)))</f>
        <v>275.18076923076961</v>
      </c>
      <c r="BZ96" s="13">
        <f>BY96*VLOOKUP('Données projet'!$B$12,Paramètres!$A$1:$I$89,3,0)*VLOOKUP('Données projet'!$B$12,Paramètres!$A$1:$I$89,5,0)</f>
        <v>248.98356000000032</v>
      </c>
      <c r="CA96" s="13">
        <f t="shared" si="93"/>
        <v>60.368233943158614</v>
      </c>
      <c r="CB96" s="20">
        <f t="shared" si="64"/>
        <v>538.78770778433511</v>
      </c>
      <c r="CC96" s="59">
        <f t="shared" si="65"/>
        <v>832.12104111766848</v>
      </c>
      <c r="CD96" s="59">
        <f ca="1">AVERAGE(OFFSET($CC$3,0,0,'Données projet'!$E$12+1,1))-AVERAGE(OFFSET($H$3,0,0,'Données projet'!$E$12+1,1))</f>
        <v>280.25710840677186</v>
      </c>
      <c r="CE96" s="59">
        <f t="shared" si="94"/>
        <v>209.65224013288037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39.063956859392562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39.063956859392562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</v>
      </c>
      <c r="CT96" s="12">
        <f>IF('Données projet'!$A$140&gt;35,CT95+CS96-DB95,IF(A96&lt;'Données projet'!$A$140,$CQ$205^A96,IF(A96='Données projet'!$A$140,'Données projet'!$B$140,CT95+CS96-DB95)))</f>
        <v>246</v>
      </c>
      <c r="CU96" s="17">
        <f>CT96*VLOOKUP('Données projet'!$B$13,Paramètres!$A$1:$I$89,3,0)*VLOOKUP('Données projet'!$B$13,Paramètres!$A$1:$I$89,5,0)</f>
        <v>257.11920000000003</v>
      </c>
      <c r="CV96" s="13">
        <f t="shared" si="95"/>
        <v>62.107910182723955</v>
      </c>
      <c r="CW96" s="20">
        <f t="shared" si="67"/>
        <v>555.98721690157754</v>
      </c>
      <c r="CX96" s="59">
        <f t="shared" si="68"/>
        <v>849.3205502349108</v>
      </c>
      <c r="CY96" s="59">
        <f ca="1">AVERAGE(OFFSET($CX$3,0,0,'Données projet'!$E$13+1,1))-AVERAGE(OFFSET($H$3,0,0,'Données projet'!$E$13+1,1))</f>
        <v>330.14201227773452</v>
      </c>
      <c r="CZ96" s="59">
        <f t="shared" si="96"/>
        <v>307.07297894926467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28.317919663845355</v>
      </c>
      <c r="DG96" s="21">
        <f>EXP(-LN(2)/25)*DG95+(1-EXP(-LN(2)/25))/(LN(2)/25)*Calculateur!DB96*Calculateur!DD96*VLOOKUP('Données projet'!$B$13,Paramètres!$A$1:$I$89,3,0)*0.475*44/12</f>
        <v>18.933880444282881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47.251800108128236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283.73369613548124</v>
      </c>
      <c r="T97" s="59">
        <f t="shared" si="88"/>
        <v>249.77804091581208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124.85965912401457</v>
      </c>
      <c r="AA97" s="21">
        <f>EXP(-LN(2)/25)*AA96+(1-EXP(-LN(2)/25))/(LN(2)/25)*Calculateur!V97*Calculateur!X97*VLOOKUP('Données projet'!$B$9,Paramètres!$A$1:$I$89,3,0)*0.475*44/12</f>
        <v>25.743809503703641</v>
      </c>
      <c r="AB97" s="21">
        <f>EXP(-LN(2)/2)*AB96+(1-EXP(-LN(2)/2))/(LN(2)/2)*V97*Y97*VLOOKUP('Données projet'!$B$9,Paramètres!$A$1:$I$89,3,0)*0.475*44/12</f>
        <v>9.1191671321172188E-2</v>
      </c>
      <c r="AC97" s="22">
        <f t="shared" si="57"/>
        <v>150.69466029903938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11.242307692307691</v>
      </c>
      <c r="AI97" s="13">
        <f>IF('Données projet'!$A$62&gt;35,AI96+AH97-AQ96,IF(A97&lt;'Données projet'!$A$62,$AF$205^A97,IF(A97='Données projet'!$A$62,'Données projet'!$B$62,AI96+AH97-AQ96)))</f>
        <v>457.88076923076943</v>
      </c>
      <c r="AJ97" s="13">
        <f>AI97*VLOOKUP('Données projet'!$B$10,Paramètres!$A$1:$I$89,3,0)*VLOOKUP('Données projet'!$B$10,Paramètres!$A$1:$I$89,5,0)</f>
        <v>214.28820000000007</v>
      </c>
      <c r="AK97" s="13">
        <f t="shared" si="89"/>
        <v>52.871559993650941</v>
      </c>
      <c r="AL97" s="20">
        <f t="shared" si="58"/>
        <v>465.3032486556088</v>
      </c>
      <c r="AM97" s="59">
        <f t="shared" si="59"/>
        <v>758.63658198894211</v>
      </c>
      <c r="AN97" s="59">
        <f ca="1">AVERAGE(OFFSET($AM$3,0,0,'Données projet'!$E$10+1,1))-AVERAGE(OFFSET($H$3,0,0,'Données projet'!$E$10+1,1))</f>
        <v>205.73717397588365</v>
      </c>
      <c r="AO97" s="59">
        <f t="shared" si="90"/>
        <v>190.64998698136026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68.669919381962089</v>
      </c>
      <c r="AV97" s="21">
        <f>EXP(-LN(2)/25)*AV96+(1-EXP(-LN(2)/25))/(LN(2)/25)*Calculateur!AQ97*Calculateur!AS97*VLOOKUP('Données projet'!$B$10,Paramètres!$A$1:$I$89,3,0)*0.475*44/12</f>
        <v>21.804783705766653</v>
      </c>
      <c r="AW97" s="21">
        <f>EXP(-LN(2)/2)*AW96+(1-EXP(-LN(2)/2))/(LN(2)/2)*AQ97*AT97*VLOOKUP('Données projet'!$B$10,Paramètres!$A$1:$I$89,3,0)*0.475*44/12</f>
        <v>0.51002584685682484</v>
      </c>
      <c r="AX97" s="21">
        <f t="shared" si="60"/>
        <v>90.984728934585561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-3.1036506698001178E-14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159.92263609041913</v>
      </c>
      <c r="BJ97" s="59">
        <f t="shared" si="92"/>
        <v>271.78119133009307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23.145671443930233</v>
      </c>
      <c r="BQ97" s="21">
        <f>EXP(-LN(2)/25)*BQ96+(1-EXP(-LN(2)/25))/(LN(2)/25)*Calculateur!BL97*Calculateur!BN97*VLOOKUP('Données projet'!$B$11,Paramètres!$A$1:$I$89,3,0)*0.475*44/12</f>
        <v>33.546456561290668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56.692128005220901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7.1782051282051267</v>
      </c>
      <c r="BY97" s="12">
        <f>IF('Données projet'!$A$114&gt;35,BY96+BX97-CG96,IF(A97&lt;'Données projet'!$A$114,$BV$205^A97,IF(A97='Données projet'!$A$114,'Données projet'!$B$114,BY96+BX97-CG96)))</f>
        <v>282.35897435897476</v>
      </c>
      <c r="BZ97" s="13">
        <f>BY97*VLOOKUP('Données projet'!$B$12,Paramètres!$A$1:$I$89,3,0)*VLOOKUP('Données projet'!$B$12,Paramètres!$A$1:$I$89,5,0)</f>
        <v>255.47840000000036</v>
      </c>
      <c r="CA97" s="13">
        <f t="shared" si="93"/>
        <v>61.757573660260803</v>
      </c>
      <c r="CB97" s="20">
        <f t="shared" si="64"/>
        <v>552.51932079162145</v>
      </c>
      <c r="CC97" s="59">
        <f t="shared" si="65"/>
        <v>845.85265412495482</v>
      </c>
      <c r="CD97" s="59">
        <f ca="1">AVERAGE(OFFSET($CC$3,0,0,'Données projet'!$E$12+1,1))-AVERAGE(OFFSET($H$3,0,0,'Données projet'!$E$12+1,1))</f>
        <v>280.25710840677186</v>
      </c>
      <c r="CE97" s="59">
        <f t="shared" si="94"/>
        <v>209.65224013288037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38.297936492040868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38.297936492040868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</v>
      </c>
      <c r="CT97" s="12">
        <f>IF('Données projet'!$A$140&gt;35,CT96+CS97-DB96,IF(A97&lt;'Données projet'!$A$140,$CQ$205^A97,IF(A97='Données projet'!$A$140,'Données projet'!$B$140,CT96+CS97-DB96)))</f>
        <v>249</v>
      </c>
      <c r="CU97" s="17">
        <f>CT97*VLOOKUP('Données projet'!$B$13,Paramètres!$A$1:$I$89,3,0)*VLOOKUP('Données projet'!$B$13,Paramètres!$A$1:$I$89,5,0)</f>
        <v>260.25480000000005</v>
      </c>
      <c r="CV97" s="13">
        <f t="shared" si="95"/>
        <v>62.776687922790821</v>
      </c>
      <c r="CW97" s="20">
        <f t="shared" si="67"/>
        <v>562.61317479886077</v>
      </c>
      <c r="CX97" s="59">
        <f t="shared" si="68"/>
        <v>855.94650813219414</v>
      </c>
      <c r="CY97" s="59">
        <f ca="1">AVERAGE(OFFSET($CX$3,0,0,'Données projet'!$E$13+1,1))-AVERAGE(OFFSET($H$3,0,0,'Données projet'!$E$13+1,1))</f>
        <v>330.14201227773452</v>
      </c>
      <c r="CZ97" s="59">
        <f t="shared" si="96"/>
        <v>307.07297894926467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27.762622531462853</v>
      </c>
      <c r="DG97" s="21">
        <f>EXP(-LN(2)/25)*DG96+(1-EXP(-LN(2)/25))/(LN(2)/25)*Calculateur!DB97*Calculateur!DD97*VLOOKUP('Données projet'!$B$13,Paramètres!$A$1:$I$89,3,0)*0.475*44/12</f>
        <v>18.416132487844468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46.178755019307317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283.73369613548124</v>
      </c>
      <c r="T98" s="59">
        <f t="shared" si="88"/>
        <v>249.77804091581208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122.41123736546484</v>
      </c>
      <c r="AA98" s="21">
        <f>EXP(-LN(2)/25)*AA97+(1-EXP(-LN(2)/25))/(LN(2)/25)*Calculateur!V98*Calculateur!X98*VLOOKUP('Données projet'!$B$9,Paramètres!$A$1:$I$89,3,0)*0.475*44/12</f>
        <v>25.039843679016762</v>
      </c>
      <c r="AB98" s="21">
        <f>EXP(-LN(2)/2)*AB97+(1-EXP(-LN(2)/2))/(LN(2)/2)*V98*Y98*VLOOKUP('Données projet'!$B$9,Paramètres!$A$1:$I$89,3,0)*0.475*44/12</f>
        <v>6.4482249178935663E-2</v>
      </c>
      <c r="AC98" s="22">
        <f t="shared" si="57"/>
        <v>147.51556329366053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469.12307692307689</v>
      </c>
      <c r="AG98" s="12">
        <f>VLOOKUP(A98,'Données projet'!$A$61:$I$81,9,0)</f>
        <v>11.242307692307691</v>
      </c>
      <c r="AH98" s="12">
        <f t="array" ref="AH98">INDEX(AG:AG,MIN(IF(ISNUMBER(AG98:AG294),ROW(AG98:AG294),"")))</f>
        <v>11.242307692307691</v>
      </c>
      <c r="AI98" s="13">
        <f>IF('Données projet'!$A$62&gt;35,AI97+AH98-AQ97,IF(A98&lt;'Données projet'!$A$62,$AF$205^A98,IF(A98='Données projet'!$A$62,'Données projet'!$B$62,AI97+AH98-AQ97)))</f>
        <v>469.12307692307712</v>
      </c>
      <c r="AJ98" s="13">
        <f>AI98*VLOOKUP('Données projet'!$B$10,Paramètres!$A$1:$I$89,3,0)*VLOOKUP('Données projet'!$B$10,Paramètres!$A$1:$I$89,5,0)</f>
        <v>219.54960000000008</v>
      </c>
      <c r="AK98" s="13">
        <f t="shared" si="89"/>
        <v>54.016981833057052</v>
      </c>
      <c r="AL98" s="20">
        <f t="shared" si="58"/>
        <v>476.46179669257441</v>
      </c>
      <c r="AM98" s="59">
        <f t="shared" si="59"/>
        <v>769.79513002590772</v>
      </c>
      <c r="AN98" s="59">
        <f ca="1">AVERAGE(OFFSET($AM$3,0,0,'Données projet'!$E$10+1,1))-AVERAGE(OFFSET($H$3,0,0,'Données projet'!$E$10+1,1))</f>
        <v>205.73717397588365</v>
      </c>
      <c r="AO98" s="59">
        <f t="shared" si="90"/>
        <v>190.64998698136026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234.42307692307691</v>
      </c>
      <c r="AR98" s="16">
        <f>IF(ISNA(VLOOKUP(A98,'Données projet'!$A$61:$I$81,5,0)),0%,VLOOKUP(A98,'Données projet'!$A$61:$I$81,5,0)*VLOOKUP('Données projet'!$B$10,Paramètres!$A$1:$I$89,7,0))</f>
        <v>0.38500000000000001</v>
      </c>
      <c r="AS98" s="16">
        <f>IF(ISNA(VLOOKUP(A98,'Données projet'!$A$61:$I$81,6,0)),0%,VLOOKUP(A98,'Données projet'!$A$61:$I$81,6,0)*VLOOKUP('Données projet'!$B$10,Paramètres!$A$1:$I$89,7,0))</f>
        <v>9.240000000000001E-2</v>
      </c>
      <c r="AT98" s="16">
        <f>IF(ISNA(VLOOKUP(A98,'Données projet'!$A$61:$I$81,7,0)),0%,VLOOKUP(A98,'Données projet'!$A$61:$I$81,7,0))</f>
        <v>0.13200000000000001</v>
      </c>
      <c r="AU98" s="21">
        <f>EXP(-LN(2)/35)*AU97+(1-EXP(-LN(2)/35))/(LN(2)/35)*AQ98*AR98*VLOOKUP('Données projet'!$B$10,Paramètres!$A$1:$I$89,3,0)*0.475*44/12</f>
        <v>123.35523791381158</v>
      </c>
      <c r="AV98" s="21">
        <f>EXP(-LN(2)/25)*AV97+(1-EXP(-LN(2)/25))/(LN(2)/25)*Calculateur!AQ98*Calculateur!AS98*VLOOKUP('Données projet'!$B$10,Paramètres!$A$1:$I$89,3,0)*0.475*44/12</f>
        <v>34.603236712868167</v>
      </c>
      <c r="AW98" s="21">
        <f>EXP(-LN(2)/2)*AW97+(1-EXP(-LN(2)/2))/(LN(2)/2)*AQ98*AT98*VLOOKUP('Données projet'!$B$10,Paramètres!$A$1:$I$89,3,0)*0.475*44/12</f>
        <v>16.757313842627845</v>
      </c>
      <c r="AX98" s="21">
        <f t="shared" si="60"/>
        <v>174.71578846930757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-3.1036506698001178E-14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159.92263609041913</v>
      </c>
      <c r="BJ98" s="59">
        <f t="shared" si="92"/>
        <v>271.78119133009307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22.691798944380359</v>
      </c>
      <c r="BQ98" s="21">
        <f>EXP(-LN(2)/25)*BQ97+(1-EXP(-LN(2)/25))/(LN(2)/25)*Calculateur!BL98*Calculateur!BN98*VLOOKUP('Données projet'!$B$11,Paramètres!$A$1:$I$89,3,0)*0.475*44/12</f>
        <v>32.629126942490693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55.320925886871052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7.1782051282051267</v>
      </c>
      <c r="BY98" s="12">
        <f>IF('Données projet'!$A$114&gt;35,BY97+BX98-CG97,IF(A98&lt;'Données projet'!$A$114,$BV$205^A98,IF(A98='Données projet'!$A$114,'Données projet'!$B$114,BY97+BX98-CG97)))</f>
        <v>289.53717948717991</v>
      </c>
      <c r="BZ98" s="13">
        <f>BY98*VLOOKUP('Données projet'!$B$12,Paramètres!$A$1:$I$89,3,0)*VLOOKUP('Données projet'!$B$12,Paramètres!$A$1:$I$89,5,0)</f>
        <v>261.97324000000037</v>
      </c>
      <c r="CA98" s="13">
        <f t="shared" si="93"/>
        <v>63.142807719765102</v>
      </c>
      <c r="CB98" s="20">
        <f t="shared" si="64"/>
        <v>566.24378311192481</v>
      </c>
      <c r="CC98" s="59">
        <f t="shared" si="65"/>
        <v>859.57711644525807</v>
      </c>
      <c r="CD98" s="59">
        <f ca="1">AVERAGE(OFFSET($CC$3,0,0,'Données projet'!$E$12+1,1))-AVERAGE(OFFSET($H$3,0,0,'Données projet'!$E$12+1,1))</f>
        <v>280.25710840677186</v>
      </c>
      <c r="CE98" s="59">
        <f t="shared" si="94"/>
        <v>209.65224013288037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37.546937316866654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37.546937316866654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252</v>
      </c>
      <c r="CR98" s="12">
        <f>VLOOKUP(A98,'Données projet'!$A$139:$I$159,9,0)</f>
        <v>3</v>
      </c>
      <c r="CS98" s="12">
        <f t="array" ref="CS98">INDEX(CR:CR,MIN(IF(ISNUMBER(CR98:CR294),ROW(CR98:CR294),"")))</f>
        <v>3</v>
      </c>
      <c r="CT98" s="12">
        <f>IF('Données projet'!$A$140&gt;35,CT97+CS98-DB97,IF(A98&lt;'Données projet'!$A$140,$CQ$205^A98,IF(A98='Données projet'!$A$140,'Données projet'!$B$140,CT97+CS98-DB97)))</f>
        <v>252</v>
      </c>
      <c r="CU98" s="17">
        <f>CT98*VLOOKUP('Données projet'!$B$13,Paramètres!$A$1:$I$89,3,0)*VLOOKUP('Données projet'!$B$13,Paramètres!$A$1:$I$89,5,0)</f>
        <v>263.3904</v>
      </c>
      <c r="CV98" s="13">
        <f t="shared" si="95"/>
        <v>63.444528395882578</v>
      </c>
      <c r="CW98" s="20">
        <f t="shared" si="67"/>
        <v>569.23750028949542</v>
      </c>
      <c r="CX98" s="59">
        <f t="shared" si="68"/>
        <v>862.57083362282879</v>
      </c>
      <c r="CY98" s="59">
        <f ca="1">AVERAGE(OFFSET($CX$3,0,0,'Données projet'!$E$13+1,1))-AVERAGE(OFFSET($H$3,0,0,'Données projet'!$E$13+1,1))</f>
        <v>330.14201227773452</v>
      </c>
      <c r="CZ98" s="59">
        <f t="shared" si="96"/>
        <v>307.07297894926467</v>
      </c>
      <c r="DA98" s="15">
        <f>IF(ISNA(VLOOKUP(A98,'Données projet'!$A$139:$I$159,3,0)),0,VLOOKUP(A98,'Données projet'!$A$139:$I$159,3,0))</f>
        <v>16</v>
      </c>
      <c r="DB98" s="15" t="str">
        <f>IF(ISNA(VLOOKUP(A98,'Données projet'!$A$139:$I$159,4,0)),0,VLOOKUP(A98,'Données projet'!$A$139:$I$159,4,0))</f>
        <v>12</v>
      </c>
      <c r="DC98" s="16">
        <f>IF(ISNA(VLOOKUP(A98,'Données projet'!$A$139:$I$159,5,0)),0%,VLOOKUP(A98,'Données projet'!$A$139:$I$159,5,0)*VLOOKUP('Données projet'!$B$13,Paramètres!$A$1:$I$89,7,0))</f>
        <v>0.30099999999999999</v>
      </c>
      <c r="DD98" s="16">
        <f>IF(ISNA(VLOOKUP(A98,'Données projet'!$A$139:$I$159,6,0)),0%,VLOOKUP(A98,'Données projet'!$A$139:$I$159,6,0)*VLOOKUP('Données projet'!$B$13,Paramètres!$A$1:$I$89,7,0))</f>
        <v>8.6000000000000007E-2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31.391655195313042</v>
      </c>
      <c r="DG98" s="21">
        <f>EXP(-LN(2)/25)*DG97+(1-EXP(-LN(2)/25))/(LN(2)/25)*Calculateur!DB98*Calculateur!DD98*VLOOKUP('Données projet'!$B$13,Paramètres!$A$1:$I$89,3,0)*0.475*44/12</f>
        <v>19.100259042700326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50.491914238013365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283.73369613548124</v>
      </c>
      <c r="T99" s="59">
        <f t="shared" si="88"/>
        <v>249.77804091581208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120.01082766421047</v>
      </c>
      <c r="AA99" s="21">
        <f>EXP(-LN(2)/25)*AA98+(1-EXP(-LN(2)/25))/(LN(2)/25)*Calculateur!V99*Calculateur!X99*VLOOKUP('Données projet'!$B$9,Paramètres!$A$1:$I$89,3,0)*0.475*44/12</f>
        <v>24.355127836825901</v>
      </c>
      <c r="AB99" s="21">
        <f>EXP(-LN(2)/2)*AB98+(1-EXP(-LN(2)/2))/(LN(2)/2)*V99*Y99*VLOOKUP('Données projet'!$B$9,Paramètres!$A$1:$I$89,3,0)*0.475*44/12</f>
        <v>4.5595835660586094E-2</v>
      </c>
      <c r="AC99" s="22">
        <f t="shared" si="57"/>
        <v>144.41155133669693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7.5015384615384617</v>
      </c>
      <c r="AI99" s="13">
        <f>IF('Données projet'!$A$62&gt;35,AI98+AH99-AQ98,IF(A99&lt;'Données projet'!$A$62,$AF$205^A99,IF(A99='Données projet'!$A$62,'Données projet'!$B$62,AI98+AH99-AQ98)))</f>
        <v>242.20153846153869</v>
      </c>
      <c r="AJ99" s="13">
        <f>AI99*VLOOKUP('Données projet'!$B$10,Paramètres!$A$1:$I$89,3,0)*VLOOKUP('Données projet'!$B$10,Paramètres!$A$1:$I$89,5,0)</f>
        <v>113.35032000000011</v>
      </c>
      <c r="AK99" s="13">
        <f t="shared" si="89"/>
        <v>30.118962463528121</v>
      </c>
      <c r="AL99" s="20">
        <f t="shared" si="58"/>
        <v>249.87566695731167</v>
      </c>
      <c r="AM99" s="59">
        <f t="shared" si="59"/>
        <v>543.20900029064501</v>
      </c>
      <c r="AN99" s="59">
        <f ca="1">AVERAGE(OFFSET($AM$3,0,0,'Données projet'!$E$10+1,1))-AVERAGE(OFFSET($H$3,0,0,'Données projet'!$E$10+1,1))</f>
        <v>205.73717397588365</v>
      </c>
      <c r="AO99" s="59">
        <f t="shared" si="90"/>
        <v>190.64998698136026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120.93631693758761</v>
      </c>
      <c r="AV99" s="21">
        <f>EXP(-LN(2)/25)*AV98+(1-EXP(-LN(2)/25))/(LN(2)/25)*Calculateur!AQ99*Calculateur!AS99*VLOOKUP('Données projet'!$B$10,Paramètres!$A$1:$I$89,3,0)*0.475*44/12</f>
        <v>33.657009385249658</v>
      </c>
      <c r="AW99" s="21">
        <f>EXP(-LN(2)/2)*AW98+(1-EXP(-LN(2)/2))/(LN(2)/2)*AQ99*AT99*VLOOKUP('Données projet'!$B$10,Paramètres!$A$1:$I$89,3,0)*0.475*44/12</f>
        <v>11.849210252593352</v>
      </c>
      <c r="AX99" s="21">
        <f t="shared" si="60"/>
        <v>166.44253657543061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-3.1036506698001178E-14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159.92263609041913</v>
      </c>
      <c r="BJ99" s="59">
        <f t="shared" si="92"/>
        <v>271.78119133009307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22.246826607711768</v>
      </c>
      <c r="BQ99" s="21">
        <f>EXP(-LN(2)/25)*BQ98+(1-EXP(-LN(2)/25))/(LN(2)/25)*Calculateur!BL99*Calculateur!BN99*VLOOKUP('Données projet'!$B$11,Paramètres!$A$1:$I$89,3,0)*0.475*44/12</f>
        <v>31.736881750357075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53.983708358068839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7.1782051282051267</v>
      </c>
      <c r="BY99" s="12">
        <f>IF('Données projet'!$A$114&gt;35,BY98+BX99-CG98,IF(A99&lt;'Données projet'!$A$114,$BV$205^A99,IF(A99='Données projet'!$A$114,'Données projet'!$B$114,BY98+BX99-CG98)))</f>
        <v>296.71538461538506</v>
      </c>
      <c r="BZ99" s="13">
        <f>BY99*VLOOKUP('Données projet'!$B$12,Paramètres!$A$1:$I$89,3,0)*VLOOKUP('Données projet'!$B$12,Paramètres!$A$1:$I$89,5,0)</f>
        <v>268.46808000000038</v>
      </c>
      <c r="CA99" s="13">
        <f t="shared" si="93"/>
        <v>64.524049616897415</v>
      </c>
      <c r="CB99" s="20">
        <f t="shared" si="64"/>
        <v>579.96129241609697</v>
      </c>
      <c r="CC99" s="59">
        <f t="shared" si="65"/>
        <v>873.29462574943022</v>
      </c>
      <c r="CD99" s="59">
        <f ca="1">AVERAGE(OFFSET($CC$3,0,0,'Données projet'!$E$12+1,1))-AVERAGE(OFFSET($H$3,0,0,'Données projet'!$E$12+1,1))</f>
        <v>280.25710840677186</v>
      </c>
      <c r="CE99" s="59">
        <f t="shared" si="94"/>
        <v>209.65224013288037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36.81066477745334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36.81066477745334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</v>
      </c>
      <c r="CT99" s="12">
        <f>IF('Données projet'!$A$140&gt;35,CT98+CS99-DB98,IF(A99&lt;'Données projet'!$A$140,$CQ$205^A99,IF(A99='Données projet'!$A$140,'Données projet'!$B$140,CT98+CS99-DB98)))</f>
        <v>243</v>
      </c>
      <c r="CU99" s="17">
        <f>CT99*VLOOKUP('Données projet'!$B$13,Paramètres!$A$1:$I$89,3,0)*VLOOKUP('Données projet'!$B$13,Paramètres!$A$1:$I$89,5,0)</f>
        <v>253.98360000000002</v>
      </c>
      <c r="CV99" s="13">
        <f t="shared" si="95"/>
        <v>61.438182405444294</v>
      </c>
      <c r="CW99" s="20">
        <f t="shared" si="67"/>
        <v>549.35960435614891</v>
      </c>
      <c r="CX99" s="59">
        <f t="shared" si="68"/>
        <v>842.69293768948228</v>
      </c>
      <c r="CY99" s="59">
        <f ca="1">AVERAGE(OFFSET($CX$3,0,0,'Données projet'!$E$13+1,1))-AVERAGE(OFFSET($H$3,0,0,'Données projet'!$E$13+1,1))</f>
        <v>330.14201227773452</v>
      </c>
      <c r="CZ99" s="59">
        <f t="shared" si="96"/>
        <v>307.07297894926467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30.776083983952013</v>
      </c>
      <c r="DG99" s="21">
        <f>EXP(-LN(2)/25)*DG98+(1-EXP(-LN(2)/25))/(LN(2)/25)*Calculateur!DB99*Calculateur!DD99*VLOOKUP('Données projet'!$B$13,Paramètres!$A$1:$I$89,3,0)*0.475*44/12</f>
        <v>18.577961454738716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49.354045438690733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283.73369613548124</v>
      </c>
      <c r="T100" s="59">
        <f t="shared" si="88"/>
        <v>249.77804091581208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117.65748853309233</v>
      </c>
      <c r="AA100" s="21">
        <f>EXP(-LN(2)/25)*AA99+(1-EXP(-LN(2)/25))/(LN(2)/25)*Calculateur!V100*Calculateur!X100*VLOOKUP('Données projet'!$B$9,Paramètres!$A$1:$I$89,3,0)*0.475*44/12</f>
        <v>23.689135585347387</v>
      </c>
      <c r="AB100" s="21">
        <f>EXP(-LN(2)/2)*AB99+(1-EXP(-LN(2)/2))/(LN(2)/2)*V100*Y100*VLOOKUP('Données projet'!$B$9,Paramètres!$A$1:$I$89,3,0)*0.475*44/12</f>
        <v>3.2241124589467832E-2</v>
      </c>
      <c r="AC100" s="22">
        <f t="shared" si="57"/>
        <v>141.37886524302917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7.5015384615384617</v>
      </c>
      <c r="AI100" s="13">
        <f>IF('Données projet'!$A$62&gt;35,AI99+AH100-AQ99,IF(A100&lt;'Données projet'!$A$62,$AF$205^A100,IF(A100='Données projet'!$A$62,'Données projet'!$B$62,AI99+AH100-AQ99)))</f>
        <v>249.70307692307716</v>
      </c>
      <c r="AJ100" s="13">
        <f>AI100*VLOOKUP('Données projet'!$B$10,Paramètres!$A$1:$I$89,3,0)*VLOOKUP('Données projet'!$B$10,Paramètres!$A$1:$I$89,5,0)</f>
        <v>116.86104000000012</v>
      </c>
      <c r="AK100" s="13">
        <f t="shared" si="89"/>
        <v>30.941762857231797</v>
      </c>
      <c r="AL100" s="20">
        <f t="shared" si="58"/>
        <v>257.42321497634555</v>
      </c>
      <c r="AM100" s="59">
        <f t="shared" si="59"/>
        <v>550.75654830967892</v>
      </c>
      <c r="AN100" s="59">
        <f ca="1">AVERAGE(OFFSET($AM$3,0,0,'Données projet'!$E$10+1,1))-AVERAGE(OFFSET($H$3,0,0,'Données projet'!$E$10+1,1))</f>
        <v>205.73717397588365</v>
      </c>
      <c r="AO100" s="59">
        <f t="shared" si="90"/>
        <v>190.64998698136026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118.56482952631127</v>
      </c>
      <c r="AV100" s="21">
        <f>EXP(-LN(2)/25)*AV99+(1-EXP(-LN(2)/25))/(LN(2)/25)*Calculateur!AQ100*Calculateur!AS100*VLOOKUP('Données projet'!$B$10,Paramètres!$A$1:$I$89,3,0)*0.475*44/12</f>
        <v>32.736656693664806</v>
      </c>
      <c r="AW100" s="21">
        <f>EXP(-LN(2)/2)*AW99+(1-EXP(-LN(2)/2))/(LN(2)/2)*AQ100*AT100*VLOOKUP('Données projet'!$B$10,Paramètres!$A$1:$I$89,3,0)*0.475*44/12</f>
        <v>8.3786569213139241</v>
      </c>
      <c r="AX100" s="21">
        <f t="shared" si="60"/>
        <v>159.68014314129002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-3.1036506698001178E-14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159.92263609041913</v>
      </c>
      <c r="BJ100" s="59">
        <f t="shared" si="92"/>
        <v>271.78119133009307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21.810579907158921</v>
      </c>
      <c r="BQ100" s="21">
        <f>EXP(-LN(2)/25)*BQ99+(1-EXP(-LN(2)/25))/(LN(2)/25)*Calculateur!BL100*Calculateur!BN100*VLOOKUP('Données projet'!$B$11,Paramètres!$A$1:$I$89,3,0)*0.475*44/12</f>
        <v>30.869035049923486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52.679614957082407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7.1782051282051267</v>
      </c>
      <c r="BY100" s="12">
        <f>IF('Données projet'!$A$114&gt;35,BY99+BX100-CG99,IF(A100&lt;'Données projet'!$A$114,$BV$205^A100,IF(A100='Données projet'!$A$114,'Données projet'!$B$114,BY99+BX100-CG99)))</f>
        <v>303.89358974359021</v>
      </c>
      <c r="BZ100" s="13">
        <f>BY100*VLOOKUP('Données projet'!$B$12,Paramètres!$A$1:$I$89,3,0)*VLOOKUP('Données projet'!$B$12,Paramètres!$A$1:$I$89,5,0)</f>
        <v>274.96292000000045</v>
      </c>
      <c r="CA100" s="13">
        <f t="shared" si="93"/>
        <v>65.901407042348566</v>
      </c>
      <c r="CB100" s="20">
        <f t="shared" si="64"/>
        <v>593.67203626542459</v>
      </c>
      <c r="CC100" s="59">
        <f t="shared" si="65"/>
        <v>887.00536959875785</v>
      </c>
      <c r="CD100" s="59">
        <f ca="1">AVERAGE(OFFSET($CC$3,0,0,'Données projet'!$E$12+1,1))-AVERAGE(OFFSET($H$3,0,0,'Données projet'!$E$12+1,1))</f>
        <v>280.25710840677186</v>
      </c>
      <c r="CE100" s="59">
        <f t="shared" si="94"/>
        <v>209.65224013288037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36.088830093456018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36.088830093456018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</v>
      </c>
      <c r="CT100" s="12">
        <f>IF('Données projet'!$A$140&gt;35,CT99+CS100-DB99,IF(A100&lt;'Données projet'!$A$140,$CQ$205^A100,IF(A100='Données projet'!$A$140,'Données projet'!$B$140,CT99+CS100-DB99)))</f>
        <v>246</v>
      </c>
      <c r="CU100" s="17">
        <f>CT100*VLOOKUP('Données projet'!$B$13,Paramètres!$A$1:$I$89,3,0)*VLOOKUP('Données projet'!$B$13,Paramètres!$A$1:$I$89,5,0)</f>
        <v>257.11920000000003</v>
      </c>
      <c r="CV100" s="13">
        <f t="shared" si="95"/>
        <v>62.107910182723955</v>
      </c>
      <c r="CW100" s="20">
        <f t="shared" si="67"/>
        <v>555.98721690157754</v>
      </c>
      <c r="CX100" s="59">
        <f t="shared" si="68"/>
        <v>849.3205502349108</v>
      </c>
      <c r="CY100" s="59">
        <f ca="1">AVERAGE(OFFSET($CX$3,0,0,'Données projet'!$E$13+1,1))-AVERAGE(OFFSET($H$3,0,0,'Données projet'!$E$13+1,1))</f>
        <v>330.14201227773452</v>
      </c>
      <c r="CZ100" s="59">
        <f t="shared" si="96"/>
        <v>307.07297894926467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30.172583748584408</v>
      </c>
      <c r="DG100" s="21">
        <f>EXP(-LN(2)/25)*DG99+(1-EXP(-LN(2)/25))/(LN(2)/25)*Calculateur!DB100*Calculateur!DD100*VLOOKUP('Données projet'!$B$13,Paramètres!$A$1:$I$89,3,0)*0.475*44/12</f>
        <v>18.069946121786355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48.24252987037076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283.73369613548124</v>
      </c>
      <c r="T101" s="59">
        <f t="shared" si="88"/>
        <v>249.77804091581208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115.35029694694029</v>
      </c>
      <c r="AA101" s="21">
        <f>EXP(-LN(2)/25)*AA100+(1-EXP(-LN(2)/25))/(LN(2)/25)*Calculateur!V101*Calculateur!X101*VLOOKUP('Données projet'!$B$9,Paramètres!$A$1:$I$89,3,0)*0.475*44/12</f>
        <v>23.041354927008566</v>
      </c>
      <c r="AB101" s="21">
        <f>EXP(-LN(2)/2)*AB100+(1-EXP(-LN(2)/2))/(LN(2)/2)*V101*Y101*VLOOKUP('Données projet'!$B$9,Paramètres!$A$1:$I$89,3,0)*0.475*44/12</f>
        <v>2.2797917830293047E-2</v>
      </c>
      <c r="AC101" s="22">
        <f t="shared" si="57"/>
        <v>138.41444979177916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7.5015384615384617</v>
      </c>
      <c r="AI101" s="13">
        <f>IF('Données projet'!$A$62&gt;35,AI100+AH101-AQ100,IF(A101&lt;'Données projet'!$A$62,$AF$205^A101,IF(A101='Données projet'!$A$62,'Données projet'!$B$62,AI100+AH101-AQ100)))</f>
        <v>257.20461538461564</v>
      </c>
      <c r="AJ101" s="13">
        <f>AI101*VLOOKUP('Données projet'!$B$10,Paramètres!$A$1:$I$89,3,0)*VLOOKUP('Données projet'!$B$10,Paramètres!$A$1:$I$89,5,0)</f>
        <v>120.37176000000012</v>
      </c>
      <c r="AK101" s="13">
        <f t="shared" si="89"/>
        <v>31.761690593555869</v>
      </c>
      <c r="AL101" s="20">
        <f t="shared" si="58"/>
        <v>264.96575978377672</v>
      </c>
      <c r="AM101" s="59">
        <f t="shared" si="59"/>
        <v>558.29909311711003</v>
      </c>
      <c r="AN101" s="59">
        <f ca="1">AVERAGE(OFFSET($AM$3,0,0,'Données projet'!$E$10+1,1))-AVERAGE(OFFSET($H$3,0,0,'Données projet'!$E$10+1,1))</f>
        <v>205.73717397588365</v>
      </c>
      <c r="AO101" s="59">
        <f t="shared" si="90"/>
        <v>190.64998698136026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116.23984553670557</v>
      </c>
      <c r="AV101" s="21">
        <f>EXP(-LN(2)/25)*AV100+(1-EXP(-LN(2)/25))/(LN(2)/25)*Calculateur!AQ101*Calculateur!AS101*VLOOKUP('Données projet'!$B$10,Paramètres!$A$1:$I$89,3,0)*0.475*44/12</f>
        <v>31.841471094830588</v>
      </c>
      <c r="AW101" s="21">
        <f>EXP(-LN(2)/2)*AW100+(1-EXP(-LN(2)/2))/(LN(2)/2)*AQ101*AT101*VLOOKUP('Données projet'!$B$10,Paramètres!$A$1:$I$89,3,0)*0.475*44/12</f>
        <v>5.9246051262966777</v>
      </c>
      <c r="AX101" s="21">
        <f t="shared" si="60"/>
        <v>154.00592175783285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-3.1036506698001178E-14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159.92263609041913</v>
      </c>
      <c r="BJ101" s="59">
        <f t="shared" si="92"/>
        <v>271.78119133009307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21.382887738319702</v>
      </c>
      <c r="BQ101" s="21">
        <f>EXP(-LN(2)/25)*BQ100+(1-EXP(-LN(2)/25))/(LN(2)/25)*Calculateur!BL101*Calculateur!BN101*VLOOKUP('Données projet'!$B$11,Paramètres!$A$1:$I$89,3,0)*0.475*44/12</f>
        <v>30.024919663151326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51.407807401471032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7.1782051282051267</v>
      </c>
      <c r="BY101" s="12">
        <f>IF('Données projet'!$A$114&gt;35,BY100+BX101-CG100,IF(A101&lt;'Données projet'!$A$114,$BV$205^A101,IF(A101='Données projet'!$A$114,'Données projet'!$B$114,BY100+BX101-CG100)))</f>
        <v>311.07179487179536</v>
      </c>
      <c r="BZ101" s="13">
        <f>BY101*VLOOKUP('Données projet'!$B$12,Paramètres!$A$1:$I$89,3,0)*VLOOKUP('Données projet'!$B$12,Paramètres!$A$1:$I$89,5,0)</f>
        <v>281.45776000000041</v>
      </c>
      <c r="CA101" s="13">
        <f t="shared" si="93"/>
        <v>67.274982309129811</v>
      </c>
      <c r="CB101" s="20">
        <f t="shared" si="64"/>
        <v>607.37619285506855</v>
      </c>
      <c r="CC101" s="59">
        <f t="shared" si="65"/>
        <v>900.70952618840192</v>
      </c>
      <c r="CD101" s="59">
        <f ca="1">AVERAGE(OFFSET($CC$3,0,0,'Données projet'!$E$12+1,1))-AVERAGE(OFFSET($H$3,0,0,'Données projet'!$E$12+1,1))</f>
        <v>280.25710840677186</v>
      </c>
      <c r="CE101" s="59">
        <f t="shared" si="94"/>
        <v>209.65224013288037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35.3811501473362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35.3811501473362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</v>
      </c>
      <c r="CT101" s="12">
        <f>IF('Données projet'!$A$140&gt;35,CT100+CS101-DB100,IF(A101&lt;'Données projet'!$A$140,$CQ$205^A101,IF(A101='Données projet'!$A$140,'Données projet'!$B$140,CT100+CS101-DB100)))</f>
        <v>249</v>
      </c>
      <c r="CU101" s="17">
        <f>CT101*VLOOKUP('Données projet'!$B$13,Paramètres!$A$1:$I$89,3,0)*VLOOKUP('Données projet'!$B$13,Paramètres!$A$1:$I$89,5,0)</f>
        <v>260.25480000000005</v>
      </c>
      <c r="CV101" s="13">
        <f t="shared" si="95"/>
        <v>62.776687922790821</v>
      </c>
      <c r="CW101" s="20">
        <f t="shared" si="67"/>
        <v>562.61317479886077</v>
      </c>
      <c r="CX101" s="59">
        <f t="shared" si="68"/>
        <v>855.94650813219414</v>
      </c>
      <c r="CY101" s="59">
        <f ca="1">AVERAGE(OFFSET($CX$3,0,0,'Données projet'!$E$13+1,1))-AVERAGE(OFFSET($H$3,0,0,'Données projet'!$E$13+1,1))</f>
        <v>330.14201227773452</v>
      </c>
      <c r="CZ101" s="59">
        <f t="shared" si="96"/>
        <v>307.07297894926467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29.580917784733565</v>
      </c>
      <c r="DG101" s="21">
        <f>EXP(-LN(2)/25)*DG100+(1-EXP(-LN(2)/25))/(LN(2)/25)*Calculateur!DB101*Calculateur!DD101*VLOOKUP('Données projet'!$B$13,Paramètres!$A$1:$I$89,3,0)*0.475*44/12</f>
        <v>17.575822494828941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47.156740279562506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283.73369613548124</v>
      </c>
      <c r="T102" s="59">
        <f t="shared" si="88"/>
        <v>249.77804091581208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113.08834798054478</v>
      </c>
      <c r="AA102" s="21">
        <f>EXP(-LN(2)/25)*AA101+(1-EXP(-LN(2)/25))/(LN(2)/25)*Calculateur!V102*Calculateur!X102*VLOOKUP('Données projet'!$B$9,Paramètres!$A$1:$I$89,3,0)*0.475*44/12</f>
        <v>22.411287864837323</v>
      </c>
      <c r="AB102" s="21">
        <f>EXP(-LN(2)/2)*AB101+(1-EXP(-LN(2)/2))/(LN(2)/2)*V102*Y102*VLOOKUP('Données projet'!$B$9,Paramètres!$A$1:$I$89,3,0)*0.475*44/12</f>
        <v>1.6120562294733916E-2</v>
      </c>
      <c r="AC102" s="22">
        <f t="shared" si="57"/>
        <v>135.51575640767683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7.5015384615384617</v>
      </c>
      <c r="AI102" s="13">
        <f>IF('Données projet'!$A$62&gt;35,AI101+AH102-AQ101,IF(A102&lt;'Données projet'!$A$62,$AF$205^A102,IF(A102='Données projet'!$A$62,'Données projet'!$B$62,AI101+AH102-AQ101)))</f>
        <v>264.70615384615411</v>
      </c>
      <c r="AJ102" s="13">
        <f>AI102*VLOOKUP('Données projet'!$B$10,Paramètres!$A$1:$I$89,3,0)*VLOOKUP('Données projet'!$B$10,Paramètres!$A$1:$I$89,5,0)</f>
        <v>123.88248000000011</v>
      </c>
      <c r="AK102" s="13">
        <f t="shared" si="89"/>
        <v>32.578839075986679</v>
      </c>
      <c r="AL102" s="20">
        <f t="shared" si="58"/>
        <v>272.50346405734365</v>
      </c>
      <c r="AM102" s="59">
        <f t="shared" si="59"/>
        <v>565.83679739067702</v>
      </c>
      <c r="AN102" s="59">
        <f ca="1">AVERAGE(OFFSET($AM$3,0,0,'Données projet'!$E$10+1,1))-AVERAGE(OFFSET($H$3,0,0,'Données projet'!$E$10+1,1))</f>
        <v>205.73717397588365</v>
      </c>
      <c r="AO102" s="59">
        <f t="shared" si="90"/>
        <v>190.64998698136026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113.96045306503584</v>
      </c>
      <c r="AV102" s="21">
        <f>EXP(-LN(2)/25)*AV101+(1-EXP(-LN(2)/25))/(LN(2)/25)*Calculateur!AQ102*Calculateur!AS102*VLOOKUP('Données projet'!$B$10,Paramètres!$A$1:$I$89,3,0)*0.475*44/12</f>
        <v>30.970764393272255</v>
      </c>
      <c r="AW102" s="21">
        <f>EXP(-LN(2)/2)*AW101+(1-EXP(-LN(2)/2))/(LN(2)/2)*AQ102*AT102*VLOOKUP('Données projet'!$B$10,Paramètres!$A$1:$I$89,3,0)*0.475*44/12</f>
        <v>4.189328460656963</v>
      </c>
      <c r="AX102" s="21">
        <f t="shared" si="60"/>
        <v>149.12054591896504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-3.1036506698001178E-14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159.92263609041913</v>
      </c>
      <c r="BJ102" s="59">
        <f t="shared" si="92"/>
        <v>271.78119133009307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20.963582352044956</v>
      </c>
      <c r="BQ102" s="21">
        <f>EXP(-LN(2)/25)*BQ101+(1-EXP(-LN(2)/25))/(LN(2)/25)*Calculateur!BL102*Calculateur!BN102*VLOOKUP('Données projet'!$B$11,Paramètres!$A$1:$I$89,3,0)*0.475*44/12</f>
        <v>29.203886656020551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50.16746900806551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318.25</v>
      </c>
      <c r="BW102" s="12">
        <f>VLOOKUP(A102,'Données projet'!$A$113:$I$133,9,0)</f>
        <v>7.1782051282051267</v>
      </c>
      <c r="BX102" s="12">
        <f t="array" ref="BX102">INDEX(BW:BW,MIN(IF(ISNUMBER(BW102:BW298),ROW(BW102:BW298),"")))</f>
        <v>7.1782051282051267</v>
      </c>
      <c r="BY102" s="12">
        <f>IF('Données projet'!$A$114&gt;35,BY101+BX102-CG101,IF(A102&lt;'Données projet'!$A$114,$BV$205^A102,IF(A102='Données projet'!$A$114,'Données projet'!$B$114,BY101+BX102-CG101)))</f>
        <v>318.25000000000051</v>
      </c>
      <c r="BZ102" s="13">
        <f>BY102*VLOOKUP('Données projet'!$B$12,Paramètres!$A$1:$I$89,3,0)*VLOOKUP('Données projet'!$B$12,Paramètres!$A$1:$I$89,5,0)</f>
        <v>287.95260000000047</v>
      </c>
      <c r="CA102" s="13">
        <f t="shared" si="93"/>
        <v>68.6448727389173</v>
      </c>
      <c r="CB102" s="20">
        <f t="shared" si="64"/>
        <v>621.07393168694841</v>
      </c>
      <c r="CC102" s="59">
        <f t="shared" si="65"/>
        <v>914.40726502028178</v>
      </c>
      <c r="CD102" s="59">
        <f ca="1">AVERAGE(OFFSET($CC$3,0,0,'Données projet'!$E$12+1,1))-AVERAGE(OFFSET($H$3,0,0,'Données projet'!$E$12+1,1))</f>
        <v>280.25710840677186</v>
      </c>
      <c r="CE102" s="59">
        <f t="shared" si="94"/>
        <v>209.65224013288037</v>
      </c>
      <c r="CF102" s="15">
        <f>IF(ISNA(VLOOKUP(A102,'Données projet'!$A$113:$I$133,3,0)),0,VLOOKUP(A102,'Données projet'!$A$113:$I$133,3,0))</f>
        <v>9</v>
      </c>
      <c r="CG102" s="15">
        <f>IF(ISNA(VLOOKUP(A102,'Données projet'!$A$113:$I$133,4,0)),0,VLOOKUP(A102,'Données projet'!$A$113:$I$133,4,0))</f>
        <v>48.019230769230766</v>
      </c>
      <c r="CH102" s="16">
        <f>IF(ISNA(VLOOKUP(A102,'Données projet'!$A$113:$I$133,5,0)),0%,VLOOKUP(A102,'Données projet'!$A$113:$I$133,5,0)*VLOOKUP('Données projet'!$B$12,Paramètres!$A$1:$I$89,7,0))</f>
        <v>0.30099999999999999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49.144454416035025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49.144454416035025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</v>
      </c>
      <c r="CT102" s="12">
        <f>IF('Données projet'!$A$140&gt;35,CT101+CS102-DB101,IF(A102&lt;'Données projet'!$A$140,$CQ$205^A102,IF(A102='Données projet'!$A$140,'Données projet'!$B$140,CT101+CS102-DB101)))</f>
        <v>252</v>
      </c>
      <c r="CU102" s="17">
        <f>CT102*VLOOKUP('Données projet'!$B$13,Paramètres!$A$1:$I$89,3,0)*VLOOKUP('Données projet'!$B$13,Paramètres!$A$1:$I$89,5,0)</f>
        <v>263.3904</v>
      </c>
      <c r="CV102" s="13">
        <f t="shared" si="95"/>
        <v>63.444528395882578</v>
      </c>
      <c r="CW102" s="20">
        <f t="shared" si="67"/>
        <v>569.23750028949542</v>
      </c>
      <c r="CX102" s="59">
        <f t="shared" si="68"/>
        <v>862.57083362282879</v>
      </c>
      <c r="CY102" s="59">
        <f ca="1">AVERAGE(OFFSET($CX$3,0,0,'Données projet'!$E$13+1,1))-AVERAGE(OFFSET($H$3,0,0,'Données projet'!$E$13+1,1))</f>
        <v>330.14201227773452</v>
      </c>
      <c r="CZ102" s="59">
        <f t="shared" si="96"/>
        <v>307.07297894926467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29.000854029553231</v>
      </c>
      <c r="DG102" s="21">
        <f>EXP(-LN(2)/25)*DG101+(1-EXP(-LN(2)/25))/(LN(2)/25)*Calculateur!DB102*Calculateur!DD102*VLOOKUP('Données projet'!$B$13,Paramètres!$A$1:$I$89,3,0)*0.475*44/12</f>
        <v>17.095210704435509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46.09606473398874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283.73369613548124</v>
      </c>
      <c r="T103" s="59">
        <f t="shared" si="88"/>
        <v>249.77804091581208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110.87075445372764</v>
      </c>
      <c r="AA103" s="21">
        <f>EXP(-LN(2)/25)*AA102+(1-EXP(-LN(2)/25))/(LN(2)/25)*Calculateur!V103*Calculateur!X103*VLOOKUP('Données projet'!$B$9,Paramètres!$A$1:$I$89,3,0)*0.475*44/12</f>
        <v>21.79845001961494</v>
      </c>
      <c r="AB103" s="21">
        <f>EXP(-LN(2)/2)*AB102+(1-EXP(-LN(2)/2))/(LN(2)/2)*V103*Y103*VLOOKUP('Données projet'!$B$9,Paramètres!$A$1:$I$89,3,0)*0.475*44/12</f>
        <v>1.1398958915146523E-2</v>
      </c>
      <c r="AC103" s="22">
        <f t="shared" si="57"/>
        <v>132.68060343225773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7.5015384615384617</v>
      </c>
      <c r="AI103" s="13">
        <f>IF('Données projet'!$A$62&gt;35,AI102+AH103-AQ102,IF(A103&lt;'Données projet'!$A$62,$AF$205^A103,IF(A103='Données projet'!$A$62,'Données projet'!$B$62,AI102+AH103-AQ102)))</f>
        <v>272.20769230769258</v>
      </c>
      <c r="AJ103" s="13">
        <f>AI103*VLOOKUP('Données projet'!$B$10,Paramètres!$A$1:$I$89,3,0)*VLOOKUP('Données projet'!$B$10,Paramètres!$A$1:$I$89,5,0)</f>
        <v>127.39320000000012</v>
      </c>
      <c r="AK103" s="13">
        <f t="shared" si="89"/>
        <v>33.393296112922592</v>
      </c>
      <c r="AL103" s="20">
        <f t="shared" si="58"/>
        <v>280.03648073000704</v>
      </c>
      <c r="AM103" s="59">
        <f t="shared" si="59"/>
        <v>573.3698140633403</v>
      </c>
      <c r="AN103" s="59">
        <f ca="1">AVERAGE(OFFSET($AM$3,0,0,'Données projet'!$E$10+1,1))-AVERAGE(OFFSET($H$3,0,0,'Données projet'!$E$10+1,1))</f>
        <v>205.73717397588365</v>
      </c>
      <c r="AO103" s="59">
        <f t="shared" si="90"/>
        <v>190.64998698136026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111.7257580894434</v>
      </c>
      <c r="AV103" s="21">
        <f>EXP(-LN(2)/25)*AV102+(1-EXP(-LN(2)/25))/(LN(2)/25)*Calculateur!AQ103*Calculateur!AS103*VLOOKUP('Données projet'!$B$10,Paramètres!$A$1:$I$89,3,0)*0.475*44/12</f>
        <v>30.12386721225651</v>
      </c>
      <c r="AW103" s="21">
        <f>EXP(-LN(2)/2)*AW102+(1-EXP(-LN(2)/2))/(LN(2)/2)*AQ103*AT103*VLOOKUP('Données projet'!$B$10,Paramètres!$A$1:$I$89,3,0)*0.475*44/12</f>
        <v>2.9623025631483393</v>
      </c>
      <c r="AX103" s="21">
        <f t="shared" si="60"/>
        <v>144.81192786484826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-3.1036506698001178E-14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159.92263609041913</v>
      </c>
      <c r="BJ103" s="59">
        <f t="shared" si="92"/>
        <v>271.78119133009307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20.552499288644025</v>
      </c>
      <c r="BQ103" s="21">
        <f>EXP(-LN(2)/25)*BQ102+(1-EXP(-LN(2)/25))/(LN(2)/25)*Calculateur!BL103*Calculateur!BN103*VLOOKUP('Données projet'!$B$11,Paramètres!$A$1:$I$89,3,0)*0.475*44/12</f>
        <v>28.405304839646014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48.957804128290036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6.9935897435897401</v>
      </c>
      <c r="BY103" s="12">
        <f>IF('Données projet'!$A$114&gt;35,BY102+BX103-CG102,IF(A103&lt;'Données projet'!$A$114,$BV$205^A103,IF(A103='Données projet'!$A$114,'Données projet'!$B$114,BY102+BX103-CG102)))</f>
        <v>277.22435897435946</v>
      </c>
      <c r="BZ103" s="13">
        <f>BY103*VLOOKUP('Données projet'!$B$12,Paramètres!$A$1:$I$89,3,0)*VLOOKUP('Données projet'!$B$12,Paramètres!$A$1:$I$89,5,0)</f>
        <v>250.83260000000041</v>
      </c>
      <c r="CA103" s="13">
        <f t="shared" si="93"/>
        <v>60.764195096344402</v>
      </c>
      <c r="CB103" s="20">
        <f t="shared" si="64"/>
        <v>542.69775145946721</v>
      </c>
      <c r="CC103" s="59">
        <f t="shared" si="65"/>
        <v>836.03108479280058</v>
      </c>
      <c r="CD103" s="59">
        <f ca="1">AVERAGE(OFFSET($CC$3,0,0,'Données projet'!$E$12+1,1))-AVERAGE(OFFSET($H$3,0,0,'Données projet'!$E$12+1,1))</f>
        <v>280.25710840677186</v>
      </c>
      <c r="CE103" s="59">
        <f t="shared" si="94"/>
        <v>209.65224013288037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48.180761640093969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48.180761640093969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255</v>
      </c>
      <c r="CR103" s="12">
        <f>VLOOKUP(A103,'Données projet'!$A$139:$I$159,9,0)</f>
        <v>3</v>
      </c>
      <c r="CS103" s="12">
        <f t="array" ref="CS103">INDEX(CR:CR,MIN(IF(ISNUMBER(CR103:CR299),ROW(CR103:CR299),"")))</f>
        <v>3</v>
      </c>
      <c r="CT103" s="12">
        <f>IF('Données projet'!$A$140&gt;35,CT102+CS103-DB102,IF(A103&lt;'Données projet'!$A$140,$CQ$205^A103,IF(A103='Données projet'!$A$140,'Données projet'!$B$140,CT102+CS103-DB102)))</f>
        <v>255</v>
      </c>
      <c r="CU103" s="17">
        <f>CT103*VLOOKUP('Données projet'!$B$13,Paramètres!$A$1:$I$89,3,0)*VLOOKUP('Données projet'!$B$13,Paramètres!$A$1:$I$89,5,0)</f>
        <v>266.52600000000007</v>
      </c>
      <c r="CV103" s="13">
        <f t="shared" si="95"/>
        <v>64.111444050688362</v>
      </c>
      <c r="CW103" s="20">
        <f t="shared" si="67"/>
        <v>575.86021505494898</v>
      </c>
      <c r="CX103" s="59">
        <f t="shared" si="68"/>
        <v>869.19354838828235</v>
      </c>
      <c r="CY103" s="59">
        <f ca="1">AVERAGE(OFFSET($CX$3,0,0,'Données projet'!$E$13+1,1))-AVERAGE(OFFSET($H$3,0,0,'Données projet'!$E$13+1,1))</f>
        <v>330.14201227773452</v>
      </c>
      <c r="CZ103" s="59">
        <f t="shared" si="96"/>
        <v>307.07297894926467</v>
      </c>
      <c r="DA103" s="15">
        <f>IF(ISNA(VLOOKUP(A103,'Données projet'!$A$139:$I$159,3,0)),0,VLOOKUP(A103,'Données projet'!$A$139:$I$159,3,0))</f>
        <v>17</v>
      </c>
      <c r="DB103" s="15" t="str">
        <f>IF(ISNA(VLOOKUP(A103,'Données projet'!$A$139:$I$159,4,0)),0,VLOOKUP(A103,'Données projet'!$A$139:$I$159,4,0))</f>
        <v>12</v>
      </c>
      <c r="DC103" s="16">
        <f>IF(ISNA(VLOOKUP(A103,'Données projet'!$A$139:$I$159,5,0)),0%,VLOOKUP(A103,'Données projet'!$A$139:$I$159,5,0)*VLOOKUP('Données projet'!$B$13,Paramètres!$A$1:$I$89,7,0))</f>
        <v>0.30099999999999999</v>
      </c>
      <c r="DD103" s="16">
        <f>IF(ISNA(VLOOKUP(A103,'Données projet'!$A$139:$I$159,6,0)),0%,VLOOKUP(A103,'Données projet'!$A$139:$I$159,6,0)*VLOOKUP('Données projet'!$B$13,Paramètres!$A$1:$I$89,7,0))</f>
        <v>8.6000000000000007E-2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32.605605728972506</v>
      </c>
      <c r="DG103" s="21">
        <f>EXP(-LN(2)/25)*DG102+(1-EXP(-LN(2)/25))/(LN(2)/25)*Calculateur!DB103*Calculateur!DD103*VLOOKUP('Données projet'!$B$13,Paramètres!$A$1:$I$89,3,0)*0.475*44/12</f>
        <v>17.815457934922939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50.421063663895445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283.73369613548124</v>
      </c>
      <c r="T104" s="59">
        <f t="shared" si="88"/>
        <v>249.77804091581208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108.6966465833729</v>
      </c>
      <c r="AA104" s="21">
        <f>EXP(-LN(2)/25)*AA103+(1-EXP(-LN(2)/25))/(LN(2)/25)*Calculateur!V104*Calculateur!X104*VLOOKUP('Données projet'!$B$9,Paramètres!$A$1:$I$89,3,0)*0.475*44/12</f>
        <v>21.202370257497904</v>
      </c>
      <c r="AB104" s="21">
        <f>EXP(-LN(2)/2)*AB103+(1-EXP(-LN(2)/2))/(LN(2)/2)*V104*Y104*VLOOKUP('Données projet'!$B$9,Paramètres!$A$1:$I$89,3,0)*0.475*44/12</f>
        <v>8.0602811473669579E-3</v>
      </c>
      <c r="AC104" s="22">
        <f t="shared" si="57"/>
        <v>129.90707712201817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7.5015384615384617</v>
      </c>
      <c r="AI104" s="13">
        <f>IF('Données projet'!$A$62&gt;35,AI103+AH104-AQ103,IF(A104&lt;'Données projet'!$A$62,$AF$205^A104,IF(A104='Données projet'!$A$62,'Données projet'!$B$62,AI103+AH104-AQ103)))</f>
        <v>279.70923076923106</v>
      </c>
      <c r="AJ104" s="13">
        <f>AI104*VLOOKUP('Données projet'!$B$10,Paramètres!$A$1:$I$89,3,0)*VLOOKUP('Données projet'!$B$10,Paramètres!$A$1:$I$89,5,0)</f>
        <v>130.90392000000014</v>
      </c>
      <c r="AK104" s="13">
        <f t="shared" si="89"/>
        <v>34.205144397668505</v>
      </c>
      <c r="AL104" s="20">
        <f t="shared" si="58"/>
        <v>287.56495382593954</v>
      </c>
      <c r="AM104" s="59">
        <f t="shared" si="59"/>
        <v>580.89828715927285</v>
      </c>
      <c r="AN104" s="59">
        <f ca="1">AVERAGE(OFFSET($AM$3,0,0,'Données projet'!$E$10+1,1))-AVERAGE(OFFSET($H$3,0,0,'Données projet'!$E$10+1,1))</f>
        <v>205.73717397588365</v>
      </c>
      <c r="AO104" s="59">
        <f t="shared" si="90"/>
        <v>190.64998698136026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109.534884119293</v>
      </c>
      <c r="AV104" s="21">
        <f>EXP(-LN(2)/25)*AV103+(1-EXP(-LN(2)/25))/(LN(2)/25)*Calculateur!AQ104*Calculateur!AS104*VLOOKUP('Données projet'!$B$10,Paramètres!$A$1:$I$89,3,0)*0.475*44/12</f>
        <v>29.300128479192029</v>
      </c>
      <c r="AW104" s="21">
        <f>EXP(-LN(2)/2)*AW103+(1-EXP(-LN(2)/2))/(LN(2)/2)*AQ104*AT104*VLOOKUP('Données projet'!$B$10,Paramètres!$A$1:$I$89,3,0)*0.475*44/12</f>
        <v>2.0946642303284819</v>
      </c>
      <c r="AX104" s="21">
        <f t="shared" si="60"/>
        <v>140.92967682881351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-3.1036506698001178E-14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159.92263609041913</v>
      </c>
      <c r="BJ104" s="59">
        <f t="shared" si="92"/>
        <v>271.78119133009307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20.149477313380476</v>
      </c>
      <c r="BQ104" s="21">
        <f>EXP(-LN(2)/25)*BQ103+(1-EXP(-LN(2)/25))/(LN(2)/25)*Calculateur!BL104*Calculateur!BN104*VLOOKUP('Données projet'!$B$11,Paramètres!$A$1:$I$89,3,0)*0.475*44/12</f>
        <v>27.628560285035835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47.778037598416311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6.9935897435897401</v>
      </c>
      <c r="BY104" s="12">
        <f>IF('Données projet'!$A$114&gt;35,BY103+BX104-CG103,IF(A104&lt;'Données projet'!$A$114,$BV$205^A104,IF(A104='Données projet'!$A$114,'Données projet'!$B$114,BY103+BX104-CG103)))</f>
        <v>284.21794871794918</v>
      </c>
      <c r="BZ104" s="13">
        <f>BY104*VLOOKUP('Données projet'!$B$12,Paramètres!$A$1:$I$89,3,0)*VLOOKUP('Données projet'!$B$12,Paramètres!$A$1:$I$89,5,0)</f>
        <v>257.16040000000038</v>
      </c>
      <c r="CA104" s="13">
        <f t="shared" si="93"/>
        <v>62.116703672873726</v>
      </c>
      <c r="CB104" s="20">
        <f t="shared" si="64"/>
        <v>556.07428889692233</v>
      </c>
      <c r="CC104" s="59">
        <f t="shared" si="65"/>
        <v>849.40762223025558</v>
      </c>
      <c r="CD104" s="59">
        <f ca="1">AVERAGE(OFFSET($CC$3,0,0,'Données projet'!$E$12+1,1))-AVERAGE(OFFSET($H$3,0,0,'Données projet'!$E$12+1,1))</f>
        <v>280.25710840677186</v>
      </c>
      <c r="CE104" s="59">
        <f t="shared" si="94"/>
        <v>209.65224013288037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47.235966291694567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47.235966291694567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243</v>
      </c>
      <c r="CU104" s="17">
        <f>CT104*VLOOKUP('Données projet'!$B$13,Paramètres!$A$1:$I$89,3,0)*VLOOKUP('Données projet'!$B$13,Paramètres!$A$1:$I$89,5,0)</f>
        <v>253.98360000000002</v>
      </c>
      <c r="CV104" s="13">
        <f t="shared" si="95"/>
        <v>61.438182405444294</v>
      </c>
      <c r="CW104" s="20">
        <f t="shared" si="67"/>
        <v>549.35960435614891</v>
      </c>
      <c r="CX104" s="59">
        <f t="shared" si="68"/>
        <v>842.69293768948228</v>
      </c>
      <c r="CY104" s="59">
        <f ca="1">AVERAGE(OFFSET($CX$3,0,0,'Données projet'!$E$13+1,1))-AVERAGE(OFFSET($H$3,0,0,'Données projet'!$E$13+1,1))</f>
        <v>330.14201227773452</v>
      </c>
      <c r="CZ104" s="59">
        <f t="shared" si="96"/>
        <v>307.07297894926467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31.966229688083128</v>
      </c>
      <c r="DG104" s="21">
        <f>EXP(-LN(2)/25)*DG103+(1-EXP(-LN(2)/25))/(LN(2)/25)*Calculateur!DB104*Calculateur!DD104*VLOOKUP('Données projet'!$B$13,Paramètres!$A$1:$I$89,3,0)*0.475*44/12</f>
        <v>17.328293300818256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49.294522988901385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283.73369613548124</v>
      </c>
      <c r="T105" s="59">
        <f t="shared" si="88"/>
        <v>249.77804091581208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106.56517164228094</v>
      </c>
      <c r="AA105" s="21">
        <f>EXP(-LN(2)/25)*AA104+(1-EXP(-LN(2)/25))/(LN(2)/25)*Calculateur!V105*Calculateur!X105*VLOOKUP('Données projet'!$B$9,Paramètres!$A$1:$I$89,3,0)*0.475*44/12</f>
        <v>20.622590327822429</v>
      </c>
      <c r="AB105" s="21">
        <f>EXP(-LN(2)/2)*AB104+(1-EXP(-LN(2)/2))/(LN(2)/2)*V105*Y105*VLOOKUP('Données projet'!$B$9,Paramètres!$A$1:$I$89,3,0)*0.475*44/12</f>
        <v>5.6994794575732617E-3</v>
      </c>
      <c r="AC105" s="22">
        <f t="shared" si="57"/>
        <v>127.19346144956094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7.5015384615384617</v>
      </c>
      <c r="AI105" s="13">
        <f>IF('Données projet'!$A$62&gt;35,AI104+AH105-AQ104,IF(A105&lt;'Données projet'!$A$62,$AF$205^A105,IF(A105='Données projet'!$A$62,'Données projet'!$B$62,AI104+AH105-AQ104)))</f>
        <v>287.21076923076953</v>
      </c>
      <c r="AJ105" s="13">
        <f>AI105*VLOOKUP('Données projet'!$B$10,Paramètres!$A$1:$I$89,3,0)*VLOOKUP('Données projet'!$B$10,Paramètres!$A$1:$I$89,5,0)</f>
        <v>134.41464000000013</v>
      </c>
      <c r="AK105" s="13">
        <f t="shared" si="89"/>
        <v>35.014461935490388</v>
      </c>
      <c r="AL105" s="20">
        <f t="shared" si="58"/>
        <v>295.08901920431265</v>
      </c>
      <c r="AM105" s="59">
        <f t="shared" si="59"/>
        <v>588.42235253764602</v>
      </c>
      <c r="AN105" s="59">
        <f ca="1">AVERAGE(OFFSET($AM$3,0,0,'Données projet'!$E$10+1,1))-AVERAGE(OFFSET($H$3,0,0,'Données projet'!$E$10+1,1))</f>
        <v>205.73717397588365</v>
      </c>
      <c r="AO105" s="59">
        <f t="shared" si="90"/>
        <v>190.64998698136026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107.38697185139607</v>
      </c>
      <c r="AV105" s="21">
        <f>EXP(-LN(2)/25)*AV104+(1-EXP(-LN(2)/25))/(LN(2)/25)*Calculateur!AQ105*Calculateur!AS105*VLOOKUP('Données projet'!$B$10,Paramètres!$A$1:$I$89,3,0)*0.475*44/12</f>
        <v>28.498914925101733</v>
      </c>
      <c r="AW105" s="21">
        <f>EXP(-LN(2)/2)*AW104+(1-EXP(-LN(2)/2))/(LN(2)/2)*AQ105*AT105*VLOOKUP('Données projet'!$B$10,Paramètres!$A$1:$I$89,3,0)*0.475*44/12</f>
        <v>1.4811512815741699</v>
      </c>
      <c r="AX105" s="21">
        <f t="shared" si="60"/>
        <v>137.36703805807198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-3.1036506698001178E-14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159.92263609041913</v>
      </c>
      <c r="BJ105" s="59">
        <f t="shared" si="92"/>
        <v>271.78119133009307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19.754358353232714</v>
      </c>
      <c r="BQ105" s="21">
        <f>EXP(-LN(2)/25)*BQ104+(1-EXP(-LN(2)/25))/(LN(2)/25)*Calculateur!BL105*Calculateur!BN105*VLOOKUP('Données projet'!$B$11,Paramètres!$A$1:$I$89,3,0)*0.475*44/12</f>
        <v>26.873055851118689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46.627414204351403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6.9935897435897401</v>
      </c>
      <c r="BY105" s="12">
        <f>IF('Données projet'!$A$114&gt;35,BY104+BX105-CG104,IF(A105&lt;'Données projet'!$A$114,$BV$205^A105,IF(A105='Données projet'!$A$114,'Données projet'!$B$114,BY104+BX105-CG104)))</f>
        <v>291.21153846153891</v>
      </c>
      <c r="BZ105" s="13">
        <f>BY105*VLOOKUP('Données projet'!$B$12,Paramètres!$A$1:$I$89,3,0)*VLOOKUP('Données projet'!$B$12,Paramètres!$A$1:$I$89,5,0)</f>
        <v>263.4882000000004</v>
      </c>
      <c r="CA105" s="13">
        <f t="shared" si="93"/>
        <v>63.465343539396919</v>
      </c>
      <c r="CB105" s="20">
        <f t="shared" si="64"/>
        <v>569.44408833111697</v>
      </c>
      <c r="CC105" s="59">
        <f t="shared" si="65"/>
        <v>862.77742166445023</v>
      </c>
      <c r="CD105" s="59">
        <f ca="1">AVERAGE(OFFSET($CC$3,0,0,'Données projet'!$E$12+1,1))-AVERAGE(OFFSET($H$3,0,0,'Données projet'!$E$12+1,1))</f>
        <v>280.25710840677186</v>
      </c>
      <c r="CE105" s="59">
        <f t="shared" si="94"/>
        <v>209.65224013288037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46.309697803809016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46.309697803809016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243</v>
      </c>
      <c r="CU105" s="17">
        <f>CT105*VLOOKUP('Données projet'!$B$13,Paramètres!$A$1:$I$89,3,0)*VLOOKUP('Données projet'!$B$13,Paramètres!$A$1:$I$89,5,0)</f>
        <v>253.98360000000002</v>
      </c>
      <c r="CV105" s="13">
        <f t="shared" si="95"/>
        <v>61.438182405444294</v>
      </c>
      <c r="CW105" s="20">
        <f t="shared" si="67"/>
        <v>549.35960435614891</v>
      </c>
      <c r="CX105" s="59">
        <f t="shared" si="68"/>
        <v>842.69293768948228</v>
      </c>
      <c r="CY105" s="59">
        <f ca="1">AVERAGE(OFFSET($CX$3,0,0,'Données projet'!$E$13+1,1))-AVERAGE(OFFSET($H$3,0,0,'Données projet'!$E$13+1,1))</f>
        <v>330.14201227773452</v>
      </c>
      <c r="CZ105" s="59">
        <f t="shared" si="96"/>
        <v>307.07297894926467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31.339391421374714</v>
      </c>
      <c r="DG105" s="21">
        <f>EXP(-LN(2)/25)*DG104+(1-EXP(-LN(2)/25))/(LN(2)/25)*Calculateur!DB105*Calculateur!DD105*VLOOKUP('Données projet'!$B$13,Paramètres!$A$1:$I$89,3,0)*0.475*44/12</f>
        <v>16.85445020925204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48.19384163062675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283.73369613548124</v>
      </c>
      <c r="T106" s="59">
        <f t="shared" si="88"/>
        <v>249.77804091581208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104.47549362471247</v>
      </c>
      <c r="AA106" s="21">
        <f>EXP(-LN(2)/25)*AA105+(1-EXP(-LN(2)/25))/(LN(2)/25)*Calculateur!V106*Calculateur!X106*VLOOKUP('Données projet'!$B$9,Paramètres!$A$1:$I$89,3,0)*0.475*44/12</f>
        <v>20.058664510813234</v>
      </c>
      <c r="AB106" s="21">
        <f>EXP(-LN(2)/2)*AB105+(1-EXP(-LN(2)/2))/(LN(2)/2)*V106*Y106*VLOOKUP('Données projet'!$B$9,Paramètres!$A$1:$I$89,3,0)*0.475*44/12</f>
        <v>4.030140573683479E-3</v>
      </c>
      <c r="AC106" s="22">
        <f t="shared" si="57"/>
        <v>124.53818827609939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7.5015384615384617</v>
      </c>
      <c r="AI106" s="13">
        <f>IF('Données projet'!$A$62&gt;35,AI105+AH106-AQ105,IF(A106&lt;'Données projet'!$A$62,$AF$205^A106,IF(A106='Données projet'!$A$62,'Données projet'!$B$62,AI105+AH106-AQ105)))</f>
        <v>294.712307692308</v>
      </c>
      <c r="AJ106" s="13">
        <f>AI106*VLOOKUP('Données projet'!$B$10,Paramètres!$A$1:$I$89,3,0)*VLOOKUP('Données projet'!$B$10,Paramètres!$A$1:$I$89,5,0)</f>
        <v>137.92536000000015</v>
      </c>
      <c r="AK106" s="13">
        <f t="shared" si="89"/>
        <v>35.82132242479814</v>
      </c>
      <c r="AL106" s="20">
        <f t="shared" si="58"/>
        <v>302.6088052231903</v>
      </c>
      <c r="AM106" s="59">
        <f t="shared" si="59"/>
        <v>595.94213855652356</v>
      </c>
      <c r="AN106" s="59">
        <f ca="1">AVERAGE(OFFSET($AM$3,0,0,'Données projet'!$E$10+1,1))-AVERAGE(OFFSET($H$3,0,0,'Données projet'!$E$10+1,1))</f>
        <v>205.73717397588365</v>
      </c>
      <c r="AO106" s="59">
        <f t="shared" si="90"/>
        <v>190.64998698136026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105.28117883297547</v>
      </c>
      <c r="AV106" s="21">
        <f>EXP(-LN(2)/25)*AV105+(1-EXP(-LN(2)/25))/(LN(2)/25)*Calculateur!AQ106*Calculateur!AS106*VLOOKUP('Données projet'!$B$10,Paramètres!$A$1:$I$89,3,0)*0.475*44/12</f>
        <v>27.719610597782026</v>
      </c>
      <c r="AW106" s="21">
        <f>EXP(-LN(2)/2)*AW105+(1-EXP(-LN(2)/2))/(LN(2)/2)*AQ106*AT106*VLOOKUP('Données projet'!$B$10,Paramètres!$A$1:$I$89,3,0)*0.475*44/12</f>
        <v>1.047332115164241</v>
      </c>
      <c r="AX106" s="21">
        <f t="shared" si="60"/>
        <v>134.04812154592173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-3.1036506698001178E-14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159.92263609041913</v>
      </c>
      <c r="BJ106" s="59">
        <f t="shared" si="92"/>
        <v>271.78119133009307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19.366987434894678</v>
      </c>
      <c r="BQ106" s="21">
        <f>EXP(-LN(2)/25)*BQ105+(1-EXP(-LN(2)/25))/(LN(2)/25)*Calculateur!BL106*Calculateur!BN106*VLOOKUP('Données projet'!$B$11,Paramètres!$A$1:$I$89,3,0)*0.475*44/12</f>
        <v>26.138210725677261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45.505198160571936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6.9935897435897401</v>
      </c>
      <c r="BY106" s="12">
        <f>IF('Données projet'!$A$114&gt;35,BY105+BX106-CG105,IF(A106&lt;'Données projet'!$A$114,$BV$205^A106,IF(A106='Données projet'!$A$114,'Données projet'!$B$114,BY105+BX106-CG105)))</f>
        <v>298.20512820512863</v>
      </c>
      <c r="BZ106" s="13">
        <f>BY106*VLOOKUP('Données projet'!$B$12,Paramètres!$A$1:$I$89,3,0)*VLOOKUP('Données projet'!$B$12,Paramètres!$A$1:$I$89,5,0)</f>
        <v>269.81600000000037</v>
      </c>
      <c r="CA106" s="13">
        <f t="shared" si="93"/>
        <v>64.810218294809729</v>
      </c>
      <c r="CB106" s="20">
        <f t="shared" si="64"/>
        <v>582.80733019679417</v>
      </c>
      <c r="CC106" s="59">
        <f t="shared" si="65"/>
        <v>876.14066353012754</v>
      </c>
      <c r="CD106" s="59">
        <f ca="1">AVERAGE(OFFSET($CC$3,0,0,'Données projet'!$E$12+1,1))-AVERAGE(OFFSET($H$3,0,0,'Données projet'!$E$12+1,1))</f>
        <v>280.25710840677186</v>
      </c>
      <c r="CE106" s="59">
        <f t="shared" si="94"/>
        <v>209.65224013288037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45.401592876002908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45.401592876002908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243</v>
      </c>
      <c r="CU106" s="17">
        <f>CT106*VLOOKUP('Données projet'!$B$13,Paramètres!$A$1:$I$89,3,0)*VLOOKUP('Données projet'!$B$13,Paramètres!$A$1:$I$89,5,0)</f>
        <v>253.98360000000002</v>
      </c>
      <c r="CV106" s="13">
        <f t="shared" si="95"/>
        <v>61.438182405444294</v>
      </c>
      <c r="CW106" s="20">
        <f t="shared" si="67"/>
        <v>549.35960435614891</v>
      </c>
      <c r="CX106" s="59">
        <f t="shared" si="68"/>
        <v>842.69293768948228</v>
      </c>
      <c r="CY106" s="59">
        <f ca="1">AVERAGE(OFFSET($CX$3,0,0,'Données projet'!$E$13+1,1))-AVERAGE(OFFSET($H$3,0,0,'Données projet'!$E$13+1,1))</f>
        <v>330.14201227773452</v>
      </c>
      <c r="CZ106" s="59">
        <f t="shared" si="96"/>
        <v>307.07297894926467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30.724845070742859</v>
      </c>
      <c r="DG106" s="21">
        <f>EXP(-LN(2)/25)*DG105+(1-EXP(-LN(2)/25))/(LN(2)/25)*Calculateur!DB106*Calculateur!DD106*VLOOKUP('Données projet'!$B$13,Paramètres!$A$1:$I$89,3,0)*0.475*44/12</f>
        <v>16.393564381943026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47.118409452685881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283.73369613548124</v>
      </c>
      <c r="T107" s="59">
        <f t="shared" si="88"/>
        <v>249.77804091581208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102.42679291849078</v>
      </c>
      <c r="AA107" s="21">
        <f>EXP(-LN(2)/25)*AA106+(1-EXP(-LN(2)/25))/(LN(2)/25)*Calculateur!V107*Calculateur!X107*VLOOKUP('Données projet'!$B$9,Paramètres!$A$1:$I$89,3,0)*0.475*44/12</f>
        <v>19.510159274925723</v>
      </c>
      <c r="AB107" s="21">
        <f>EXP(-LN(2)/2)*AB106+(1-EXP(-LN(2)/2))/(LN(2)/2)*V107*Y107*VLOOKUP('Données projet'!$B$9,Paramètres!$A$1:$I$89,3,0)*0.475*44/12</f>
        <v>2.8497397287866309E-3</v>
      </c>
      <c r="AC107" s="22">
        <f t="shared" si="57"/>
        <v>121.93980193314529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7.5015384615384617</v>
      </c>
      <c r="AI107" s="13">
        <f>IF('Données projet'!$A$62&gt;35,AI106+AH107-AQ106,IF(A107&lt;'Données projet'!$A$62,$AF$205^A107,IF(A107='Données projet'!$A$62,'Données projet'!$B$62,AI106+AH107-AQ106)))</f>
        <v>302.21384615384648</v>
      </c>
      <c r="AJ107" s="13">
        <f>AI107*VLOOKUP('Données projet'!$B$10,Paramètres!$A$1:$I$89,3,0)*VLOOKUP('Données projet'!$B$10,Paramètres!$A$1:$I$89,5,0)</f>
        <v>141.43608000000015</v>
      </c>
      <c r="AK107" s="13">
        <f t="shared" si="89"/>
        <v>36.625795598426585</v>
      </c>
      <c r="AL107" s="20">
        <f t="shared" si="58"/>
        <v>310.12443333392656</v>
      </c>
      <c r="AM107" s="59">
        <f t="shared" si="59"/>
        <v>603.45776666725988</v>
      </c>
      <c r="AN107" s="59">
        <f ca="1">AVERAGE(OFFSET($AM$3,0,0,'Données projet'!$E$10+1,1))-AVERAGE(OFFSET($H$3,0,0,'Données projet'!$E$10+1,1))</f>
        <v>205.73717397588365</v>
      </c>
      <c r="AO107" s="59">
        <f t="shared" si="90"/>
        <v>190.64998698136026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103.21667913123919</v>
      </c>
      <c r="AV107" s="21">
        <f>EXP(-LN(2)/25)*AV106+(1-EXP(-LN(2)/25))/(LN(2)/25)*Calculateur!AQ107*Calculateur!AS107*VLOOKUP('Données projet'!$B$10,Paramètres!$A$1:$I$89,3,0)*0.475*44/12</f>
        <v>26.96161638827471</v>
      </c>
      <c r="AW107" s="21">
        <f>EXP(-LN(2)/2)*AW106+(1-EXP(-LN(2)/2))/(LN(2)/2)*AQ107*AT107*VLOOKUP('Données projet'!$B$10,Paramètres!$A$1:$I$89,3,0)*0.475*44/12</f>
        <v>0.74057564078708493</v>
      </c>
      <c r="AX107" s="21">
        <f t="shared" si="60"/>
        <v>130.91887116030099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-3.1036506698001178E-14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159.92263609041913</v>
      </c>
      <c r="BJ107" s="59">
        <f t="shared" si="92"/>
        <v>271.78119133009307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18.987212623992324</v>
      </c>
      <c r="BQ107" s="21">
        <f>EXP(-LN(2)/25)*BQ106+(1-EXP(-LN(2)/25))/(LN(2)/25)*Calculateur!BL107*Calculateur!BN107*VLOOKUP('Données projet'!$B$11,Paramètres!$A$1:$I$89,3,0)*0.475*44/12</f>
        <v>25.423459978834853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44.410672602827177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6.9935897435897401</v>
      </c>
      <c r="BY107" s="12">
        <f>IF('Données projet'!$A$114&gt;35,BY106+BX107-CG106,IF(A107&lt;'Données projet'!$A$114,$BV$205^A107,IF(A107='Données projet'!$A$114,'Données projet'!$B$114,BY106+BX107-CG106)))</f>
        <v>305.19871794871835</v>
      </c>
      <c r="BZ107" s="13">
        <f>BY107*VLOOKUP('Données projet'!$B$12,Paramètres!$A$1:$I$89,3,0)*VLOOKUP('Données projet'!$B$12,Paramètres!$A$1:$I$89,5,0)</f>
        <v>276.14380000000034</v>
      </c>
      <c r="CA107" s="13">
        <f t="shared" si="93"/>
        <v>66.151426401533939</v>
      </c>
      <c r="CB107" s="20">
        <f t="shared" si="64"/>
        <v>596.16418598267205</v>
      </c>
      <c r="CC107" s="59">
        <f t="shared" si="65"/>
        <v>889.49751931600531</v>
      </c>
      <c r="CD107" s="59">
        <f ca="1">AVERAGE(OFFSET($CC$3,0,0,'Données projet'!$E$12+1,1))-AVERAGE(OFFSET($H$3,0,0,'Données projet'!$E$12+1,1))</f>
        <v>280.25710840677186</v>
      </c>
      <c r="CE107" s="59">
        <f t="shared" si="94"/>
        <v>209.65224013288037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44.511295331941767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44.511295331941767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243</v>
      </c>
      <c r="CU107" s="17">
        <f>CT107*VLOOKUP('Données projet'!$B$13,Paramètres!$A$1:$I$89,3,0)*VLOOKUP('Données projet'!$B$13,Paramètres!$A$1:$I$89,5,0)</f>
        <v>253.98360000000002</v>
      </c>
      <c r="CV107" s="13">
        <f t="shared" si="95"/>
        <v>61.438182405444294</v>
      </c>
      <c r="CW107" s="20">
        <f t="shared" si="67"/>
        <v>549.35960435614891</v>
      </c>
      <c r="CX107" s="59">
        <f t="shared" si="68"/>
        <v>842.69293768948228</v>
      </c>
      <c r="CY107" s="59">
        <f ca="1">AVERAGE(OFFSET($CX$3,0,0,'Données projet'!$E$13+1,1))-AVERAGE(OFFSET($H$3,0,0,'Données projet'!$E$13+1,1))</f>
        <v>330.14201227773452</v>
      </c>
      <c r="CZ107" s="59">
        <f t="shared" si="96"/>
        <v>307.07297894926467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30.122349599210633</v>
      </c>
      <c r="DG107" s="21">
        <f>EXP(-LN(2)/25)*DG106+(1-EXP(-LN(2)/25))/(LN(2)/25)*Calculateur!DB107*Calculateur!DD107*VLOOKUP('Données projet'!$B$13,Paramètres!$A$1:$I$89,3,0)*0.475*44/12</f>
        <v>15.945281501818711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46.067631101029342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283.73369613548124</v>
      </c>
      <c r="T108" s="59">
        <f t="shared" si="88"/>
        <v>249.77804091581208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100.41826598353404</v>
      </c>
      <c r="AA108" s="21">
        <f>EXP(-LN(2)/25)*AA107+(1-EXP(-LN(2)/25))/(LN(2)/25)*Calculateur!V108*Calculateur!X108*VLOOKUP('Données projet'!$B$9,Paramètres!$A$1:$I$89,3,0)*0.475*44/12</f>
        <v>18.976652943558193</v>
      </c>
      <c r="AB108" s="21">
        <f>EXP(-LN(2)/2)*AB107+(1-EXP(-LN(2)/2))/(LN(2)/2)*V108*Y108*VLOOKUP('Données projet'!$B$9,Paramètres!$A$1:$I$89,3,0)*0.475*44/12</f>
        <v>2.0150702868417395E-3</v>
      </c>
      <c r="AC108" s="22">
        <f t="shared" si="57"/>
        <v>119.39693399737908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309.71538461538461</v>
      </c>
      <c r="AG108" s="12">
        <f>VLOOKUP(A108,'Données projet'!$A$61:$I$81,9,0)</f>
        <v>7.5015384615384617</v>
      </c>
      <c r="AH108" s="12">
        <f t="array" ref="AH108">INDEX(AG:AG,MIN(IF(ISNUMBER(AG108:AG304),ROW(AG108:AG304),"")))</f>
        <v>7.5015384615384617</v>
      </c>
      <c r="AI108" s="13">
        <f>IF('Données projet'!$A$62&gt;35,AI107+AH108-AQ107,IF(A108&lt;'Données projet'!$A$62,$AF$205^A108,IF(A108='Données projet'!$A$62,'Données projet'!$B$62,AI107+AH108-AQ107)))</f>
        <v>309.71538461538495</v>
      </c>
      <c r="AJ108" s="13">
        <f>AI108*VLOOKUP('Données projet'!$B$10,Paramètres!$A$1:$I$89,3,0)*VLOOKUP('Données projet'!$B$10,Paramètres!$A$1:$I$89,5,0)</f>
        <v>144.94680000000017</v>
      </c>
      <c r="AK108" s="13">
        <f t="shared" si="89"/>
        <v>37.427947530076956</v>
      </c>
      <c r="AL108" s="20">
        <f t="shared" si="58"/>
        <v>317.63601861488428</v>
      </c>
      <c r="AM108" s="59">
        <f t="shared" si="59"/>
        <v>610.96935194821754</v>
      </c>
      <c r="AN108" s="59">
        <f ca="1">AVERAGE(OFFSET($AM$3,0,0,'Données projet'!$E$10+1,1))-AVERAGE(OFFSET($H$3,0,0,'Données projet'!$E$10+1,1))</f>
        <v>205.73717397588365</v>
      </c>
      <c r="AO108" s="59">
        <f t="shared" si="90"/>
        <v>190.64998698136026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309.71538461538461</v>
      </c>
      <c r="AR108" s="16">
        <f>IF(ISNA(VLOOKUP(A108,'Données projet'!$A$61:$I$81,5,0)),0%,VLOOKUP(A108,'Données projet'!$A$61:$I$81,5,0)*VLOOKUP('Données projet'!$B$10,Paramètres!$A$1:$I$89,7,0))</f>
        <v>0.38500000000000001</v>
      </c>
      <c r="AS108" s="16">
        <f>IF(ISNA(VLOOKUP(A108,'Données projet'!$A$61:$I$81,6,0)),0%,VLOOKUP(A108,'Données projet'!$A$61:$I$81,6,0)*VLOOKUP('Données projet'!$B$10,Paramètres!$A$1:$I$89,7,0))</f>
        <v>9.240000000000001E-2</v>
      </c>
      <c r="AT108" s="16">
        <f>IF(ISNA(VLOOKUP(A108,'Données projet'!$A$61:$I$81,7,0)),0%,VLOOKUP(A108,'Données projet'!$A$61:$I$81,7,0))</f>
        <v>0.13200000000000001</v>
      </c>
      <c r="AU108" s="21">
        <f>EXP(-LN(2)/35)*AU107+(1-EXP(-LN(2)/35))/(LN(2)/35)*AQ108*AR108*VLOOKUP('Données projet'!$B$10,Paramètres!$A$1:$I$89,3,0)*0.475*44/12</f>
        <v>175.22095304116948</v>
      </c>
      <c r="AV108" s="21">
        <f>EXP(-LN(2)/25)*AV107+(1-EXP(-LN(2)/25))/(LN(2)/25)*Calculateur!AQ108*Calculateur!AS108*VLOOKUP('Données projet'!$B$10,Paramètres!$A$1:$I$89,3,0)*0.475*44/12</f>
        <v>43.921184557541437</v>
      </c>
      <c r="AW108" s="21">
        <f>EXP(-LN(2)/2)*AW107+(1-EXP(-LN(2)/2))/(LN(2)/2)*AQ108*AT108*VLOOKUP('Données projet'!$B$10,Paramètres!$A$1:$I$89,3,0)*0.475*44/12</f>
        <v>22.186641244152522</v>
      </c>
      <c r="AX108" s="21">
        <f t="shared" si="60"/>
        <v>241.32877884286344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-3.1036506698001178E-14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159.92263609041913</v>
      </c>
      <c r="BJ108" s="59">
        <f t="shared" si="92"/>
        <v>271.78119133009307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18.614884965491999</v>
      </c>
      <c r="BQ108" s="21">
        <f>EXP(-LN(2)/25)*BQ107+(1-EXP(-LN(2)/25))/(LN(2)/25)*Calculateur!BL108*Calculateur!BN108*VLOOKUP('Données projet'!$B$11,Paramètres!$A$1:$I$89,3,0)*0.475*44/12</f>
        <v>24.72825412875196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43.343139094243959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6.9935897435897401</v>
      </c>
      <c r="BY108" s="12">
        <f>IF('Données projet'!$A$114&gt;35,BY107+BX108-CG107,IF(A108&lt;'Données projet'!$A$114,$BV$205^A108,IF(A108='Données projet'!$A$114,'Données projet'!$B$114,BY107+BX108-CG107)))</f>
        <v>312.19230769230808</v>
      </c>
      <c r="BZ108" s="13">
        <f>BY108*VLOOKUP('Données projet'!$B$12,Paramètres!$A$1:$I$89,3,0)*VLOOKUP('Données projet'!$B$12,Paramètres!$A$1:$I$89,5,0)</f>
        <v>282.47160000000031</v>
      </c>
      <c r="CA108" s="13">
        <f t="shared" si="93"/>
        <v>67.489061551962138</v>
      </c>
      <c r="CB108" s="20">
        <f t="shared" si="64"/>
        <v>609.51481886966792</v>
      </c>
      <c r="CC108" s="59">
        <f t="shared" si="65"/>
        <v>902.84815220300129</v>
      </c>
      <c r="CD108" s="59">
        <f ca="1">AVERAGE(OFFSET($CC$3,0,0,'Données projet'!$E$12+1,1))-AVERAGE(OFFSET($H$3,0,0,'Données projet'!$E$12+1,1))</f>
        <v>280.25710840677186</v>
      </c>
      <c r="CE108" s="59">
        <f t="shared" si="94"/>
        <v>209.65224013288037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43.638455979691777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43.638455979691777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243</v>
      </c>
      <c r="CU108" s="17">
        <f>CT108*VLOOKUP('Données projet'!$B$13,Paramètres!$A$1:$I$89,3,0)*VLOOKUP('Données projet'!$B$13,Paramètres!$A$1:$I$89,5,0)</f>
        <v>253.98360000000002</v>
      </c>
      <c r="CV108" s="13">
        <f t="shared" si="95"/>
        <v>61.438182405444294</v>
      </c>
      <c r="CW108" s="20">
        <f t="shared" si="67"/>
        <v>549.35960435614891</v>
      </c>
      <c r="CX108" s="59">
        <f t="shared" si="68"/>
        <v>842.69293768948228</v>
      </c>
      <c r="CY108" s="59">
        <f ca="1">AVERAGE(OFFSET($CX$3,0,0,'Données projet'!$E$13+1,1))-AVERAGE(OFFSET($H$3,0,0,'Données projet'!$E$13+1,1))</f>
        <v>330.14201227773452</v>
      </c>
      <c r="CZ108" s="59">
        <f t="shared" si="96"/>
        <v>307.07297894926467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29.531668696389204</v>
      </c>
      <c r="DG108" s="21">
        <f>EXP(-LN(2)/25)*DG107+(1-EXP(-LN(2)/25))/(LN(2)/25)*Calculateur!DB108*Calculateur!DD108*VLOOKUP('Données projet'!$B$13,Paramètres!$A$1:$I$89,3,0)*0.475*44/12</f>
        <v>15.509256940625567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45.040925637014773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283.73369613548124</v>
      </c>
      <c r="T109" s="59">
        <f t="shared" si="88"/>
        <v>249.77804091581208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98.449125036691342</v>
      </c>
      <c r="AA109" s="21">
        <f>EXP(-LN(2)/25)*AA108+(1-EXP(-LN(2)/25))/(LN(2)/25)*Calculateur!V109*Calculateur!X109*VLOOKUP('Données projet'!$B$9,Paramètres!$A$1:$I$89,3,0)*0.475*44/12</f>
        <v>18.457735370877788</v>
      </c>
      <c r="AB109" s="21">
        <f>EXP(-LN(2)/2)*AB108+(1-EXP(-LN(2)/2))/(LN(2)/2)*V109*Y109*VLOOKUP('Données projet'!$B$9,Paramètres!$A$1:$I$89,3,0)*0.475*44/12</f>
        <v>1.4248698643933154E-3</v>
      </c>
      <c r="AC109" s="22">
        <f t="shared" si="57"/>
        <v>116.90828527743352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3.4106051316484809E-13</v>
      </c>
      <c r="AJ109" s="13">
        <f>AI109*VLOOKUP('Données projet'!$B$10,Paramètres!$A$1:$I$89,3,0)*VLOOKUP('Données projet'!$B$10,Paramètres!$A$1:$I$89,5,0)</f>
        <v>1.5961632016114892E-13</v>
      </c>
      <c r="AK109" s="13">
        <f t="shared" si="89"/>
        <v>2.2708641912150958E-12</v>
      </c>
      <c r="AL109" s="20">
        <f t="shared" si="58"/>
        <v>4.2330868906469593E-12</v>
      </c>
      <c r="AM109" s="59">
        <f t="shared" si="59"/>
        <v>293.33333333333752</v>
      </c>
      <c r="AN109" s="59">
        <f ca="1">AVERAGE(OFFSET($AM$3,0,0,'Données projet'!$E$10+1,1))-AVERAGE(OFFSET($H$3,0,0,'Données projet'!$E$10+1,1))</f>
        <v>205.73717397588365</v>
      </c>
      <c r="AO109" s="59">
        <f t="shared" si="90"/>
        <v>190.64998698136026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171.78497702626055</v>
      </c>
      <c r="AV109" s="21">
        <f>EXP(-LN(2)/25)*AV108+(1-EXP(-LN(2)/25))/(LN(2)/25)*Calculateur!AQ109*Calculateur!AS109*VLOOKUP('Données projet'!$B$10,Paramètres!$A$1:$I$89,3,0)*0.475*44/12</f>
        <v>42.72015745610075</v>
      </c>
      <c r="AW109" s="21">
        <f>EXP(-LN(2)/2)*AW108+(1-EXP(-LN(2)/2))/(LN(2)/2)*AQ109*AT109*VLOOKUP('Données projet'!$B$10,Paramètres!$A$1:$I$89,3,0)*0.475*44/12</f>
        <v>15.688324475493388</v>
      </c>
      <c r="AX109" s="21">
        <f t="shared" si="60"/>
        <v>230.19345895785472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-3.1036506698001178E-14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159.92263609041913</v>
      </c>
      <c r="BJ109" s="59">
        <f t="shared" si="92"/>
        <v>271.78119133009307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18.24985842527742</v>
      </c>
      <c r="BQ109" s="21">
        <f>EXP(-LN(2)/25)*BQ108+(1-EXP(-LN(2)/25))/(LN(2)/25)*Calculateur!BL109*Calculateur!BN109*VLOOKUP('Données projet'!$B$11,Paramètres!$A$1:$I$89,3,0)*0.475*44/12</f>
        <v>24.052058719198872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42.301917144476292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6.9935897435897401</v>
      </c>
      <c r="BY109" s="12">
        <f>IF('Données projet'!$A$114&gt;35,BY108+BX109-CG108,IF(A109&lt;'Données projet'!$A$114,$BV$205^A109,IF(A109='Données projet'!$A$114,'Données projet'!$B$114,BY108+BX109-CG108)))</f>
        <v>319.1858974358978</v>
      </c>
      <c r="BZ109" s="13">
        <f>BY109*VLOOKUP('Données projet'!$B$12,Paramètres!$A$1:$I$89,3,0)*VLOOKUP('Données projet'!$B$12,Paramètres!$A$1:$I$89,5,0)</f>
        <v>288.79940000000033</v>
      </c>
      <c r="CA109" s="13">
        <f t="shared" si="93"/>
        <v>68.82321300114252</v>
      </c>
      <c r="CB109" s="20">
        <f t="shared" si="64"/>
        <v>622.85938431032366</v>
      </c>
      <c r="CC109" s="59">
        <f t="shared" si="65"/>
        <v>916.19271764365703</v>
      </c>
      <c r="CD109" s="59">
        <f ca="1">AVERAGE(OFFSET($CC$3,0,0,'Données projet'!$E$12+1,1))-AVERAGE(OFFSET($H$3,0,0,'Données projet'!$E$12+1,1))</f>
        <v>280.25710840677186</v>
      </c>
      <c r="CE109" s="59">
        <f t="shared" si="94"/>
        <v>209.65224013288037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42.782732474759975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42.782732474759975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243</v>
      </c>
      <c r="CU109" s="17">
        <f>CT109*VLOOKUP('Données projet'!$B$13,Paramètres!$A$1:$I$89,3,0)*VLOOKUP('Données projet'!$B$13,Paramètres!$A$1:$I$89,5,0)</f>
        <v>253.98360000000002</v>
      </c>
      <c r="CV109" s="13">
        <f t="shared" si="95"/>
        <v>61.438182405444294</v>
      </c>
      <c r="CW109" s="20">
        <f t="shared" si="67"/>
        <v>549.35960435614891</v>
      </c>
      <c r="CX109" s="59">
        <f t="shared" si="68"/>
        <v>842.69293768948228</v>
      </c>
      <c r="CY109" s="59">
        <f ca="1">AVERAGE(OFFSET($CX$3,0,0,'Données projet'!$E$13+1,1))-AVERAGE(OFFSET($H$3,0,0,'Données projet'!$E$13+1,1))</f>
        <v>330.14201227773452</v>
      </c>
      <c r="CZ109" s="59">
        <f t="shared" si="96"/>
        <v>307.07297894926467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28.952570685792328</v>
      </c>
      <c r="DG109" s="21">
        <f>EXP(-LN(2)/25)*DG108+(1-EXP(-LN(2)/25))/(LN(2)/25)*Calculateur!DB109*Calculateur!DD109*VLOOKUP('Données projet'!$B$13,Paramètres!$A$1:$I$89,3,0)*0.475*44/12</f>
        <v>15.085155493987786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44.037726179780115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283.73369613548124</v>
      </c>
      <c r="T110" s="59">
        <f t="shared" si="88"/>
        <v>249.77804091581208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96.518597742758843</v>
      </c>
      <c r="AA110" s="21">
        <f>EXP(-LN(2)/25)*AA109+(1-EXP(-LN(2)/25))/(LN(2)/25)*Calculateur!V110*Calculateur!X110*VLOOKUP('Données projet'!$B$9,Paramètres!$A$1:$I$89,3,0)*0.475*44/12</f>
        <v>17.953007626511017</v>
      </c>
      <c r="AB110" s="21">
        <f>EXP(-LN(2)/2)*AB109+(1-EXP(-LN(2)/2))/(LN(2)/2)*V110*Y110*VLOOKUP('Données projet'!$B$9,Paramètres!$A$1:$I$89,3,0)*0.475*44/12</f>
        <v>1.0075351434208697E-3</v>
      </c>
      <c r="AC110" s="22">
        <f t="shared" si="57"/>
        <v>114.47261290441328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3.4106051316484809E-13</v>
      </c>
      <c r="AJ110" s="13">
        <f>AI110*VLOOKUP('Données projet'!$B$10,Paramètres!$A$1:$I$89,3,0)*VLOOKUP('Données projet'!$B$10,Paramètres!$A$1:$I$89,5,0)</f>
        <v>1.5961632016114892E-13</v>
      </c>
      <c r="AK110" s="13">
        <f t="shared" si="89"/>
        <v>2.2708641912150958E-12</v>
      </c>
      <c r="AL110" s="20">
        <f t="shared" si="58"/>
        <v>4.2330868906469593E-12</v>
      </c>
      <c r="AM110" s="59">
        <f t="shared" si="59"/>
        <v>293.33333333333752</v>
      </c>
      <c r="AN110" s="59">
        <f ca="1">AVERAGE(OFFSET($AM$3,0,0,'Données projet'!$E$10+1,1))-AVERAGE(OFFSET($H$3,0,0,'Données projet'!$E$10+1,1))</f>
        <v>205.73717397588365</v>
      </c>
      <c r="AO110" s="59">
        <f t="shared" si="90"/>
        <v>190.64998698136026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168.41637840526556</v>
      </c>
      <c r="AV110" s="21">
        <f>EXP(-LN(2)/25)*AV109+(1-EXP(-LN(2)/25))/(LN(2)/25)*Calculateur!AQ110*Calculateur!AS110*VLOOKUP('Données projet'!$B$10,Paramètres!$A$1:$I$89,3,0)*0.475*44/12</f>
        <v>41.551972503908232</v>
      </c>
      <c r="AW110" s="21">
        <f>EXP(-LN(2)/2)*AW109+(1-EXP(-LN(2)/2))/(LN(2)/2)*AQ110*AT110*VLOOKUP('Données projet'!$B$10,Paramètres!$A$1:$I$89,3,0)*0.475*44/12</f>
        <v>11.093320622076263</v>
      </c>
      <c r="AX110" s="21">
        <f t="shared" si="60"/>
        <v>221.06167153125006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-3.1036506698001178E-14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159.92263609041913</v>
      </c>
      <c r="BJ110" s="59">
        <f t="shared" si="92"/>
        <v>271.78119133009307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17.891989832872245</v>
      </c>
      <c r="BQ110" s="21">
        <f>EXP(-LN(2)/25)*BQ109+(1-EXP(-LN(2)/25))/(LN(2)/25)*Calculateur!BL110*Calculateur!BN110*VLOOKUP('Données projet'!$B$11,Paramètres!$A$1:$I$89,3,0)*0.475*44/12</f>
        <v>23.394353908679584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41.286343741551832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6.9935897435897401</v>
      </c>
      <c r="BY110" s="12">
        <f>IF('Données projet'!$A$114&gt;35,BY109+BX110-CG109,IF(A110&lt;'Données projet'!$A$114,$BV$205^A110,IF(A110='Données projet'!$A$114,'Données projet'!$B$114,BY109+BX110-CG109)))</f>
        <v>326.17948717948752</v>
      </c>
      <c r="BZ110" s="13">
        <f>BY110*VLOOKUP('Données projet'!$B$12,Paramètres!$A$1:$I$89,3,0)*VLOOKUP('Données projet'!$B$12,Paramètres!$A$1:$I$89,5,0)</f>
        <v>295.1272000000003</v>
      </c>
      <c r="CA110" s="13">
        <f t="shared" si="93"/>
        <v>70.153965869482519</v>
      </c>
      <c r="CB110" s="20">
        <f t="shared" si="64"/>
        <v>636.19803055601596</v>
      </c>
      <c r="CC110" s="59">
        <f t="shared" si="65"/>
        <v>929.53136388934922</v>
      </c>
      <c r="CD110" s="59">
        <f ca="1">AVERAGE(OFFSET($CC$3,0,0,'Données projet'!$E$12+1,1))-AVERAGE(OFFSET($H$3,0,0,'Données projet'!$E$12+1,1))</f>
        <v>280.25710840677186</v>
      </c>
      <c r="CE110" s="59">
        <f t="shared" si="94"/>
        <v>209.65224013288037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41.943789185820087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41.943789185820087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243</v>
      </c>
      <c r="CU110" s="17">
        <f>CT110*VLOOKUP('Données projet'!$B$13,Paramètres!$A$1:$I$89,3,0)*VLOOKUP('Données projet'!$B$13,Paramètres!$A$1:$I$89,5,0)</f>
        <v>253.98360000000002</v>
      </c>
      <c r="CV110" s="13">
        <f t="shared" si="95"/>
        <v>61.438182405444294</v>
      </c>
      <c r="CW110" s="20">
        <f t="shared" si="67"/>
        <v>549.35960435614891</v>
      </c>
      <c r="CX110" s="59">
        <f t="shared" si="68"/>
        <v>842.69293768948228</v>
      </c>
      <c r="CY110" s="59">
        <f ca="1">AVERAGE(OFFSET($CX$3,0,0,'Données projet'!$E$13+1,1))-AVERAGE(OFFSET($H$3,0,0,'Données projet'!$E$13+1,1))</f>
        <v>330.14201227773452</v>
      </c>
      <c r="CZ110" s="59">
        <f t="shared" si="96"/>
        <v>307.07297894926467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28.384828433968345</v>
      </c>
      <c r="DG110" s="21">
        <f>EXP(-LN(2)/25)*DG109+(1-EXP(-LN(2)/25))/(LN(2)/25)*Calculateur!DB110*Calculateur!DD110*VLOOKUP('Données projet'!$B$13,Paramètres!$A$1:$I$89,3,0)*0.475*44/12</f>
        <v>14.672651123710841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43.057479557679187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283.73369613548124</v>
      </c>
      <c r="T111" s="59">
        <f t="shared" si="88"/>
        <v>249.77804091581208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94.625926911554984</v>
      </c>
      <c r="AA111" s="21">
        <f>EXP(-LN(2)/25)*AA110+(1-EXP(-LN(2)/25))/(LN(2)/25)*Calculateur!V111*Calculateur!X111*VLOOKUP('Données projet'!$B$9,Paramètres!$A$1:$I$89,3,0)*0.475*44/12</f>
        <v>17.462081688856433</v>
      </c>
      <c r="AB111" s="21">
        <f>EXP(-LN(2)/2)*AB110+(1-EXP(-LN(2)/2))/(LN(2)/2)*V111*Y111*VLOOKUP('Données projet'!$B$9,Paramètres!$A$1:$I$89,3,0)*0.475*44/12</f>
        <v>7.1243493219665772E-4</v>
      </c>
      <c r="AC111" s="22">
        <f t="shared" si="57"/>
        <v>112.08872103534361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3.4106051316484809E-13</v>
      </c>
      <c r="AJ111" s="13">
        <f>AI111*VLOOKUP('Données projet'!$B$10,Paramètres!$A$1:$I$89,3,0)*VLOOKUP('Données projet'!$B$10,Paramètres!$A$1:$I$89,5,0)</f>
        <v>1.5961632016114892E-13</v>
      </c>
      <c r="AK111" s="13">
        <f t="shared" si="89"/>
        <v>2.2708641912150958E-12</v>
      </c>
      <c r="AL111" s="20">
        <f t="shared" si="58"/>
        <v>4.2330868906469593E-12</v>
      </c>
      <c r="AM111" s="59">
        <f t="shared" si="59"/>
        <v>293.33333333333752</v>
      </c>
      <c r="AN111" s="59">
        <f ca="1">AVERAGE(OFFSET($AM$3,0,0,'Données projet'!$E$10+1,1))-AVERAGE(OFFSET($H$3,0,0,'Données projet'!$E$10+1,1))</f>
        <v>205.73717397588365</v>
      </c>
      <c r="AO111" s="59">
        <f t="shared" si="90"/>
        <v>190.64998698136026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165.113835948586</v>
      </c>
      <c r="AV111" s="21">
        <f>EXP(-LN(2)/25)*AV110+(1-EXP(-LN(2)/25))/(LN(2)/25)*Calculateur!AQ111*Calculateur!AS111*VLOOKUP('Données projet'!$B$10,Paramètres!$A$1:$I$89,3,0)*0.475*44/12</f>
        <v>40.415731630665597</v>
      </c>
      <c r="AW111" s="21">
        <f>EXP(-LN(2)/2)*AW110+(1-EXP(-LN(2)/2))/(LN(2)/2)*AQ111*AT111*VLOOKUP('Données projet'!$B$10,Paramètres!$A$1:$I$89,3,0)*0.475*44/12</f>
        <v>7.844162237746696</v>
      </c>
      <c r="AX111" s="21">
        <f t="shared" si="60"/>
        <v>213.37372981699829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-3.1036506698001178E-14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159.92263609041913</v>
      </c>
      <c r="BJ111" s="59">
        <f t="shared" si="92"/>
        <v>271.78119133009307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17.541138825285845</v>
      </c>
      <c r="BQ111" s="21">
        <f>EXP(-LN(2)/25)*BQ110+(1-EXP(-LN(2)/25))/(LN(2)/25)*Calculateur!BL111*Calculateur!BN111*VLOOKUP('Données projet'!$B$11,Paramètres!$A$1:$I$89,3,0)*0.475*44/12</f>
        <v>22.754634070791138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40.295772896076983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6.9935897435897401</v>
      </c>
      <c r="BY111" s="12">
        <f>IF('Données projet'!$A$114&gt;35,BY110+BX111-CG110,IF(A111&lt;'Données projet'!$A$114,$BV$205^A111,IF(A111='Données projet'!$A$114,'Données projet'!$B$114,BY110+BX111-CG110)))</f>
        <v>333.17307692307725</v>
      </c>
      <c r="BZ111" s="13">
        <f>BY111*VLOOKUP('Données projet'!$B$12,Paramètres!$A$1:$I$89,3,0)*VLOOKUP('Données projet'!$B$12,Paramètres!$A$1:$I$89,5,0)</f>
        <v>301.45500000000027</v>
      </c>
      <c r="CA111" s="13">
        <f t="shared" si="93"/>
        <v>71.481401418760342</v>
      </c>
      <c r="CB111" s="20">
        <f t="shared" si="64"/>
        <v>649.53089913767474</v>
      </c>
      <c r="CC111" s="59">
        <f t="shared" si="65"/>
        <v>942.86423247100811</v>
      </c>
      <c r="CD111" s="59">
        <f ca="1">AVERAGE(OFFSET($CC$3,0,0,'Données projet'!$E$12+1,1))-AVERAGE(OFFSET($H$3,0,0,'Données projet'!$E$12+1,1))</f>
        <v>280.25710840677186</v>
      </c>
      <c r="CE111" s="59">
        <f t="shared" si="94"/>
        <v>209.65224013288037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41.121297063071431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41.121297063071431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243</v>
      </c>
      <c r="CU111" s="17">
        <f>CT111*VLOOKUP('Données projet'!$B$13,Paramètres!$A$1:$I$89,3,0)*VLOOKUP('Données projet'!$B$13,Paramètres!$A$1:$I$89,5,0)</f>
        <v>253.98360000000002</v>
      </c>
      <c r="CV111" s="13">
        <f t="shared" si="95"/>
        <v>61.438182405444294</v>
      </c>
      <c r="CW111" s="20">
        <f t="shared" si="67"/>
        <v>549.35960435614891</v>
      </c>
      <c r="CX111" s="59">
        <f t="shared" si="68"/>
        <v>842.69293768948228</v>
      </c>
      <c r="CY111" s="59">
        <f ca="1">AVERAGE(OFFSET($CX$3,0,0,'Données projet'!$E$13+1,1))-AVERAGE(OFFSET($H$3,0,0,'Données projet'!$E$13+1,1))</f>
        <v>330.14201227773452</v>
      </c>
      <c r="CZ111" s="59">
        <f t="shared" si="96"/>
        <v>307.07297894926467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27.828219261414048</v>
      </c>
      <c r="DG111" s="21">
        <f>EXP(-LN(2)/25)*DG110+(1-EXP(-LN(2)/25))/(LN(2)/25)*Calculateur!DB111*Calculateur!DD111*VLOOKUP('Données projet'!$B$13,Paramètres!$A$1:$I$89,3,0)*0.475*44/12</f>
        <v>14.271426707131781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42.099645968545829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283.73369613548124</v>
      </c>
      <c r="T112" s="59">
        <f t="shared" si="88"/>
        <v>249.77804091581208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92.770370200935815</v>
      </c>
      <c r="AA112" s="21">
        <f>EXP(-LN(2)/25)*AA111+(1-EXP(-LN(2)/25))/(LN(2)/25)*Calculateur!V112*Calculateur!X112*VLOOKUP('Données projet'!$B$9,Paramètres!$A$1:$I$89,3,0)*0.475*44/12</f>
        <v>16.984580146783689</v>
      </c>
      <c r="AB112" s="21">
        <f>EXP(-LN(2)/2)*AB111+(1-EXP(-LN(2)/2))/(LN(2)/2)*V112*Y112*VLOOKUP('Données projet'!$B$9,Paramètres!$A$1:$I$89,3,0)*0.475*44/12</f>
        <v>5.0376757171043487E-4</v>
      </c>
      <c r="AC112" s="22">
        <f t="shared" si="57"/>
        <v>109.75545411529122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3.4106051316484809E-13</v>
      </c>
      <c r="AJ112" s="13">
        <f>AI112*VLOOKUP('Données projet'!$B$10,Paramètres!$A$1:$I$89,3,0)*VLOOKUP('Données projet'!$B$10,Paramètres!$A$1:$I$89,5,0)</f>
        <v>1.5961632016114892E-13</v>
      </c>
      <c r="AK112" s="13">
        <f t="shared" si="89"/>
        <v>2.2708641912150958E-12</v>
      </c>
      <c r="AL112" s="20">
        <f t="shared" si="58"/>
        <v>4.2330868906469593E-12</v>
      </c>
      <c r="AM112" s="59">
        <f t="shared" si="59"/>
        <v>293.33333333333752</v>
      </c>
      <c r="AN112" s="59">
        <f ca="1">AVERAGE(OFFSET($AM$3,0,0,'Données projet'!$E$10+1,1))-AVERAGE(OFFSET($H$3,0,0,'Données projet'!$E$10+1,1))</f>
        <v>205.73717397588365</v>
      </c>
      <c r="AO112" s="59">
        <f t="shared" si="90"/>
        <v>190.64998698136026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161.87605433512991</v>
      </c>
      <c r="AV112" s="21">
        <f>EXP(-LN(2)/25)*AV111+(1-EXP(-LN(2)/25))/(LN(2)/25)*Calculateur!AQ112*Calculateur!AS112*VLOOKUP('Données projet'!$B$10,Paramètres!$A$1:$I$89,3,0)*0.475*44/12</f>
        <v>39.310561323854088</v>
      </c>
      <c r="AW112" s="21">
        <f>EXP(-LN(2)/2)*AW111+(1-EXP(-LN(2)/2))/(LN(2)/2)*AQ112*AT112*VLOOKUP('Données projet'!$B$10,Paramètres!$A$1:$I$89,3,0)*0.475*44/12</f>
        <v>5.5466603110381323</v>
      </c>
      <c r="AX112" s="21">
        <f t="shared" si="60"/>
        <v>206.73327597002213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-3.1036506698001178E-14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159.92263609041913</v>
      </c>
      <c r="BJ112" s="59">
        <f t="shared" si="92"/>
        <v>271.78119133009307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17.197167791960229</v>
      </c>
      <c r="BQ112" s="21">
        <f>EXP(-LN(2)/25)*BQ111+(1-EXP(-LN(2)/25))/(LN(2)/25)*Calculateur!BL112*Calculateur!BN112*VLOOKUP('Données projet'!$B$11,Paramètres!$A$1:$I$89,3,0)*0.475*44/12</f>
        <v>22.132407405511156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39.329575197471385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340.16666666666663</v>
      </c>
      <c r="BW112" s="12">
        <f>VLOOKUP(A112,'Données projet'!$A$113:$I$133,9,0)</f>
        <v>6.9935897435897401</v>
      </c>
      <c r="BX112" s="12">
        <f t="array" ref="BX112">INDEX(BW:BW,MIN(IF(ISNUMBER(BW112:BW308),ROW(BW112:BW308),"")))</f>
        <v>6.9935897435897401</v>
      </c>
      <c r="BY112" s="12">
        <f>IF('Données projet'!$A$114&gt;35,BY111+BX112-CG111,IF(A112&lt;'Données projet'!$A$114,$BV$205^A112,IF(A112='Données projet'!$A$114,'Données projet'!$B$114,BY111+BX112-CG111)))</f>
        <v>340.16666666666697</v>
      </c>
      <c r="BZ112" s="13">
        <f>BY112*VLOOKUP('Données projet'!$B$12,Paramètres!$A$1:$I$89,3,0)*VLOOKUP('Données projet'!$B$12,Paramètres!$A$1:$I$89,5,0)</f>
        <v>307.78280000000024</v>
      </c>
      <c r="CA112" s="13">
        <f t="shared" si="93"/>
        <v>72.805597304306232</v>
      </c>
      <c r="CB112" s="20">
        <f t="shared" si="64"/>
        <v>662.85812530500039</v>
      </c>
      <c r="CC112" s="59">
        <f t="shared" si="65"/>
        <v>956.19145863833364</v>
      </c>
      <c r="CD112" s="59">
        <f ca="1">AVERAGE(OFFSET($CC$3,0,0,'Données projet'!$E$12+1,1))-AVERAGE(OFFSET($H$3,0,0,'Données projet'!$E$12+1,1))</f>
        <v>280.25710840677186</v>
      </c>
      <c r="CE112" s="59">
        <f t="shared" si="94"/>
        <v>209.65224013288037</v>
      </c>
      <c r="CF112" s="15">
        <f>IF(ISNA(VLOOKUP(A112,'Données projet'!$A$113:$I$133,3,0)),0,VLOOKUP(A112,'Données projet'!$A$113:$I$133,3,0))</f>
        <v>10</v>
      </c>
      <c r="CG112" s="15">
        <f>IF(ISNA(VLOOKUP(A112,'Données projet'!$A$113:$I$133,4,0)),0,VLOOKUP(A112,'Données projet'!$A$113:$I$133,4,0))</f>
        <v>51.28846153846154</v>
      </c>
      <c r="CH112" s="16">
        <f>IF(ISNA(VLOOKUP(A112,'Données projet'!$A$113:$I$133,5,0)),0%,VLOOKUP(A112,'Données projet'!$A$113:$I$133,5,0)*VLOOKUP('Données projet'!$B$12,Paramètres!$A$1:$I$89,7,0))</f>
        <v>0.38700000000000001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60.168125359190398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60.168125359190398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243</v>
      </c>
      <c r="CU112" s="17">
        <f>CT112*VLOOKUP('Données projet'!$B$13,Paramètres!$A$1:$I$89,3,0)*VLOOKUP('Données projet'!$B$13,Paramètres!$A$1:$I$89,5,0)</f>
        <v>253.98360000000002</v>
      </c>
      <c r="CV112" s="13">
        <f t="shared" si="95"/>
        <v>61.438182405444294</v>
      </c>
      <c r="CW112" s="20">
        <f t="shared" si="67"/>
        <v>549.35960435614891</v>
      </c>
      <c r="CX112" s="59">
        <f t="shared" si="68"/>
        <v>842.69293768948228</v>
      </c>
      <c r="CY112" s="59">
        <f ca="1">AVERAGE(OFFSET($CX$3,0,0,'Données projet'!$E$13+1,1))-AVERAGE(OFFSET($H$3,0,0,'Données projet'!$E$13+1,1))</f>
        <v>330.14201227773452</v>
      </c>
      <c r="CZ112" s="59">
        <f t="shared" si="96"/>
        <v>307.07297894926467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27.282524855235472</v>
      </c>
      <c r="DG112" s="21">
        <f>EXP(-LN(2)/25)*DG111+(1-EXP(-LN(2)/25))/(LN(2)/25)*Calculateur!DB112*Calculateur!DD112*VLOOKUP('Données projet'!$B$13,Paramètres!$A$1:$I$89,3,0)*0.475*44/12</f>
        <v>13.88117379332355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41.16369864855902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283.73369613548124</v>
      </c>
      <c r="T113" s="59">
        <f t="shared" si="88"/>
        <v>249.77804091581208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90.951199825634049</v>
      </c>
      <c r="AA113" s="21">
        <f>EXP(-LN(2)/25)*AA112+(1-EXP(-LN(2)/25))/(LN(2)/25)*Calculateur!V113*Calculateur!X113*VLOOKUP('Données projet'!$B$9,Paramètres!$A$1:$I$89,3,0)*0.475*44/12</f>
        <v>16.520135909489639</v>
      </c>
      <c r="AB113" s="21">
        <f>EXP(-LN(2)/2)*AB112+(1-EXP(-LN(2)/2))/(LN(2)/2)*V113*Y113*VLOOKUP('Données projet'!$B$9,Paramètres!$A$1:$I$89,3,0)*0.475*44/12</f>
        <v>3.5621746609832886E-4</v>
      </c>
      <c r="AC113" s="22">
        <f t="shared" si="57"/>
        <v>107.47169195258978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1.5961632016114892E-13</v>
      </c>
      <c r="AK113" s="13">
        <f t="shared" si="89"/>
        <v>2.2708641912150958E-12</v>
      </c>
      <c r="AL113" s="20">
        <f t="shared" si="58"/>
        <v>4.2330868906469593E-12</v>
      </c>
      <c r="AM113" s="59">
        <f t="shared" si="59"/>
        <v>293.33333333333752</v>
      </c>
      <c r="AN113" s="59">
        <f ca="1">AVERAGE(OFFSET($AM$3,0,0,'Données projet'!$E$10+1,1))-AVERAGE(OFFSET($H$3,0,0,'Données projet'!$E$10+1,1))</f>
        <v>205.73717397588365</v>
      </c>
      <c r="AO113" s="59">
        <f t="shared" si="90"/>
        <v>190.64998698136026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158.70176364426192</v>
      </c>
      <c r="AV113" s="21">
        <f>EXP(-LN(2)/25)*AV112+(1-EXP(-LN(2)/25))/(LN(2)/25)*Calculateur!AQ113*Calculateur!AS113*VLOOKUP('Données projet'!$B$10,Paramètres!$A$1:$I$89,3,0)*0.475*44/12</f>
        <v>38.235611957200724</v>
      </c>
      <c r="AW113" s="21">
        <f>EXP(-LN(2)/2)*AW112+(1-EXP(-LN(2)/2))/(LN(2)/2)*AQ113*AT113*VLOOKUP('Données projet'!$B$10,Paramètres!$A$1:$I$89,3,0)*0.475*44/12</f>
        <v>3.9220811188733484</v>
      </c>
      <c r="AX113" s="21">
        <f t="shared" si="60"/>
        <v>200.85945672033597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-3.1036506698001178E-14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159.92263609041913</v>
      </c>
      <c r="BJ113" s="59">
        <f t="shared" si="92"/>
        <v>271.78119133009307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16.859941820796518</v>
      </c>
      <c r="BQ113" s="21">
        <f>EXP(-LN(2)/25)*BQ112+(1-EXP(-LN(2)/25))/(LN(2)/25)*Calculateur!BL113*Calculateur!BN113*VLOOKUP('Données projet'!$B$11,Paramètres!$A$1:$I$89,3,0)*0.475*44/12</f>
        <v>21.527195561114731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38.387137381911245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6.8461538461538511</v>
      </c>
      <c r="BY113" s="12">
        <f>IF('Données projet'!$A$114&gt;35,BY112+BX113-CG112,IF(A113&lt;'Données projet'!$A$114,$BV$205^A113,IF(A113='Données projet'!$A$114,'Données projet'!$B$114,BY112+BX113-CG112)))</f>
        <v>295.72435897435929</v>
      </c>
      <c r="BZ113" s="13">
        <f>BY113*VLOOKUP('Données projet'!$B$12,Paramètres!$A$1:$I$89,3,0)*VLOOKUP('Données projet'!$B$12,Paramètres!$A$1:$I$89,5,0)</f>
        <v>267.57140000000027</v>
      </c>
      <c r="CA113" s="13">
        <f t="shared" si="93"/>
        <v>64.333588350286504</v>
      </c>
      <c r="CB113" s="20">
        <f t="shared" si="64"/>
        <v>578.06785471008277</v>
      </c>
      <c r="CC113" s="59">
        <f t="shared" si="65"/>
        <v>871.40118804341614</v>
      </c>
      <c r="CD113" s="59">
        <f ca="1">AVERAGE(OFFSET($CC$3,0,0,'Données projet'!$E$12+1,1))-AVERAGE(OFFSET($H$3,0,0,'Données projet'!$E$12+1,1))</f>
        <v>280.25710840677186</v>
      </c>
      <c r="CE113" s="59">
        <f t="shared" si="94"/>
        <v>209.65224013288037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58.988265119829428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58.988265119829428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243</v>
      </c>
      <c r="CU113" s="17">
        <f>CT113*VLOOKUP('Données projet'!$B$13,Paramètres!$A$1:$I$89,3,0)*VLOOKUP('Données projet'!$B$13,Paramètres!$A$1:$I$89,5,0)</f>
        <v>253.98360000000002</v>
      </c>
      <c r="CV113" s="13">
        <f t="shared" si="95"/>
        <v>61.438182405444294</v>
      </c>
      <c r="CW113" s="20">
        <f t="shared" si="67"/>
        <v>549.35960435614891</v>
      </c>
      <c r="CX113" s="59">
        <f t="shared" si="68"/>
        <v>842.69293768948228</v>
      </c>
      <c r="CY113" s="59">
        <f ca="1">AVERAGE(OFFSET($CX$3,0,0,'Données projet'!$E$13+1,1))-AVERAGE(OFFSET($H$3,0,0,'Données projet'!$E$13+1,1))</f>
        <v>330.14201227773452</v>
      </c>
      <c r="CZ113" s="59">
        <f t="shared" si="96"/>
        <v>307.07297894926467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26.747531183521335</v>
      </c>
      <c r="DG113" s="21">
        <f>EXP(-LN(2)/25)*DG112+(1-EXP(-LN(2)/25))/(LN(2)/25)*Calculateur!DB113*Calculateur!DD113*VLOOKUP('Données projet'!$B$13,Paramètres!$A$1:$I$89,3,0)*0.475*44/12</f>
        <v>13.501592365965912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40.249123549487251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283.73369613548124</v>
      </c>
      <c r="T114" s="59">
        <f t="shared" si="88"/>
        <v>249.77804091581208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89.167702271807585</v>
      </c>
      <c r="AA114" s="21">
        <f>EXP(-LN(2)/25)*AA113+(1-EXP(-LN(2)/25))/(LN(2)/25)*Calculateur!V114*Calculateur!X114*VLOOKUP('Données projet'!$B$9,Paramètres!$A$1:$I$89,3,0)*0.475*44/12</f>
        <v>16.068391924288456</v>
      </c>
      <c r="AB114" s="21">
        <f>EXP(-LN(2)/2)*AB113+(1-EXP(-LN(2)/2))/(LN(2)/2)*V114*Y114*VLOOKUP('Données projet'!$B$9,Paramètres!$A$1:$I$89,3,0)*0.475*44/12</f>
        <v>2.5188378585521743E-4</v>
      </c>
      <c r="AC114" s="22">
        <f t="shared" si="57"/>
        <v>105.2363460798819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1.5961632016114892E-13</v>
      </c>
      <c r="AK114" s="13">
        <f t="shared" si="89"/>
        <v>2.2708641912150958E-12</v>
      </c>
      <c r="AL114" s="20">
        <f t="shared" si="58"/>
        <v>4.2330868906469593E-12</v>
      </c>
      <c r="AM114" s="59">
        <f t="shared" si="59"/>
        <v>293.33333333333752</v>
      </c>
      <c r="AN114" s="59">
        <f ca="1">AVERAGE(OFFSET($AM$3,0,0,'Données projet'!$E$10+1,1))-AVERAGE(OFFSET($H$3,0,0,'Données projet'!$E$10+1,1))</f>
        <v>205.73717397588365</v>
      </c>
      <c r="AO114" s="59">
        <f t="shared" si="90"/>
        <v>190.64998698136026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155.5897188577157</v>
      </c>
      <c r="AV114" s="21">
        <f>EXP(-LN(2)/25)*AV113+(1-EXP(-LN(2)/25))/(LN(2)/25)*Calculateur!AQ114*Calculateur!AS114*VLOOKUP('Données projet'!$B$10,Paramètres!$A$1:$I$89,3,0)*0.475*44/12</f>
        <v>37.19005713750763</v>
      </c>
      <c r="AW114" s="21">
        <f>EXP(-LN(2)/2)*AW113+(1-EXP(-LN(2)/2))/(LN(2)/2)*AQ114*AT114*VLOOKUP('Données projet'!$B$10,Paramètres!$A$1:$I$89,3,0)*0.475*44/12</f>
        <v>2.7733301555190666</v>
      </c>
      <c r="AX114" s="21">
        <f t="shared" si="60"/>
        <v>195.55310615074239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-3.1036506698001178E-14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159.92263609041913</v>
      </c>
      <c r="BJ114" s="59">
        <f t="shared" si="92"/>
        <v>271.78119133009307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16.529328645239794</v>
      </c>
      <c r="BQ114" s="21">
        <f>EXP(-LN(2)/25)*BQ113+(1-EXP(-LN(2)/25))/(LN(2)/25)*Calculateur!BL114*Calculateur!BN114*VLOOKUP('Données projet'!$B$11,Paramètres!$A$1:$I$89,3,0)*0.475*44/12</f>
        <v>20.938533266430035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37.467861911669829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6.8461538461538511</v>
      </c>
      <c r="BY114" s="12">
        <f>IF('Données projet'!$A$114&gt;35,BY113+BX114-CG113,IF(A114&lt;'Données projet'!$A$114,$BV$205^A114,IF(A114='Données projet'!$A$114,'Données projet'!$B$114,BY113+BX114-CG113)))</f>
        <v>302.57051282051316</v>
      </c>
      <c r="BZ114" s="13">
        <f>BY114*VLOOKUP('Données projet'!$B$12,Paramètres!$A$1:$I$89,3,0)*VLOOKUP('Données projet'!$B$12,Paramètres!$A$1:$I$89,5,0)</f>
        <v>273.7658000000003</v>
      </c>
      <c r="CA114" s="13">
        <f t="shared" si="93"/>
        <v>65.647821692657914</v>
      </c>
      <c r="CB114" s="20">
        <f t="shared" si="64"/>
        <v>591.14539111471311</v>
      </c>
      <c r="CC114" s="59">
        <f t="shared" si="65"/>
        <v>884.47872444804648</v>
      </c>
      <c r="CD114" s="59">
        <f ca="1">AVERAGE(OFFSET($CC$3,0,0,'Données projet'!$E$12+1,1))-AVERAGE(OFFSET($H$3,0,0,'Données projet'!$E$12+1,1))</f>
        <v>280.25710840677186</v>
      </c>
      <c r="CE114" s="59">
        <f t="shared" si="94"/>
        <v>209.65224013288037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57.831541220118638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57.831541220118638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243</v>
      </c>
      <c r="CU114" s="17">
        <f>CT114*VLOOKUP('Données projet'!$B$13,Paramètres!$A$1:$I$89,3,0)*VLOOKUP('Données projet'!$B$13,Paramètres!$A$1:$I$89,5,0)</f>
        <v>253.98360000000002</v>
      </c>
      <c r="CV114" s="13">
        <f t="shared" si="95"/>
        <v>61.438182405444294</v>
      </c>
      <c r="CW114" s="20">
        <f t="shared" si="67"/>
        <v>549.35960435614891</v>
      </c>
      <c r="CX114" s="59">
        <f t="shared" si="68"/>
        <v>842.69293768948228</v>
      </c>
      <c r="CY114" s="59">
        <f ca="1">AVERAGE(OFFSET($CX$3,0,0,'Données projet'!$E$13+1,1))-AVERAGE(OFFSET($H$3,0,0,'Données projet'!$E$13+1,1))</f>
        <v>330.14201227773452</v>
      </c>
      <c r="CZ114" s="59">
        <f t="shared" si="96"/>
        <v>307.07297894926467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26.223028411395592</v>
      </c>
      <c r="DG114" s="21">
        <f>EXP(-LN(2)/25)*DG113+(1-EXP(-LN(2)/25))/(LN(2)/25)*Calculateur!DB114*Calculateur!DD114*VLOOKUP('Données projet'!$B$13,Paramètres!$A$1:$I$89,3,0)*0.475*44/12</f>
        <v>13.132390612700689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39.355419024096278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283.73369613548124</v>
      </c>
      <c r="T115" s="59">
        <f t="shared" si="88"/>
        <v>249.77804091581208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87.419178017185558</v>
      </c>
      <c r="AA115" s="21">
        <f>EXP(-LN(2)/25)*AA114+(1-EXP(-LN(2)/25))/(LN(2)/25)*Calculateur!V115*Calculateur!X115*VLOOKUP('Données projet'!$B$9,Paramètres!$A$1:$I$89,3,0)*0.475*44/12</f>
        <v>15.629000902118781</v>
      </c>
      <c r="AB115" s="21">
        <f>EXP(-LN(2)/2)*AB114+(1-EXP(-LN(2)/2))/(LN(2)/2)*V115*Y115*VLOOKUP('Données projet'!$B$9,Paramètres!$A$1:$I$89,3,0)*0.475*44/12</f>
        <v>1.7810873304916443E-4</v>
      </c>
      <c r="AC115" s="22">
        <f t="shared" si="57"/>
        <v>103.04835702803739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1.5961632016114892E-13</v>
      </c>
      <c r="AK115" s="13">
        <f t="shared" si="89"/>
        <v>2.2708641912150958E-12</v>
      </c>
      <c r="AL115" s="20">
        <f t="shared" si="58"/>
        <v>4.2330868906469593E-12</v>
      </c>
      <c r="AM115" s="59">
        <f t="shared" si="59"/>
        <v>293.33333333333752</v>
      </c>
      <c r="AN115" s="59">
        <f ca="1">AVERAGE(OFFSET($AM$3,0,0,'Données projet'!$E$10+1,1))-AVERAGE(OFFSET($H$3,0,0,'Données projet'!$E$10+1,1))</f>
        <v>205.73717397588365</v>
      </c>
      <c r="AO115" s="59">
        <f t="shared" si="90"/>
        <v>190.64998698136026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152.53869937127376</v>
      </c>
      <c r="AV115" s="21">
        <f>EXP(-LN(2)/25)*AV114+(1-EXP(-LN(2)/25))/(LN(2)/25)*Calculateur!AQ115*Calculateur!AS115*VLOOKUP('Données projet'!$B$10,Paramètres!$A$1:$I$89,3,0)*0.475*44/12</f>
        <v>36.173093069342379</v>
      </c>
      <c r="AW115" s="21">
        <f>EXP(-LN(2)/2)*AW114+(1-EXP(-LN(2)/2))/(LN(2)/2)*AQ115*AT115*VLOOKUP('Données projet'!$B$10,Paramètres!$A$1:$I$89,3,0)*0.475*44/12</f>
        <v>1.9610405594366747</v>
      </c>
      <c r="AX115" s="21">
        <f t="shared" si="60"/>
        <v>190.6728330000528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-3.1036506698001178E-14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159.92263609041913</v>
      </c>
      <c r="BJ115" s="59">
        <f t="shared" si="92"/>
        <v>271.78119133009307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16.205198592401612</v>
      </c>
      <c r="BQ115" s="21">
        <f>EXP(-LN(2)/25)*BQ114+(1-EXP(-LN(2)/25))/(LN(2)/25)*Calculateur!BL115*Calculateur!BN115*VLOOKUP('Données projet'!$B$11,Paramètres!$A$1:$I$89,3,0)*0.475*44/12</f>
        <v>20.365967973149896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36.571166565551508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6.8461538461538511</v>
      </c>
      <c r="BY115" s="12">
        <f>IF('Données projet'!$A$114&gt;35,BY114+BX115-CG114,IF(A115&lt;'Données projet'!$A$114,$BV$205^A115,IF(A115='Données projet'!$A$114,'Données projet'!$B$114,BY114+BX115-CG114)))</f>
        <v>309.41666666666703</v>
      </c>
      <c r="BZ115" s="13">
        <f>BY115*VLOOKUP('Données projet'!$B$12,Paramètres!$A$1:$I$89,3,0)*VLOOKUP('Données projet'!$B$12,Paramètres!$A$1:$I$89,5,0)</f>
        <v>279.96020000000033</v>
      </c>
      <c r="CA115" s="13">
        <f t="shared" si="93"/>
        <v>66.958597927408931</v>
      </c>
      <c r="CB115" s="20">
        <f t="shared" si="64"/>
        <v>604.2169063902378</v>
      </c>
      <c r="CC115" s="59">
        <f t="shared" si="65"/>
        <v>897.55023972357117</v>
      </c>
      <c r="CD115" s="59">
        <f ca="1">AVERAGE(OFFSET($CC$3,0,0,'Données projet'!$E$12+1,1))-AVERAGE(OFFSET($H$3,0,0,'Données projet'!$E$12+1,1))</f>
        <v>280.25710840677186</v>
      </c>
      <c r="CE115" s="59">
        <f t="shared" si="94"/>
        <v>209.65224013288037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56.697499970549259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56.697499970549259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243</v>
      </c>
      <c r="CU115" s="17">
        <f>CT115*VLOOKUP('Données projet'!$B$13,Paramètres!$A$1:$I$89,3,0)*VLOOKUP('Données projet'!$B$13,Paramètres!$A$1:$I$89,5,0)</f>
        <v>253.98360000000002</v>
      </c>
      <c r="CV115" s="13">
        <f t="shared" si="95"/>
        <v>61.438182405444294</v>
      </c>
      <c r="CW115" s="20">
        <f t="shared" si="67"/>
        <v>549.35960435614891</v>
      </c>
      <c r="CX115" s="59">
        <f t="shared" si="68"/>
        <v>842.69293768948228</v>
      </c>
      <c r="CY115" s="59">
        <f ca="1">AVERAGE(OFFSET($CX$3,0,0,'Données projet'!$E$13+1,1))-AVERAGE(OFFSET($H$3,0,0,'Données projet'!$E$13+1,1))</f>
        <v>330.14201227773452</v>
      </c>
      <c r="CZ115" s="59">
        <f t="shared" si="96"/>
        <v>307.07297894926467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25.708810818716135</v>
      </c>
      <c r="DG115" s="21">
        <f>EXP(-LN(2)/25)*DG114+(1-EXP(-LN(2)/25))/(LN(2)/25)*Calculateur!DB115*Calculateur!DD115*VLOOKUP('Données projet'!$B$13,Paramètres!$A$1:$I$89,3,0)*0.475*44/12</f>
        <v>12.773284700793981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38.482095519510118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283.73369613548124</v>
      </c>
      <c r="T116" s="59">
        <f t="shared" si="88"/>
        <v>249.77804091581208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85.704941256702185</v>
      </c>
      <c r="AA116" s="21">
        <f>EXP(-LN(2)/25)*AA115+(1-EXP(-LN(2)/25))/(LN(2)/25)*Calculateur!V116*Calculateur!X116*VLOOKUP('Données projet'!$B$9,Paramètres!$A$1:$I$89,3,0)*0.475*44/12</f>
        <v>15.201625050556906</v>
      </c>
      <c r="AB116" s="21">
        <f>EXP(-LN(2)/2)*AB115+(1-EXP(-LN(2)/2))/(LN(2)/2)*V116*Y116*VLOOKUP('Données projet'!$B$9,Paramètres!$A$1:$I$89,3,0)*0.475*44/12</f>
        <v>1.2594189292760872E-4</v>
      </c>
      <c r="AC116" s="22">
        <f t="shared" si="57"/>
        <v>100.90669224915202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1.5961632016114892E-13</v>
      </c>
      <c r="AK116" s="13">
        <f t="shared" si="89"/>
        <v>2.2708641912150958E-12</v>
      </c>
      <c r="AL116" s="20">
        <f t="shared" si="58"/>
        <v>4.2330868906469593E-12</v>
      </c>
      <c r="AM116" s="59">
        <f t="shared" si="59"/>
        <v>293.33333333333752</v>
      </c>
      <c r="AN116" s="59">
        <f ca="1">AVERAGE(OFFSET($AM$3,0,0,'Données projet'!$E$10+1,1))-AVERAGE(OFFSET($H$3,0,0,'Données projet'!$E$10+1,1))</f>
        <v>205.73717397588365</v>
      </c>
      <c r="AO116" s="59">
        <f t="shared" si="90"/>
        <v>190.64998698136026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149.54750851602282</v>
      </c>
      <c r="AV116" s="21">
        <f>EXP(-LN(2)/25)*AV115+(1-EXP(-LN(2)/25))/(LN(2)/25)*Calculateur!AQ116*Calculateur!AS116*VLOOKUP('Données projet'!$B$10,Paramètres!$A$1:$I$89,3,0)*0.475*44/12</f>
        <v>35.183937937100922</v>
      </c>
      <c r="AW116" s="21">
        <f>EXP(-LN(2)/2)*AW115+(1-EXP(-LN(2)/2))/(LN(2)/2)*AQ116*AT116*VLOOKUP('Données projet'!$B$10,Paramètres!$A$1:$I$89,3,0)*0.475*44/12</f>
        <v>1.3866650777595335</v>
      </c>
      <c r="AX116" s="21">
        <f t="shared" si="60"/>
        <v>186.11811153088328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-3.1036506698001178E-14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159.92263609041913</v>
      </c>
      <c r="BJ116" s="59">
        <f t="shared" si="92"/>
        <v>271.78119133009307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15.887424532199773</v>
      </c>
      <c r="BQ116" s="21">
        <f>EXP(-LN(2)/25)*BQ115+(1-EXP(-LN(2)/25))/(LN(2)/25)*Calculateur!BL116*Calculateur!BN116*VLOOKUP('Données projet'!$B$11,Paramètres!$A$1:$I$89,3,0)*0.475*44/12</f>
        <v>19.809059507924403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35.696484040124176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6.8461538461538511</v>
      </c>
      <c r="BY116" s="12">
        <f>IF('Données projet'!$A$114&gt;35,BY115+BX116-CG115,IF(A116&lt;'Données projet'!$A$114,$BV$205^A116,IF(A116='Données projet'!$A$114,'Données projet'!$B$114,BY115+BX116-CG115)))</f>
        <v>316.26282051282089</v>
      </c>
      <c r="BZ116" s="13">
        <f>BY116*VLOOKUP('Données projet'!$B$12,Paramètres!$A$1:$I$89,3,0)*VLOOKUP('Données projet'!$B$12,Paramètres!$A$1:$I$89,5,0)</f>
        <v>286.15460000000036</v>
      </c>
      <c r="CA116" s="13">
        <f t="shared" si="93"/>
        <v>68.266002354364261</v>
      </c>
      <c r="CB116" s="20">
        <f t="shared" si="64"/>
        <v>617.28254910051839</v>
      </c>
      <c r="CC116" s="59">
        <f t="shared" si="65"/>
        <v>910.61588243385177</v>
      </c>
      <c r="CD116" s="59">
        <f ca="1">AVERAGE(OFFSET($CC$3,0,0,'Données projet'!$E$12+1,1))-AVERAGE(OFFSET($H$3,0,0,'Données projet'!$E$12+1,1))</f>
        <v>280.25710840677186</v>
      </c>
      <c r="CE116" s="59">
        <f t="shared" si="94"/>
        <v>209.65224013288037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55.585696578187076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55.585696578187076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243</v>
      </c>
      <c r="CU116" s="17">
        <f>CT116*VLOOKUP('Données projet'!$B$13,Paramètres!$A$1:$I$89,3,0)*VLOOKUP('Données projet'!$B$13,Paramètres!$A$1:$I$89,5,0)</f>
        <v>253.98360000000002</v>
      </c>
      <c r="CV116" s="13">
        <f t="shared" si="95"/>
        <v>61.438182405444294</v>
      </c>
      <c r="CW116" s="20">
        <f t="shared" si="67"/>
        <v>549.35960435614891</v>
      </c>
      <c r="CX116" s="59">
        <f t="shared" si="68"/>
        <v>842.69293768948228</v>
      </c>
      <c r="CY116" s="59">
        <f ca="1">AVERAGE(OFFSET($CX$3,0,0,'Données projet'!$E$13+1,1))-AVERAGE(OFFSET($H$3,0,0,'Données projet'!$E$13+1,1))</f>
        <v>330.14201227773452</v>
      </c>
      <c r="CZ116" s="59">
        <f t="shared" si="96"/>
        <v>307.07297894926467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25.204676719387358</v>
      </c>
      <c r="DG116" s="21">
        <f>EXP(-LN(2)/25)*DG115+(1-EXP(-LN(2)/25))/(LN(2)/25)*Calculateur!DB116*Calculateur!DD116*VLOOKUP('Données projet'!$B$13,Paramètres!$A$1:$I$89,3,0)*0.475*44/12</f>
        <v>12.42399855893292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37.62867527832028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283.73369613548124</v>
      </c>
      <c r="T117" s="59">
        <f t="shared" si="88"/>
        <v>249.77804091581208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84.024319633510714</v>
      </c>
      <c r="AA117" s="21">
        <f>EXP(-LN(2)/25)*AA116+(1-EXP(-LN(2)/25))/(LN(2)/25)*Calculateur!V117*Calculateur!X117*VLOOKUP('Données projet'!$B$9,Paramètres!$A$1:$I$89,3,0)*0.475*44/12</f>
        <v>14.78593581413071</v>
      </c>
      <c r="AB117" s="21">
        <f>EXP(-LN(2)/2)*AB116+(1-EXP(-LN(2)/2))/(LN(2)/2)*V117*Y117*VLOOKUP('Données projet'!$B$9,Paramètres!$A$1:$I$89,3,0)*0.475*44/12</f>
        <v>8.9054366524582215E-5</v>
      </c>
      <c r="AC117" s="22">
        <f t="shared" si="57"/>
        <v>98.81034450200795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1.5961632016114892E-13</v>
      </c>
      <c r="AK117" s="13">
        <f t="shared" si="89"/>
        <v>2.2708641912150958E-12</v>
      </c>
      <c r="AL117" s="20">
        <f t="shared" si="58"/>
        <v>4.2330868906469593E-12</v>
      </c>
      <c r="AM117" s="59">
        <f t="shared" si="59"/>
        <v>293.33333333333752</v>
      </c>
      <c r="AN117" s="59">
        <f ca="1">AVERAGE(OFFSET($AM$3,0,0,'Données projet'!$E$10+1,1))-AVERAGE(OFFSET($H$3,0,0,'Données projet'!$E$10+1,1))</f>
        <v>205.73717397588365</v>
      </c>
      <c r="AO117" s="59">
        <f t="shared" si="90"/>
        <v>190.64998698136026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146.61497308899706</v>
      </c>
      <c r="AV117" s="21">
        <f>EXP(-LN(2)/25)*AV116+(1-EXP(-LN(2)/25))/(LN(2)/25)*Calculateur!AQ117*Calculateur!AS117*VLOOKUP('Données projet'!$B$10,Paramètres!$A$1:$I$89,3,0)*0.475*44/12</f>
        <v>34.221831303968017</v>
      </c>
      <c r="AW117" s="21">
        <f>EXP(-LN(2)/2)*AW116+(1-EXP(-LN(2)/2))/(LN(2)/2)*AQ117*AT117*VLOOKUP('Données projet'!$B$10,Paramètres!$A$1:$I$89,3,0)*0.475*44/12</f>
        <v>0.98052027971833744</v>
      </c>
      <c r="AX117" s="21">
        <f t="shared" si="60"/>
        <v>181.81732467268341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-3.1036506698001178E-14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159.92263609041913</v>
      </c>
      <c r="BJ117" s="59">
        <f t="shared" si="92"/>
        <v>271.78119133009307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15.575881827495456</v>
      </c>
      <c r="BQ117" s="21">
        <f>EXP(-LN(2)/25)*BQ116+(1-EXP(-LN(2)/25))/(LN(2)/25)*Calculateur!BL117*Calculateur!BN117*VLOOKUP('Données projet'!$B$11,Paramètres!$A$1:$I$89,3,0)*0.475*44/12</f>
        <v>19.267379733967044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34.843261561462498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6.8461538461538511</v>
      </c>
      <c r="BY117" s="12">
        <f>IF('Données projet'!$A$114&gt;35,BY116+BX117-CG116,IF(A117&lt;'Données projet'!$A$114,$BV$205^A117,IF(A117='Données projet'!$A$114,'Données projet'!$B$114,BY116+BX117-CG116)))</f>
        <v>323.10897435897476</v>
      </c>
      <c r="BZ117" s="13">
        <f>BY117*VLOOKUP('Données projet'!$B$12,Paramètres!$A$1:$I$89,3,0)*VLOOKUP('Données projet'!$B$12,Paramètres!$A$1:$I$89,5,0)</f>
        <v>292.34900000000033</v>
      </c>
      <c r="CA117" s="13">
        <f t="shared" si="93"/>
        <v>69.570116369442999</v>
      </c>
      <c r="CB117" s="20">
        <f t="shared" si="64"/>
        <v>630.34246101011377</v>
      </c>
      <c r="CC117" s="59">
        <f t="shared" si="65"/>
        <v>923.67579434344702</v>
      </c>
      <c r="CD117" s="59">
        <f ca="1">AVERAGE(OFFSET($CC$3,0,0,'Données projet'!$E$12+1,1))-AVERAGE(OFFSET($H$3,0,0,'Données projet'!$E$12+1,1))</f>
        <v>280.25710840677186</v>
      </c>
      <c r="CE117" s="59">
        <f t="shared" si="94"/>
        <v>209.65224013288037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54.495694972216008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54.495694972216008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243</v>
      </c>
      <c r="CU117" s="17">
        <f>CT117*VLOOKUP('Données projet'!$B$13,Paramètres!$A$1:$I$89,3,0)*VLOOKUP('Données projet'!$B$13,Paramètres!$A$1:$I$89,5,0)</f>
        <v>253.98360000000002</v>
      </c>
      <c r="CV117" s="13">
        <f t="shared" si="95"/>
        <v>61.438182405444294</v>
      </c>
      <c r="CW117" s="20">
        <f t="shared" si="67"/>
        <v>549.35960435614891</v>
      </c>
      <c r="CX117" s="59">
        <f t="shared" si="68"/>
        <v>842.69293768948228</v>
      </c>
      <c r="CY117" s="59">
        <f ca="1">AVERAGE(OFFSET($CX$3,0,0,'Données projet'!$E$13+1,1))-AVERAGE(OFFSET($H$3,0,0,'Données projet'!$E$13+1,1))</f>
        <v>330.14201227773452</v>
      </c>
      <c r="CZ117" s="59">
        <f t="shared" si="96"/>
        <v>307.07297894926467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24.710428382254978</v>
      </c>
      <c r="DG117" s="21">
        <f>EXP(-LN(2)/25)*DG116+(1-EXP(-LN(2)/25))/(LN(2)/25)*Calculateur!DB117*Calculateur!DD117*VLOOKUP('Données projet'!$B$13,Paramètres!$A$1:$I$89,3,0)*0.475*44/12</f>
        <v>12.08426366498921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36.79469204724419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283.73369613548124</v>
      </c>
      <c r="T118" s="59">
        <f t="shared" si="88"/>
        <v>249.77804091581208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82.376653975272049</v>
      </c>
      <c r="AA118" s="21">
        <f>EXP(-LN(2)/25)*AA117+(1-EXP(-LN(2)/25))/(LN(2)/25)*Calculateur!V118*Calculateur!X118*VLOOKUP('Données projet'!$B$9,Paramètres!$A$1:$I$89,3,0)*0.475*44/12</f>
        <v>14.381613621734735</v>
      </c>
      <c r="AB118" s="21">
        <f>EXP(-LN(2)/2)*AB117+(1-EXP(-LN(2)/2))/(LN(2)/2)*V118*Y118*VLOOKUP('Données projet'!$B$9,Paramètres!$A$1:$I$89,3,0)*0.475*44/12</f>
        <v>6.2970946463804359E-5</v>
      </c>
      <c r="AC118" s="22">
        <f t="shared" si="57"/>
        <v>96.758330567953237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1.5961632016114892E-13</v>
      </c>
      <c r="AK118" s="13">
        <f t="shared" si="89"/>
        <v>2.2708641912150958E-12</v>
      </c>
      <c r="AL118" s="20">
        <f t="shared" si="58"/>
        <v>4.2330868906469593E-12</v>
      </c>
      <c r="AM118" s="59">
        <f t="shared" si="59"/>
        <v>293.33333333333752</v>
      </c>
      <c r="AN118" s="59">
        <f ca="1">AVERAGE(OFFSET($AM$3,0,0,'Données projet'!$E$10+1,1))-AVERAGE(OFFSET($H$3,0,0,'Données projet'!$E$10+1,1))</f>
        <v>205.73717397588365</v>
      </c>
      <c r="AO118" s="59">
        <f t="shared" si="90"/>
        <v>190.64998698136026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143.7399428930253</v>
      </c>
      <c r="AV118" s="21">
        <f>EXP(-LN(2)/25)*AV117+(1-EXP(-LN(2)/25))/(LN(2)/25)*Calculateur!AQ118*Calculateur!AS118*VLOOKUP('Données projet'!$B$10,Paramètres!$A$1:$I$89,3,0)*0.475*44/12</f>
        <v>33.286033527313116</v>
      </c>
      <c r="AW118" s="21">
        <f>EXP(-LN(2)/2)*AW117+(1-EXP(-LN(2)/2))/(LN(2)/2)*AQ118*AT118*VLOOKUP('Données projet'!$B$10,Paramètres!$A$1:$I$89,3,0)*0.475*44/12</f>
        <v>0.69333253887976687</v>
      </c>
      <c r="AX118" s="21">
        <f t="shared" si="60"/>
        <v>177.71930895921818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-3.1036506698001178E-14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159.92263609041913</v>
      </c>
      <c r="BJ118" s="59">
        <f t="shared" si="92"/>
        <v>271.78119133009307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15.270448285208102</v>
      </c>
      <c r="BQ118" s="21">
        <f>EXP(-LN(2)/25)*BQ117+(1-EXP(-LN(2)/25))/(LN(2)/25)*Calculateur!BL118*Calculateur!BN118*VLOOKUP('Données projet'!$B$11,Paramètres!$A$1:$I$89,3,0)*0.475*44/12</f>
        <v>18.740512221914251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34.010960507122356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6.8461538461538511</v>
      </c>
      <c r="BY118" s="12">
        <f>IF('Données projet'!$A$114&gt;35,BY117+BX118-CG117,IF(A118&lt;'Données projet'!$A$114,$BV$205^A118,IF(A118='Données projet'!$A$114,'Données projet'!$B$114,BY117+BX118-CG117)))</f>
        <v>329.95512820512863</v>
      </c>
      <c r="BZ118" s="13">
        <f>BY118*VLOOKUP('Données projet'!$B$12,Paramètres!$A$1:$I$89,3,0)*VLOOKUP('Données projet'!$B$12,Paramètres!$A$1:$I$89,5,0)</f>
        <v>298.54340000000036</v>
      </c>
      <c r="CA118" s="13">
        <f t="shared" si="93"/>
        <v>70.871017722198957</v>
      </c>
      <c r="CB118" s="20">
        <f t="shared" si="64"/>
        <v>643.39677753283047</v>
      </c>
      <c r="CC118" s="59">
        <f t="shared" si="65"/>
        <v>936.73011086616384</v>
      </c>
      <c r="CD118" s="59">
        <f ca="1">AVERAGE(OFFSET($CC$3,0,0,'Données projet'!$E$12+1,1))-AVERAGE(OFFSET($H$3,0,0,'Données projet'!$E$12+1,1))</f>
        <v>280.25710840677186</v>
      </c>
      <c r="CE118" s="59">
        <f t="shared" si="94"/>
        <v>209.65224013288037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53.427067632902698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53.427067632902698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243</v>
      </c>
      <c r="CU118" s="17">
        <f>CT118*VLOOKUP('Données projet'!$B$13,Paramètres!$A$1:$I$89,3,0)*VLOOKUP('Données projet'!$B$13,Paramètres!$A$1:$I$89,5,0)</f>
        <v>253.98360000000002</v>
      </c>
      <c r="CV118" s="13">
        <f t="shared" si="95"/>
        <v>61.438182405444294</v>
      </c>
      <c r="CW118" s="20">
        <f t="shared" si="67"/>
        <v>549.35960435614891</v>
      </c>
      <c r="CX118" s="59">
        <f t="shared" si="68"/>
        <v>842.69293768948228</v>
      </c>
      <c r="CY118" s="59">
        <f ca="1">AVERAGE(OFFSET($CX$3,0,0,'Données projet'!$E$13+1,1))-AVERAGE(OFFSET($H$3,0,0,'Données projet'!$E$13+1,1))</f>
        <v>330.14201227773452</v>
      </c>
      <c r="CZ118" s="59">
        <f t="shared" si="96"/>
        <v>307.07297894926467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24.225871953552048</v>
      </c>
      <c r="DG118" s="21">
        <f>EXP(-LN(2)/25)*DG117+(1-EXP(-LN(2)/25))/(LN(2)/25)*Calculateur!DB118*Calculateur!DD118*VLOOKUP('Données projet'!$B$13,Paramètres!$A$1:$I$89,3,0)*0.475*44/12</f>
        <v>11.753818839586273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35.979690793138317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283.73369613548124</v>
      </c>
      <c r="T119" s="59">
        <f t="shared" si="88"/>
        <v>249.77804091581208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80.761298035614629</v>
      </c>
      <c r="AA119" s="21">
        <f>EXP(-LN(2)/25)*AA118+(1-EXP(-LN(2)/25))/(LN(2)/25)*Calculateur!V119*Calculateur!X119*VLOOKUP('Données projet'!$B$9,Paramètres!$A$1:$I$89,3,0)*0.475*44/12</f>
        <v>13.988347640952208</v>
      </c>
      <c r="AB119" s="21">
        <f>EXP(-LN(2)/2)*AB118+(1-EXP(-LN(2)/2))/(LN(2)/2)*V119*Y119*VLOOKUP('Données projet'!$B$9,Paramètres!$A$1:$I$89,3,0)*0.475*44/12</f>
        <v>4.4527183262291107E-5</v>
      </c>
      <c r="AC119" s="22">
        <f t="shared" si="57"/>
        <v>94.749690203750106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1.5961632016114892E-13</v>
      </c>
      <c r="AK119" s="13">
        <f t="shared" si="89"/>
        <v>2.2708641912150958E-12</v>
      </c>
      <c r="AL119" s="20">
        <f t="shared" si="58"/>
        <v>4.2330868906469593E-12</v>
      </c>
      <c r="AM119" s="59">
        <f t="shared" si="59"/>
        <v>293.33333333333752</v>
      </c>
      <c r="AN119" s="59">
        <f ca="1">AVERAGE(OFFSET($AM$3,0,0,'Données projet'!$E$10+1,1))-AVERAGE(OFFSET($H$3,0,0,'Données projet'!$E$10+1,1))</f>
        <v>205.73717397588365</v>
      </c>
      <c r="AO119" s="59">
        <f t="shared" si="90"/>
        <v>190.64998698136026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140.92129028560129</v>
      </c>
      <c r="AV119" s="21">
        <f>EXP(-LN(2)/25)*AV118+(1-EXP(-LN(2)/25))/(LN(2)/25)*Calculateur!AQ119*Calculateur!AS119*VLOOKUP('Données projet'!$B$10,Paramètres!$A$1:$I$89,3,0)*0.475*44/12</f>
        <v>32.375825190072312</v>
      </c>
      <c r="AW119" s="21">
        <f>EXP(-LN(2)/2)*AW118+(1-EXP(-LN(2)/2))/(LN(2)/2)*AQ119*AT119*VLOOKUP('Données projet'!$B$10,Paramètres!$A$1:$I$89,3,0)*0.475*44/12</f>
        <v>0.49026013985916878</v>
      </c>
      <c r="AX119" s="21">
        <f t="shared" si="60"/>
        <v>173.78737561553277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-3.1036506698001178E-14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159.92263609041913</v>
      </c>
      <c r="BJ119" s="59">
        <f t="shared" si="92"/>
        <v>271.78119133009307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14.971004108388939</v>
      </c>
      <c r="BQ119" s="21">
        <f>EXP(-LN(2)/25)*BQ118+(1-EXP(-LN(2)/25))/(LN(2)/25)*Calculateur!BL119*Calculateur!BN119*VLOOKUP('Données projet'!$B$11,Paramètres!$A$1:$I$89,3,0)*0.475*44/12</f>
        <v>18.2280519296853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33.199056038074239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6.8461538461538511</v>
      </c>
      <c r="BY119" s="12">
        <f>IF('Données projet'!$A$114&gt;35,BY118+BX119-CG118,IF(A119&lt;'Données projet'!$A$114,$BV$205^A119,IF(A119='Données projet'!$A$114,'Données projet'!$B$114,BY118+BX119-CG118)))</f>
        <v>336.8012820512825</v>
      </c>
      <c r="BZ119" s="13">
        <f>BY119*VLOOKUP('Données projet'!$B$12,Paramètres!$A$1:$I$89,3,0)*VLOOKUP('Données projet'!$B$12,Paramètres!$A$1:$I$89,5,0)</f>
        <v>304.73780000000039</v>
      </c>
      <c r="CA119" s="13">
        <f t="shared" si="93"/>
        <v>72.168780751383139</v>
      </c>
      <c r="CB119" s="20">
        <f t="shared" si="64"/>
        <v>656.4456281419931</v>
      </c>
      <c r="CC119" s="59">
        <f t="shared" si="65"/>
        <v>949.77896147532647</v>
      </c>
      <c r="CD119" s="59">
        <f ca="1">AVERAGE(OFFSET($CC$3,0,0,'Données projet'!$E$12+1,1))-AVERAGE(OFFSET($H$3,0,0,'Données projet'!$E$12+1,1))</f>
        <v>280.25710840677186</v>
      </c>
      <c r="CE119" s="59">
        <f t="shared" si="94"/>
        <v>209.65224013288037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52.379395423915007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52.379395423915007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243</v>
      </c>
      <c r="CU119" s="17">
        <f>CT119*VLOOKUP('Données projet'!$B$13,Paramètres!$A$1:$I$89,3,0)*VLOOKUP('Données projet'!$B$13,Paramètres!$A$1:$I$89,5,0)</f>
        <v>253.98360000000002</v>
      </c>
      <c r="CV119" s="13">
        <f t="shared" si="95"/>
        <v>61.438182405444294</v>
      </c>
      <c r="CW119" s="20">
        <f t="shared" si="67"/>
        <v>549.35960435614891</v>
      </c>
      <c r="CX119" s="59">
        <f t="shared" si="68"/>
        <v>842.69293768948228</v>
      </c>
      <c r="CY119" s="59">
        <f ca="1">AVERAGE(OFFSET($CX$3,0,0,'Données projet'!$E$13+1,1))-AVERAGE(OFFSET($H$3,0,0,'Données projet'!$E$13+1,1))</f>
        <v>330.14201227773452</v>
      </c>
      <c r="CZ119" s="59">
        <f t="shared" si="96"/>
        <v>307.07297894926467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23.750817380865744</v>
      </c>
      <c r="DG119" s="21">
        <f>EXP(-LN(2)/25)*DG118+(1-EXP(-LN(2)/25))/(LN(2)/25)*Calculateur!DB119*Calculateur!DD119*VLOOKUP('Données projet'!$B$13,Paramètres!$A$1:$I$89,3,0)*0.475*44/12</f>
        <v>11.432410045311318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35.183227426177062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283.73369613548124</v>
      </c>
      <c r="T120" s="59">
        <f t="shared" si="88"/>
        <v>249.77804091581208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79.17761824066406</v>
      </c>
      <c r="AA120" s="21">
        <f>EXP(-LN(2)/25)*AA119+(1-EXP(-LN(2)/25))/(LN(2)/25)*Calculateur!V120*Calculateur!X120*VLOOKUP('Données projet'!$B$9,Paramètres!$A$1:$I$89,3,0)*0.475*44/12</f>
        <v>13.605835539095137</v>
      </c>
      <c r="AB120" s="21">
        <f>EXP(-LN(2)/2)*AB119+(1-EXP(-LN(2)/2))/(LN(2)/2)*V120*Y120*VLOOKUP('Données projet'!$B$9,Paramètres!$A$1:$I$89,3,0)*0.475*44/12</f>
        <v>3.1485473231902179E-5</v>
      </c>
      <c r="AC120" s="22">
        <f t="shared" si="57"/>
        <v>92.783485265232429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1.5961632016114892E-13</v>
      </c>
      <c r="AK120" s="13">
        <f t="shared" si="89"/>
        <v>2.2708641912150958E-12</v>
      </c>
      <c r="AL120" s="20">
        <f t="shared" si="58"/>
        <v>4.2330868906469593E-12</v>
      </c>
      <c r="AM120" s="59">
        <f t="shared" si="59"/>
        <v>293.33333333333752</v>
      </c>
      <c r="AN120" s="59">
        <f ca="1">AVERAGE(OFFSET($AM$3,0,0,'Données projet'!$E$10+1,1))-AVERAGE(OFFSET($H$3,0,0,'Données projet'!$E$10+1,1))</f>
        <v>205.73717397588365</v>
      </c>
      <c r="AO120" s="59">
        <f t="shared" si="90"/>
        <v>190.64998698136026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138.15790973660052</v>
      </c>
      <c r="AV120" s="21">
        <f>EXP(-LN(2)/25)*AV119+(1-EXP(-LN(2)/25))/(LN(2)/25)*Calculateur!AQ120*Calculateur!AS120*VLOOKUP('Données projet'!$B$10,Paramètres!$A$1:$I$89,3,0)*0.475*44/12</f>
        <v>31.490506547679136</v>
      </c>
      <c r="AW120" s="21">
        <f>EXP(-LN(2)/2)*AW119+(1-EXP(-LN(2)/2))/(LN(2)/2)*AQ120*AT120*VLOOKUP('Données projet'!$B$10,Paramètres!$A$1:$I$89,3,0)*0.475*44/12</f>
        <v>0.34666626943988349</v>
      </c>
      <c r="AX120" s="21">
        <f t="shared" si="60"/>
        <v>169.99508255371953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-3.1036506698001178E-14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159.92263609041913</v>
      </c>
      <c r="BJ120" s="59">
        <f t="shared" si="92"/>
        <v>271.78119133009307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14.677431849234287</v>
      </c>
      <c r="BQ120" s="21">
        <f>EXP(-LN(2)/25)*BQ119+(1-EXP(-LN(2)/25))/(LN(2)/25)*Calculateur!BL120*Calculateur!BN120*VLOOKUP('Données projet'!$B$11,Paramètres!$A$1:$I$89,3,0)*0.475*44/12</f>
        <v>17.729604891096464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32.407036740330753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6.8461538461538511</v>
      </c>
      <c r="BY120" s="12">
        <f>IF('Données projet'!$A$114&gt;35,BY119+BX120-CG119,IF(A120&lt;'Données projet'!$A$114,$BV$205^A120,IF(A120='Données projet'!$A$114,'Données projet'!$B$114,BY119+BX120-CG119)))</f>
        <v>343.64743589743637</v>
      </c>
      <c r="BZ120" s="13">
        <f>BY120*VLOOKUP('Données projet'!$B$12,Paramètres!$A$1:$I$89,3,0)*VLOOKUP('Données projet'!$B$12,Paramètres!$A$1:$I$89,5,0)</f>
        <v>310.93220000000042</v>
      </c>
      <c r="CA120" s="13">
        <f t="shared" si="93"/>
        <v>73.463476600811546</v>
      </c>
      <c r="CB120" s="20">
        <f t="shared" si="64"/>
        <v>669.48913674641415</v>
      </c>
      <c r="CC120" s="59">
        <f t="shared" si="65"/>
        <v>962.82247007974752</v>
      </c>
      <c r="CD120" s="59">
        <f ca="1">AVERAGE(OFFSET($CC$3,0,0,'Données projet'!$E$12+1,1))-AVERAGE(OFFSET($H$3,0,0,'Données projet'!$E$12+1,1))</f>
        <v>280.25710840677186</v>
      </c>
      <c r="CE120" s="59">
        <f t="shared" si="94"/>
        <v>209.65224013288037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51.352267427928609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51.352267427928609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243</v>
      </c>
      <c r="CU120" s="17">
        <f>CT120*VLOOKUP('Données projet'!$B$13,Paramètres!$A$1:$I$89,3,0)*VLOOKUP('Données projet'!$B$13,Paramètres!$A$1:$I$89,5,0)</f>
        <v>253.98360000000002</v>
      </c>
      <c r="CV120" s="13">
        <f t="shared" si="95"/>
        <v>61.438182405444294</v>
      </c>
      <c r="CW120" s="20">
        <f t="shared" si="67"/>
        <v>549.35960435614891</v>
      </c>
      <c r="CX120" s="59">
        <f t="shared" si="68"/>
        <v>842.69293768948228</v>
      </c>
      <c r="CY120" s="59">
        <f ca="1">AVERAGE(OFFSET($CX$3,0,0,'Données projet'!$E$13+1,1))-AVERAGE(OFFSET($H$3,0,0,'Données projet'!$E$13+1,1))</f>
        <v>330.14201227773452</v>
      </c>
      <c r="CZ120" s="59">
        <f t="shared" si="96"/>
        <v>307.07297894926467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23.285078338595138</v>
      </c>
      <c r="DG120" s="21">
        <f>EXP(-LN(2)/25)*DG119+(1-EXP(-LN(2)/25))/(LN(2)/25)*Calculateur!DB120*Calculateur!DD120*VLOOKUP('Données projet'!$B$13,Paramètres!$A$1:$I$89,3,0)*0.475*44/12</f>
        <v>11.119790191417964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34.404868530013104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283.73369613548124</v>
      </c>
      <c r="T121" s="59">
        <f t="shared" si="88"/>
        <v>249.77804091581208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77.624993440543165</v>
      </c>
      <c r="AA121" s="21">
        <f>EXP(-LN(2)/25)*AA120+(1-EXP(-LN(2)/25))/(LN(2)/25)*Calculateur!V121*Calculateur!X121*VLOOKUP('Données projet'!$B$9,Paramètres!$A$1:$I$89,3,0)*0.475*44/12</f>
        <v>13.233783250778787</v>
      </c>
      <c r="AB121" s="21">
        <f>EXP(-LN(2)/2)*AB120+(1-EXP(-LN(2)/2))/(LN(2)/2)*V121*Y121*VLOOKUP('Données projet'!$B$9,Paramètres!$A$1:$I$89,3,0)*0.475*44/12</f>
        <v>2.2263591631145554E-5</v>
      </c>
      <c r="AC121" s="22">
        <f t="shared" si="57"/>
        <v>90.858798954913581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1.5961632016114892E-13</v>
      </c>
      <c r="AK121" s="13">
        <f t="shared" si="89"/>
        <v>2.2708641912150958E-12</v>
      </c>
      <c r="AL121" s="20">
        <f t="shared" si="58"/>
        <v>4.2330868906469593E-12</v>
      </c>
      <c r="AM121" s="59">
        <f t="shared" si="59"/>
        <v>293.33333333333752</v>
      </c>
      <c r="AN121" s="59">
        <f ca="1">AVERAGE(OFFSET($AM$3,0,0,'Données projet'!$E$10+1,1))-AVERAGE(OFFSET($H$3,0,0,'Données projet'!$E$10+1,1))</f>
        <v>205.73717397588365</v>
      </c>
      <c r="AO121" s="59">
        <f t="shared" si="90"/>
        <v>190.64998698136026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135.44871739466996</v>
      </c>
      <c r="AV121" s="21">
        <f>EXP(-LN(2)/25)*AV120+(1-EXP(-LN(2)/25))/(LN(2)/25)*Calculateur!AQ121*Calculateur!AS121*VLOOKUP('Données projet'!$B$10,Paramètres!$A$1:$I$89,3,0)*0.475*44/12</f>
        <v>30.629396990119083</v>
      </c>
      <c r="AW121" s="21">
        <f>EXP(-LN(2)/2)*AW120+(1-EXP(-LN(2)/2))/(LN(2)/2)*AQ121*AT121*VLOOKUP('Données projet'!$B$10,Paramètres!$A$1:$I$89,3,0)*0.475*44/12</f>
        <v>0.24513006992958444</v>
      </c>
      <c r="AX121" s="21">
        <f t="shared" si="60"/>
        <v>166.32324445471863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-3.1036506698001178E-14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159.92263609041913</v>
      </c>
      <c r="BJ121" s="59">
        <f t="shared" si="92"/>
        <v>271.78119133009307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14.389616363020259</v>
      </c>
      <c r="BQ121" s="21">
        <f>EXP(-LN(2)/25)*BQ120+(1-EXP(-LN(2)/25))/(LN(2)/25)*Calculateur!BL121*Calculateur!BN121*VLOOKUP('Données projet'!$B$11,Paramètres!$A$1:$I$89,3,0)*0.475*44/12</f>
        <v>17.244787912990031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31.63440427601029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6.8461538461538511</v>
      </c>
      <c r="BY121" s="12">
        <f>IF('Données projet'!$A$114&gt;35,BY120+BX121-CG120,IF(A121&lt;'Données projet'!$A$114,$BV$205^A121,IF(A121='Données projet'!$A$114,'Données projet'!$B$114,BY120+BX121-CG120)))</f>
        <v>350.49358974359023</v>
      </c>
      <c r="BZ121" s="13">
        <f>BY121*VLOOKUP('Données projet'!$B$12,Paramètres!$A$1:$I$89,3,0)*VLOOKUP('Données projet'!$B$12,Paramètres!$A$1:$I$89,5,0)</f>
        <v>317.12660000000039</v>
      </c>
      <c r="CA121" s="13">
        <f t="shared" si="93"/>
        <v>74.755173417545677</v>
      </c>
      <c r="CB121" s="20">
        <f t="shared" si="64"/>
        <v>682.52742203555931</v>
      </c>
      <c r="CC121" s="59">
        <f t="shared" si="65"/>
        <v>975.86075536889257</v>
      </c>
      <c r="CD121" s="59">
        <f ca="1">AVERAGE(OFFSET($CC$3,0,0,'Données projet'!$E$12+1,1))-AVERAGE(OFFSET($H$3,0,0,'Données projet'!$E$12+1,1))</f>
        <v>280.25710840677186</v>
      </c>
      <c r="CE121" s="59">
        <f t="shared" si="94"/>
        <v>209.65224013288037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50.345280785457291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50.345280785457291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243</v>
      </c>
      <c r="CU121" s="17">
        <f>CT121*VLOOKUP('Données projet'!$B$13,Paramètres!$A$1:$I$89,3,0)*VLOOKUP('Données projet'!$B$13,Paramètres!$A$1:$I$89,5,0)</f>
        <v>253.98360000000002</v>
      </c>
      <c r="CV121" s="13">
        <f t="shared" si="95"/>
        <v>61.438182405444294</v>
      </c>
      <c r="CW121" s="20">
        <f t="shared" si="67"/>
        <v>549.35960435614891</v>
      </c>
      <c r="CX121" s="59">
        <f t="shared" si="68"/>
        <v>842.69293768948228</v>
      </c>
      <c r="CY121" s="59">
        <f ca="1">AVERAGE(OFFSET($CX$3,0,0,'Données projet'!$E$13+1,1))-AVERAGE(OFFSET($H$3,0,0,'Données projet'!$E$13+1,1))</f>
        <v>330.14201227773452</v>
      </c>
      <c r="CZ121" s="59">
        <f t="shared" si="96"/>
        <v>307.07297894926467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22.828472154870695</v>
      </c>
      <c r="DG121" s="21">
        <f>EXP(-LN(2)/25)*DG120+(1-EXP(-LN(2)/25))/(LN(2)/25)*Calculateur!DB121*Calculateur!DD121*VLOOKUP('Données projet'!$B$13,Paramètres!$A$1:$I$89,3,0)*0.475*44/12</f>
        <v>10.815718943869289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33.644191098739981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283.73369613548124</v>
      </c>
      <c r="T122" s="59">
        <f t="shared" si="88"/>
        <v>249.77804091581208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76.102814665745029</v>
      </c>
      <c r="AA122" s="21">
        <f>EXP(-LN(2)/25)*AA121+(1-EXP(-LN(2)/25))/(LN(2)/25)*Calculateur!V122*Calculateur!X122*VLOOKUP('Données projet'!$B$9,Paramètres!$A$1:$I$89,3,0)*0.475*44/12</f>
        <v>12.871904751851826</v>
      </c>
      <c r="AB122" s="21">
        <f>EXP(-LN(2)/2)*AB121+(1-EXP(-LN(2)/2))/(LN(2)/2)*V122*Y122*VLOOKUP('Données projet'!$B$9,Paramètres!$A$1:$I$89,3,0)*0.475*44/12</f>
        <v>1.574273661595109E-5</v>
      </c>
      <c r="AC122" s="22">
        <f t="shared" si="57"/>
        <v>88.974735160333481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1.5961632016114892E-13</v>
      </c>
      <c r="AK122" s="13">
        <f t="shared" si="89"/>
        <v>2.2708641912150958E-12</v>
      </c>
      <c r="AL122" s="20">
        <f t="shared" si="58"/>
        <v>4.2330868906469593E-12</v>
      </c>
      <c r="AM122" s="59">
        <f t="shared" si="59"/>
        <v>293.33333333333752</v>
      </c>
      <c r="AN122" s="59">
        <f ca="1">AVERAGE(OFFSET($AM$3,0,0,'Données projet'!$E$10+1,1))-AVERAGE(OFFSET($H$3,0,0,'Données projet'!$E$10+1,1))</f>
        <v>205.73717397588365</v>
      </c>
      <c r="AO122" s="59">
        <f t="shared" si="90"/>
        <v>190.64998698136026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132.79265066212048</v>
      </c>
      <c r="AV122" s="21">
        <f>EXP(-LN(2)/25)*AV121+(1-EXP(-LN(2)/25))/(LN(2)/25)*Calculateur!AQ122*Calculateur!AS122*VLOOKUP('Données projet'!$B$10,Paramètres!$A$1:$I$89,3,0)*0.475*44/12</f>
        <v>29.791834518694294</v>
      </c>
      <c r="AW122" s="21">
        <f>EXP(-LN(2)/2)*AW121+(1-EXP(-LN(2)/2))/(LN(2)/2)*AQ122*AT122*VLOOKUP('Données projet'!$B$10,Paramètres!$A$1:$I$89,3,0)*0.475*44/12</f>
        <v>0.17333313471994177</v>
      </c>
      <c r="AX122" s="21">
        <f t="shared" si="60"/>
        <v>162.75781831553471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-3.1036506698001178E-14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159.92263609041913</v>
      </c>
      <c r="BJ122" s="59">
        <f t="shared" si="92"/>
        <v>271.78119133009307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14.107444762940776</v>
      </c>
      <c r="BQ122" s="21">
        <f>EXP(-LN(2)/25)*BQ121+(1-EXP(-LN(2)/25))/(LN(2)/25)*Calculateur!BL122*Calculateur!BN122*VLOOKUP('Données projet'!$B$11,Paramètres!$A$1:$I$89,3,0)*0.475*44/12</f>
        <v>16.773228280645334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30.880673043586111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>
        <f>VLOOKUP(A122,'Données projet'!$A$113:$I$133,2,0)</f>
        <v>357.33974358974359</v>
      </c>
      <c r="BW122" s="12">
        <f>VLOOKUP(A122,'Données projet'!$A$113:$I$133,9,0)</f>
        <v>6.8461538461538511</v>
      </c>
      <c r="BX122" s="12">
        <f t="array" ref="BX122">INDEX(BW:BW,MIN(IF(ISNUMBER(BW122:BW318),ROW(BW122:BW318),"")))</f>
        <v>6.8461538461538511</v>
      </c>
      <c r="BY122" s="12">
        <f>IF('Données projet'!$A$114&gt;35,BY121+BX122-CG121,IF(A122&lt;'Données projet'!$A$114,$BV$205^A122,IF(A122='Données projet'!$A$114,'Données projet'!$B$114,BY121+BX122-CG121)))</f>
        <v>357.3397435897441</v>
      </c>
      <c r="BZ122" s="13">
        <f>BY122*VLOOKUP('Données projet'!$B$12,Paramètres!$A$1:$I$89,3,0)*VLOOKUP('Données projet'!$B$12,Paramètres!$A$1:$I$89,5,0)</f>
        <v>323.32100000000048</v>
      </c>
      <c r="CA122" s="13">
        <f t="shared" si="93"/>
        <v>76.043936534151186</v>
      </c>
      <c r="CB122" s="20">
        <f t="shared" si="64"/>
        <v>695.56059779698069</v>
      </c>
      <c r="CC122" s="59">
        <f t="shared" si="65"/>
        <v>988.89393113031406</v>
      </c>
      <c r="CD122" s="59">
        <f ca="1">AVERAGE(OFFSET($CC$3,0,0,'Données projet'!$E$12+1,1))-AVERAGE(OFFSET($H$3,0,0,'Données projet'!$E$12+1,1))</f>
        <v>280.25710840677186</v>
      </c>
      <c r="CE122" s="59">
        <f t="shared" si="94"/>
        <v>209.65224013288037</v>
      </c>
      <c r="CF122" s="15">
        <f>IF(ISNA(VLOOKUP(A122,'Données projet'!$A$113:$I$133,3,0)),0,VLOOKUP(A122,'Données projet'!$A$113:$I$133,3,0))</f>
        <v>11</v>
      </c>
      <c r="CG122" s="15">
        <f>IF(ISNA(VLOOKUP(A122,'Données projet'!$A$113:$I$133,4,0)),0,VLOOKUP(A122,'Données projet'!$A$113:$I$133,4,0))</f>
        <v>150.02564102564102</v>
      </c>
      <c r="CH122" s="16">
        <f>IF(ISNA(VLOOKUP(A122,'Données projet'!$A$113:$I$133,5,0)),0%,VLOOKUP(A122,'Données projet'!$A$113:$I$133,5,0)*VLOOKUP('Données projet'!$B$12,Paramètres!$A$1:$I$89,7,0))</f>
        <v>0.38700000000000001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107.43129413735127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107.43129413735127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243</v>
      </c>
      <c r="CU122" s="17">
        <f>CT122*VLOOKUP('Données projet'!$B$13,Paramètres!$A$1:$I$89,3,0)*VLOOKUP('Données projet'!$B$13,Paramètres!$A$1:$I$89,5,0)</f>
        <v>253.98360000000002</v>
      </c>
      <c r="CV122" s="13">
        <f t="shared" si="95"/>
        <v>61.438182405444294</v>
      </c>
      <c r="CW122" s="20">
        <f t="shared" si="67"/>
        <v>549.35960435614891</v>
      </c>
      <c r="CX122" s="59">
        <f t="shared" si="68"/>
        <v>842.69293768948228</v>
      </c>
      <c r="CY122" s="59">
        <f ca="1">AVERAGE(OFFSET($CX$3,0,0,'Données projet'!$E$13+1,1))-AVERAGE(OFFSET($H$3,0,0,'Données projet'!$E$13+1,1))</f>
        <v>330.14201227773452</v>
      </c>
      <c r="CZ122" s="59">
        <f t="shared" si="96"/>
        <v>307.07297894926467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22.380819739906816</v>
      </c>
      <c r="DG122" s="21">
        <f>EXP(-LN(2)/25)*DG121+(1-EXP(-LN(2)/25))/(LN(2)/25)*Calculateur!DB122*Calculateur!DD122*VLOOKUP('Données projet'!$B$13,Paramètres!$A$1:$I$89,3,0)*0.475*44/12</f>
        <v>10.519962540575243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32.900782280482062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283.73369613548124</v>
      </c>
      <c r="T123" s="59">
        <f t="shared" si="88"/>
        <v>249.77804091581208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74.61048488828331</v>
      </c>
      <c r="AA123" s="21">
        <f>EXP(-LN(2)/25)*AA122+(1-EXP(-LN(2)/25))/(LN(2)/25)*Calculateur!V123*Calculateur!X123*VLOOKUP('Données projet'!$B$9,Paramètres!$A$1:$I$89,3,0)*0.475*44/12</f>
        <v>12.519921839508386</v>
      </c>
      <c r="AB123" s="21">
        <f>EXP(-LN(2)/2)*AB122+(1-EXP(-LN(2)/2))/(LN(2)/2)*V123*Y123*VLOOKUP('Données projet'!$B$9,Paramètres!$A$1:$I$89,3,0)*0.475*44/12</f>
        <v>1.1131795815572777E-5</v>
      </c>
      <c r="AC123" s="22">
        <f t="shared" si="57"/>
        <v>87.13041785958751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1.5961632016114892E-13</v>
      </c>
      <c r="AK123" s="13">
        <f t="shared" si="89"/>
        <v>2.2708641912150958E-12</v>
      </c>
      <c r="AL123" s="20">
        <f t="shared" si="58"/>
        <v>4.2330868906469593E-12</v>
      </c>
      <c r="AM123" s="59">
        <f t="shared" si="59"/>
        <v>293.33333333333752</v>
      </c>
      <c r="AN123" s="59">
        <f ca="1">AVERAGE(OFFSET($AM$3,0,0,'Données projet'!$E$10+1,1))-AVERAGE(OFFSET($H$3,0,0,'Données projet'!$E$10+1,1))</f>
        <v>205.73717397588365</v>
      </c>
      <c r="AO123" s="59">
        <f t="shared" si="90"/>
        <v>190.64998698136026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130.18866777815555</v>
      </c>
      <c r="AV123" s="21">
        <f>EXP(-LN(2)/25)*AV122+(1-EXP(-LN(2)/25))/(LN(2)/25)*Calculateur!AQ123*Calculateur!AS123*VLOOKUP('Données projet'!$B$10,Paramètres!$A$1:$I$89,3,0)*0.475*44/12</f>
        <v>28.977175237096112</v>
      </c>
      <c r="AW123" s="21">
        <f>EXP(-LN(2)/2)*AW122+(1-EXP(-LN(2)/2))/(LN(2)/2)*AQ123*AT123*VLOOKUP('Données projet'!$B$10,Paramètres!$A$1:$I$89,3,0)*0.475*44/12</f>
        <v>0.12256503496479224</v>
      </c>
      <c r="AX123" s="21">
        <f t="shared" si="60"/>
        <v>159.28840805021645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-3.1036506698001178E-14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159.92263609041913</v>
      </c>
      <c r="BJ123" s="59">
        <f t="shared" si="92"/>
        <v>271.78119133009307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13.83080637583117</v>
      </c>
      <c r="BQ123" s="21">
        <f>EXP(-LN(2)/25)*BQ122+(1-EXP(-LN(2)/25))/(LN(2)/25)*Calculateur!BL123*Calculateur!BN123*VLOOKUP('Données projet'!$B$11,Paramètres!$A$1:$I$89,3,0)*0.475*44/12</f>
        <v>16.314563471245346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30.145369847076516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3.8301282051282044</v>
      </c>
      <c r="BY123" s="12">
        <f>IF('Données projet'!$A$114&gt;35,BY122+BX123-CG122,IF(A123&lt;'Données projet'!$A$114,$BV$205^A123,IF(A123='Données projet'!$A$114,'Données projet'!$B$114,BY122+BX123-CG122)))</f>
        <v>211.14423076923126</v>
      </c>
      <c r="BZ123" s="13">
        <f>BY123*VLOOKUP('Données projet'!$B$12,Paramètres!$A$1:$I$89,3,0)*VLOOKUP('Données projet'!$B$12,Paramètres!$A$1:$I$89,5,0)</f>
        <v>191.04330000000041</v>
      </c>
      <c r="CA123" s="13">
        <f t="shared" si="93"/>
        <v>47.770538104647592</v>
      </c>
      <c r="CB123" s="20">
        <f t="shared" si="64"/>
        <v>415.93410136559527</v>
      </c>
      <c r="CC123" s="59">
        <f t="shared" si="65"/>
        <v>709.26743469892858</v>
      </c>
      <c r="CD123" s="59">
        <f ca="1">AVERAGE(OFFSET($CC$3,0,0,'Données projet'!$E$12+1,1))-AVERAGE(OFFSET($H$3,0,0,'Données projet'!$E$12+1,1))</f>
        <v>280.25710840677186</v>
      </c>
      <c r="CE123" s="59">
        <f t="shared" si="94"/>
        <v>209.65224013288037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105.32463198593702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105.32463198593702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243</v>
      </c>
      <c r="CU123" s="17">
        <f>CT123*VLOOKUP('Données projet'!$B$13,Paramètres!$A$1:$I$89,3,0)*VLOOKUP('Données projet'!$B$13,Paramètres!$A$1:$I$89,5,0)</f>
        <v>253.98360000000002</v>
      </c>
      <c r="CV123" s="13">
        <f t="shared" si="95"/>
        <v>61.438182405444294</v>
      </c>
      <c r="CW123" s="20">
        <f t="shared" si="67"/>
        <v>549.35960435614891</v>
      </c>
      <c r="CX123" s="59">
        <f t="shared" si="68"/>
        <v>842.69293768948228</v>
      </c>
      <c r="CY123" s="59">
        <f ca="1">AVERAGE(OFFSET($CX$3,0,0,'Données projet'!$E$13+1,1))-AVERAGE(OFFSET($H$3,0,0,'Données projet'!$E$13+1,1))</f>
        <v>330.14201227773452</v>
      </c>
      <c r="CZ123" s="59">
        <f t="shared" si="96"/>
        <v>307.07297894926467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21.941945515759365</v>
      </c>
      <c r="DG123" s="21">
        <f>EXP(-LN(2)/25)*DG122+(1-EXP(-LN(2)/25))/(LN(2)/25)*Calculateur!DB123*Calculateur!DD123*VLOOKUP('Données projet'!$B$13,Paramètres!$A$1:$I$89,3,0)*0.475*44/12</f>
        <v>10.232293611682426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32.174239127441794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283.73369613548124</v>
      </c>
      <c r="T124" s="59">
        <f t="shared" si="88"/>
        <v>249.77804091581208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73.14741878752632</v>
      </c>
      <c r="AA124" s="21">
        <f>EXP(-LN(2)/25)*AA123+(1-EXP(-LN(2)/25))/(LN(2)/25)*Calculateur!V124*Calculateur!X124*VLOOKUP('Données projet'!$B$9,Paramètres!$A$1:$I$89,3,0)*0.475*44/12</f>
        <v>12.177563918412956</v>
      </c>
      <c r="AB124" s="21">
        <f>EXP(-LN(2)/2)*AB123+(1-EXP(-LN(2)/2))/(LN(2)/2)*V124*Y124*VLOOKUP('Données projet'!$B$9,Paramètres!$A$1:$I$89,3,0)*0.475*44/12</f>
        <v>7.8713683079755448E-6</v>
      </c>
      <c r="AC124" s="22">
        <f t="shared" si="57"/>
        <v>85.324990577307588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1.5961632016114892E-13</v>
      </c>
      <c r="AK124" s="13">
        <f t="shared" si="89"/>
        <v>2.2708641912150958E-12</v>
      </c>
      <c r="AL124" s="20">
        <f t="shared" si="58"/>
        <v>4.2330868906469593E-12</v>
      </c>
      <c r="AM124" s="59">
        <f t="shared" si="59"/>
        <v>293.33333333333752</v>
      </c>
      <c r="AN124" s="59">
        <f ca="1">AVERAGE(OFFSET($AM$3,0,0,'Données projet'!$E$10+1,1))-AVERAGE(OFFSET($H$3,0,0,'Données projet'!$E$10+1,1))</f>
        <v>205.73717397588365</v>
      </c>
      <c r="AO124" s="59">
        <f t="shared" si="90"/>
        <v>190.64998698136026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127.63574741027244</v>
      </c>
      <c r="AV124" s="21">
        <f>EXP(-LN(2)/25)*AV123+(1-EXP(-LN(2)/25))/(LN(2)/25)*Calculateur!AQ124*Calculateur!AS124*VLOOKUP('Données projet'!$B$10,Paramètres!$A$1:$I$89,3,0)*0.475*44/12</f>
        <v>28.184792856394303</v>
      </c>
      <c r="AW124" s="21">
        <f>EXP(-LN(2)/2)*AW123+(1-EXP(-LN(2)/2))/(LN(2)/2)*AQ124*AT124*VLOOKUP('Données projet'!$B$10,Paramètres!$A$1:$I$89,3,0)*0.475*44/12</f>
        <v>8.66665673599709E-2</v>
      </c>
      <c r="AX124" s="21">
        <f t="shared" si="60"/>
        <v>155.90720683402671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-3.1036506698001178E-14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159.92263609041913</v>
      </c>
      <c r="BJ124" s="59">
        <f t="shared" si="92"/>
        <v>271.78119133009307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13.559592698760028</v>
      </c>
      <c r="BQ124" s="21">
        <f>EXP(-LN(2)/25)*BQ123+(1-EXP(-LN(2)/25))/(LN(2)/25)*Calculateur!BL124*Calculateur!BN124*VLOOKUP('Données projet'!$B$11,Paramètres!$A$1:$I$89,3,0)*0.475*44/12</f>
        <v>15.868440875178537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29.428033573938563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3.8301282051282044</v>
      </c>
      <c r="BY124" s="12">
        <f>IF('Données projet'!$A$114&gt;35,BY123+BX124-CG123,IF(A124&lt;'Données projet'!$A$114,$BV$205^A124,IF(A124='Données projet'!$A$114,'Données projet'!$B$114,BY123+BX124-CG123)))</f>
        <v>214.97435897435946</v>
      </c>
      <c r="BZ124" s="13">
        <f>BY124*VLOOKUP('Données projet'!$B$12,Paramètres!$A$1:$I$89,3,0)*VLOOKUP('Données projet'!$B$12,Paramètres!$A$1:$I$89,5,0)</f>
        <v>194.50880000000043</v>
      </c>
      <c r="CA124" s="13">
        <f t="shared" si="93"/>
        <v>48.535419780989194</v>
      </c>
      <c r="CB124" s="20">
        <f t="shared" si="64"/>
        <v>423.30201611855699</v>
      </c>
      <c r="CC124" s="59">
        <f t="shared" si="65"/>
        <v>716.63534945189031</v>
      </c>
      <c r="CD124" s="59">
        <f ca="1">AVERAGE(OFFSET($CC$3,0,0,'Données projet'!$E$12+1,1))-AVERAGE(OFFSET($H$3,0,0,'Données projet'!$E$12+1,1))</f>
        <v>280.25710840677186</v>
      </c>
      <c r="CE124" s="59">
        <f t="shared" si="94"/>
        <v>209.65224013288037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103.25928019437497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103.25928019437497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243</v>
      </c>
      <c r="CU124" s="17">
        <f>CT124*VLOOKUP('Données projet'!$B$13,Paramètres!$A$1:$I$89,3,0)*VLOOKUP('Données projet'!$B$13,Paramètres!$A$1:$I$89,5,0)</f>
        <v>253.98360000000002</v>
      </c>
      <c r="CV124" s="13">
        <f t="shared" si="95"/>
        <v>61.438182405444294</v>
      </c>
      <c r="CW124" s="20">
        <f t="shared" si="67"/>
        <v>549.35960435614891</v>
      </c>
      <c r="CX124" s="59">
        <f t="shared" si="68"/>
        <v>842.69293768948228</v>
      </c>
      <c r="CY124" s="59">
        <f ca="1">AVERAGE(OFFSET($CX$3,0,0,'Données projet'!$E$13+1,1))-AVERAGE(OFFSET($H$3,0,0,'Données projet'!$E$13+1,1))</f>
        <v>330.14201227773452</v>
      </c>
      <c r="CZ124" s="59">
        <f t="shared" si="96"/>
        <v>307.07297894926467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21.511677347460601</v>
      </c>
      <c r="DG124" s="21">
        <f>EXP(-LN(2)/25)*DG123+(1-EXP(-LN(2)/25))/(LN(2)/25)*Calculateur!DB124*Calculateur!DD124*VLOOKUP('Données projet'!$B$13,Paramètres!$A$1:$I$89,3,0)*0.475*44/12</f>
        <v>9.9524910047780359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31.464168352238637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283.73369613548124</v>
      </c>
      <c r="T125" s="59">
        <f t="shared" si="88"/>
        <v>249.77804091581208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71.713042520622977</v>
      </c>
      <c r="AA125" s="21">
        <f>EXP(-LN(2)/25)*AA124+(1-EXP(-LN(2)/25))/(LN(2)/25)*Calculateur!V125*Calculateur!X125*VLOOKUP('Données projet'!$B$9,Paramètres!$A$1:$I$89,3,0)*0.475*44/12</f>
        <v>11.844567792673699</v>
      </c>
      <c r="AB125" s="21">
        <f>EXP(-LN(2)/2)*AB124+(1-EXP(-LN(2)/2))/(LN(2)/2)*V125*Y125*VLOOKUP('Données projet'!$B$9,Paramètres!$A$1:$I$89,3,0)*0.475*44/12</f>
        <v>5.5658979077863884E-6</v>
      </c>
      <c r="AC125" s="22">
        <f t="shared" si="57"/>
        <v>83.557615879194586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1.5961632016114892E-13</v>
      </c>
      <c r="AK125" s="13">
        <f t="shared" si="89"/>
        <v>2.2708641912150958E-12</v>
      </c>
      <c r="AL125" s="20">
        <f t="shared" si="58"/>
        <v>4.2330868906469593E-12</v>
      </c>
      <c r="AM125" s="59">
        <f t="shared" si="59"/>
        <v>293.33333333333752</v>
      </c>
      <c r="AN125" s="59">
        <f ca="1">AVERAGE(OFFSET($AM$3,0,0,'Données projet'!$E$10+1,1))-AVERAGE(OFFSET($H$3,0,0,'Données projet'!$E$10+1,1))</f>
        <v>205.73717397588365</v>
      </c>
      <c r="AO125" s="59">
        <f t="shared" si="90"/>
        <v>190.64998698136026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125.13288825367586</v>
      </c>
      <c r="AV125" s="21">
        <f>EXP(-LN(2)/25)*AV124+(1-EXP(-LN(2)/25))/(LN(2)/25)*Calculateur!AQ125*Calculateur!AS125*VLOOKUP('Données projet'!$B$10,Paramètres!$A$1:$I$89,3,0)*0.475*44/12</f>
        <v>27.414078213562362</v>
      </c>
      <c r="AW125" s="21">
        <f>EXP(-LN(2)/2)*AW124+(1-EXP(-LN(2)/2))/(LN(2)/2)*AQ125*AT125*VLOOKUP('Données projet'!$B$10,Paramètres!$A$1:$I$89,3,0)*0.475*44/12</f>
        <v>6.1282517482396132E-2</v>
      </c>
      <c r="AX125" s="21">
        <f t="shared" si="60"/>
        <v>152.60824898472063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-3.1036506698001178E-14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159.92263609041913</v>
      </c>
      <c r="BJ125" s="59">
        <f t="shared" si="92"/>
        <v>271.78119133009307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13.293697356472242</v>
      </c>
      <c r="BQ125" s="21">
        <f>EXP(-LN(2)/25)*BQ124+(1-EXP(-LN(2)/25))/(LN(2)/25)*Calculateur!BL125*Calculateur!BN125*VLOOKUP('Données projet'!$B$11,Paramètres!$A$1:$I$89,3,0)*0.475*44/12</f>
        <v>15.434517524961743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28.728214881433985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3.8301282051282044</v>
      </c>
      <c r="BY125" s="12">
        <f>IF('Données projet'!$A$114&gt;35,BY124+BX125-CG124,IF(A125&lt;'Données projet'!$A$114,$BV$205^A125,IF(A125='Données projet'!$A$114,'Données projet'!$B$114,BY124+BX125-CG124)))</f>
        <v>218.80448717948767</v>
      </c>
      <c r="BZ125" s="13">
        <f>BY125*VLOOKUP('Données projet'!$B$12,Paramètres!$A$1:$I$89,3,0)*VLOOKUP('Données projet'!$B$12,Paramètres!$A$1:$I$89,5,0)</f>
        <v>197.97430000000043</v>
      </c>
      <c r="CA125" s="13">
        <f t="shared" si="93"/>
        <v>49.298716754178493</v>
      </c>
      <c r="CB125" s="20">
        <f t="shared" si="64"/>
        <v>430.66717084686161</v>
      </c>
      <c r="CC125" s="59">
        <f t="shared" si="65"/>
        <v>724.00050418019487</v>
      </c>
      <c r="CD125" s="59">
        <f ca="1">AVERAGE(OFFSET($CC$3,0,0,'Données projet'!$E$12+1,1))-AVERAGE(OFFSET($H$3,0,0,'Données projet'!$E$12+1,1))</f>
        <v>280.25710840677186</v>
      </c>
      <c r="CE125" s="59">
        <f t="shared" si="94"/>
        <v>209.65224013288037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101.23442869170525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101.23442869170525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243</v>
      </c>
      <c r="CU125" s="17">
        <f>CT125*VLOOKUP('Données projet'!$B$13,Paramètres!$A$1:$I$89,3,0)*VLOOKUP('Données projet'!$B$13,Paramètres!$A$1:$I$89,5,0)</f>
        <v>253.98360000000002</v>
      </c>
      <c r="CV125" s="13">
        <f t="shared" si="95"/>
        <v>61.438182405444294</v>
      </c>
      <c r="CW125" s="20">
        <f t="shared" si="67"/>
        <v>549.35960435614891</v>
      </c>
      <c r="CX125" s="59">
        <f t="shared" si="68"/>
        <v>842.69293768948228</v>
      </c>
      <c r="CY125" s="59">
        <f ca="1">AVERAGE(OFFSET($CX$3,0,0,'Données projet'!$E$13+1,1))-AVERAGE(OFFSET($H$3,0,0,'Données projet'!$E$13+1,1))</f>
        <v>330.14201227773452</v>
      </c>
      <c r="CZ125" s="59">
        <f t="shared" si="96"/>
        <v>307.07297894926467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21.089846475504508</v>
      </c>
      <c r="DG125" s="21">
        <f>EXP(-LN(2)/25)*DG124+(1-EXP(-LN(2)/25))/(LN(2)/25)*Calculateur!DB125*Calculateur!DD125*VLOOKUP('Données projet'!$B$13,Paramètres!$A$1:$I$89,3,0)*0.475*44/12</f>
        <v>9.6803396148736258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30.770186090378132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283.73369613548124</v>
      </c>
      <c r="T126" s="59">
        <f t="shared" si="88"/>
        <v>249.77804091581208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70.306793497430476</v>
      </c>
      <c r="AA126" s="21">
        <f>EXP(-LN(2)/25)*AA125+(1-EXP(-LN(2)/25))/(LN(2)/25)*Calculateur!V126*Calculateur!X126*VLOOKUP('Données projet'!$B$9,Paramètres!$A$1:$I$89,3,0)*0.475*44/12</f>
        <v>11.520677463504287</v>
      </c>
      <c r="AB126" s="21">
        <f>EXP(-LN(2)/2)*AB125+(1-EXP(-LN(2)/2))/(LN(2)/2)*V126*Y126*VLOOKUP('Données projet'!$B$9,Paramètres!$A$1:$I$89,3,0)*0.475*44/12</f>
        <v>3.9356841539877724E-6</v>
      </c>
      <c r="AC126" s="22">
        <f t="shared" si="57"/>
        <v>81.827474896618909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1.5961632016114892E-13</v>
      </c>
      <c r="AK126" s="13">
        <f t="shared" si="89"/>
        <v>2.2708641912150958E-12</v>
      </c>
      <c r="AL126" s="20">
        <f t="shared" si="58"/>
        <v>4.2330868906469593E-12</v>
      </c>
      <c r="AM126" s="59">
        <f t="shared" si="59"/>
        <v>293.33333333333752</v>
      </c>
      <c r="AN126" s="59">
        <f ca="1">AVERAGE(OFFSET($AM$3,0,0,'Données projet'!$E$10+1,1))-AVERAGE(OFFSET($H$3,0,0,'Données projet'!$E$10+1,1))</f>
        <v>205.73717397588365</v>
      </c>
      <c r="AO126" s="59">
        <f t="shared" si="90"/>
        <v>190.64998698136026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122.67910863854679</v>
      </c>
      <c r="AV126" s="21">
        <f>EXP(-LN(2)/25)*AV125+(1-EXP(-LN(2)/25))/(LN(2)/25)*Calculateur!AQ126*Calculateur!AS126*VLOOKUP('Données projet'!$B$10,Paramètres!$A$1:$I$89,3,0)*0.475*44/12</f>
        <v>26.664438803168782</v>
      </c>
      <c r="AW126" s="21">
        <f>EXP(-LN(2)/2)*AW125+(1-EXP(-LN(2)/2))/(LN(2)/2)*AQ126*AT126*VLOOKUP('Données projet'!$B$10,Paramètres!$A$1:$I$89,3,0)*0.475*44/12</f>
        <v>4.3333283679985457E-2</v>
      </c>
      <c r="AX126" s="21">
        <f t="shared" si="60"/>
        <v>149.38688072539557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-3.1036506698001178E-14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159.92263609041913</v>
      </c>
      <c r="BJ126" s="59">
        <f t="shared" si="92"/>
        <v>271.78119133009307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13.033016059666576</v>
      </c>
      <c r="BQ126" s="21">
        <f>EXP(-LN(2)/25)*BQ125+(1-EXP(-LN(2)/25))/(LN(2)/25)*Calculateur!BL126*Calculateur!BN126*VLOOKUP('Données projet'!$B$11,Paramètres!$A$1:$I$89,3,0)*0.475*44/12</f>
        <v>15.012459831575663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28.045475891242241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222.63461538461539</v>
      </c>
      <c r="BW126" s="12">
        <f>VLOOKUP(A126,'Données projet'!$A$113:$I$133,9,0)</f>
        <v>3.8301282051282044</v>
      </c>
      <c r="BX126" s="12">
        <f t="array" ref="BX126">INDEX(BW:BW,MIN(IF(ISNUMBER(BW126:BW322),ROW(BW126:BW322),"")))</f>
        <v>3.8301282051282044</v>
      </c>
      <c r="BY126" s="12">
        <f>IF('Données projet'!$A$114&gt;35,BY125+BX126-CG125,IF(A126&lt;'Données projet'!$A$114,$BV$205^A126,IF(A126='Données projet'!$A$114,'Données projet'!$B$114,BY125+BX126-CG125)))</f>
        <v>222.63461538461587</v>
      </c>
      <c r="BZ126" s="13">
        <f>BY126*VLOOKUP('Données projet'!$B$12,Paramètres!$A$1:$I$89,3,0)*VLOOKUP('Données projet'!$B$12,Paramètres!$A$1:$I$89,5,0)</f>
        <v>201.43980000000045</v>
      </c>
      <c r="CA126" s="13">
        <f t="shared" si="93"/>
        <v>50.06045996470462</v>
      </c>
      <c r="CB126" s="20">
        <f t="shared" si="64"/>
        <v>438.02961943852802</v>
      </c>
      <c r="CC126" s="59">
        <f t="shared" si="65"/>
        <v>731.36295277186127</v>
      </c>
      <c r="CD126" s="59">
        <f ca="1">AVERAGE(OFFSET($CC$3,0,0,'Données projet'!$E$12+1,1))-AVERAGE(OFFSET($H$3,0,0,'Données projet'!$E$12+1,1))</f>
        <v>280.25710840677186</v>
      </c>
      <c r="CE126" s="59">
        <f t="shared" si="94"/>
        <v>209.65224013288037</v>
      </c>
      <c r="CF126" s="15">
        <f>IF(ISNA(VLOOKUP(A126,'Données projet'!$A$113:$I$133,3,0)),0,VLOOKUP(A126,'Données projet'!$A$113:$I$133,3,0))</f>
        <v>12</v>
      </c>
      <c r="CG126" s="15">
        <f>IF(ISNA(VLOOKUP(A126,'Données projet'!$A$113:$I$133,4,0)),0,VLOOKUP(A126,'Données projet'!$A$113:$I$133,4,0))</f>
        <v>77.17307692307692</v>
      </c>
      <c r="CH126" s="16">
        <f>IF(ISNA(VLOOKUP(A126,'Données projet'!$A$113:$I$133,5,0)),0%,VLOOKUP(A126,'Données projet'!$A$113:$I$133,5,0)*VLOOKUP('Données projet'!$B$12,Paramètres!$A$1:$I$89,7,0))</f>
        <v>0.38700000000000001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129.12212127250342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129.12212127250342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243</v>
      </c>
      <c r="CU126" s="17">
        <f>CT126*VLOOKUP('Données projet'!$B$13,Paramètres!$A$1:$I$89,3,0)*VLOOKUP('Données projet'!$B$13,Paramètres!$A$1:$I$89,5,0)</f>
        <v>253.98360000000002</v>
      </c>
      <c r="CV126" s="13">
        <f t="shared" si="95"/>
        <v>61.438182405444294</v>
      </c>
      <c r="CW126" s="20">
        <f t="shared" si="67"/>
        <v>549.35960435614891</v>
      </c>
      <c r="CX126" s="59">
        <f t="shared" si="68"/>
        <v>842.69293768948228</v>
      </c>
      <c r="CY126" s="59">
        <f ca="1">AVERAGE(OFFSET($CX$3,0,0,'Données projet'!$E$13+1,1))-AVERAGE(OFFSET($H$3,0,0,'Données projet'!$E$13+1,1))</f>
        <v>330.14201227773452</v>
      </c>
      <c r="CZ126" s="59">
        <f t="shared" si="96"/>
        <v>307.07297894926467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20.676287449656048</v>
      </c>
      <c r="DG126" s="21">
        <f>EXP(-LN(2)/25)*DG125+(1-EXP(-LN(2)/25))/(LN(2)/25)*Calculateur!DB126*Calculateur!DD126*VLOOKUP('Données projet'!$B$13,Paramètres!$A$1:$I$89,3,0)*0.475*44/12</f>
        <v>9.4156302190379701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30.091917668694016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283.73369613548124</v>
      </c>
      <c r="T127" s="59">
        <f t="shared" si="88"/>
        <v>249.77804091581208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68.928120159855567</v>
      </c>
      <c r="AA127" s="21">
        <f>EXP(-LN(2)/25)*AA126+(1-EXP(-LN(2)/25))/(LN(2)/25)*Calculateur!V127*Calculateur!X127*VLOOKUP('Données projet'!$B$9,Paramètres!$A$1:$I$89,3,0)*0.475*44/12</f>
        <v>11.205643932418665</v>
      </c>
      <c r="AB127" s="21">
        <f>EXP(-LN(2)/2)*AB126+(1-EXP(-LN(2)/2))/(LN(2)/2)*V127*Y127*VLOOKUP('Données projet'!$B$9,Paramètres!$A$1:$I$89,3,0)*0.475*44/12</f>
        <v>2.7829489538931942E-6</v>
      </c>
      <c r="AC127" s="22">
        <f t="shared" si="57"/>
        <v>80.133766875223188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1.5961632016114892E-13</v>
      </c>
      <c r="AK127" s="13">
        <f t="shared" si="89"/>
        <v>2.2708641912150958E-12</v>
      </c>
      <c r="AL127" s="20">
        <f t="shared" si="58"/>
        <v>4.2330868906469593E-12</v>
      </c>
      <c r="AM127" s="59">
        <f t="shared" si="59"/>
        <v>293.33333333333752</v>
      </c>
      <c r="AN127" s="59">
        <f ca="1">AVERAGE(OFFSET($AM$3,0,0,'Données projet'!$E$10+1,1))-AVERAGE(OFFSET($H$3,0,0,'Données projet'!$E$10+1,1))</f>
        <v>205.73717397588365</v>
      </c>
      <c r="AO127" s="59">
        <f t="shared" si="90"/>
        <v>190.64998698136026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120.27344614501263</v>
      </c>
      <c r="AV127" s="21">
        <f>EXP(-LN(2)/25)*AV126+(1-EXP(-LN(2)/25))/(LN(2)/25)*Calculateur!AQ127*Calculateur!AS127*VLOOKUP('Données projet'!$B$10,Paramètres!$A$1:$I$89,3,0)*0.475*44/12</f>
        <v>25.935298321874239</v>
      </c>
      <c r="AW127" s="21">
        <f>EXP(-LN(2)/2)*AW126+(1-EXP(-LN(2)/2))/(LN(2)/2)*AQ127*AT127*VLOOKUP('Données projet'!$B$10,Paramètres!$A$1:$I$89,3,0)*0.475*44/12</f>
        <v>3.0641258741198069E-2</v>
      </c>
      <c r="AX127" s="21">
        <f t="shared" si="60"/>
        <v>146.23938572562804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-3.1036506698001178E-14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159.92263609041913</v>
      </c>
      <c r="BJ127" s="59">
        <f t="shared" si="92"/>
        <v>271.78119133009307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12.777446564091377</v>
      </c>
      <c r="BQ127" s="21">
        <f>EXP(-LN(2)/25)*BQ126+(1-EXP(-LN(2)/25))/(LN(2)/25)*Calculateur!BL127*Calculateur!BN127*VLOOKUP('Données projet'!$B$11,Paramètres!$A$1:$I$89,3,0)*0.475*44/12</f>
        <v>14.601943328010275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27.379389892101653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2.3349358974358978</v>
      </c>
      <c r="BY127" s="12">
        <f>IF('Données projet'!$A$114&gt;35,BY126+BX127-CG126,IF(A127&lt;'Données projet'!$A$114,$BV$205^A127,IF(A127='Données projet'!$A$114,'Données projet'!$B$114,BY126+BX127-CG126)))</f>
        <v>147.79647435897488</v>
      </c>
      <c r="BZ127" s="13">
        <f>BY127*VLOOKUP('Données projet'!$B$12,Paramètres!$A$1:$I$89,3,0)*VLOOKUP('Données projet'!$B$12,Paramètres!$A$1:$I$89,5,0)</f>
        <v>133.72625000000048</v>
      </c>
      <c r="CA127" s="13">
        <f t="shared" si="93"/>
        <v>34.855965018185749</v>
      </c>
      <c r="CB127" s="20">
        <f t="shared" si="64"/>
        <v>293.61402449000764</v>
      </c>
      <c r="CC127" s="59">
        <f t="shared" si="65"/>
        <v>586.94735782334101</v>
      </c>
      <c r="CD127" s="59">
        <f ca="1">AVERAGE(OFFSET($CC$3,0,0,'Données projet'!$E$12+1,1))-AVERAGE(OFFSET($H$3,0,0,'Données projet'!$E$12+1,1))</f>
        <v>280.25710840677186</v>
      </c>
      <c r="CE127" s="59">
        <f t="shared" si="94"/>
        <v>209.65224013288037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126.59011523106703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126.59011523106703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243</v>
      </c>
      <c r="CU127" s="17">
        <f>CT127*VLOOKUP('Données projet'!$B$13,Paramètres!$A$1:$I$89,3,0)*VLOOKUP('Données projet'!$B$13,Paramètres!$A$1:$I$89,5,0)</f>
        <v>253.98360000000002</v>
      </c>
      <c r="CV127" s="13">
        <f t="shared" si="95"/>
        <v>61.438182405444294</v>
      </c>
      <c r="CW127" s="20">
        <f t="shared" si="67"/>
        <v>549.35960435614891</v>
      </c>
      <c r="CX127" s="59">
        <f t="shared" si="68"/>
        <v>842.69293768948228</v>
      </c>
      <c r="CY127" s="59">
        <f ca="1">AVERAGE(OFFSET($CX$3,0,0,'Données projet'!$E$13+1,1))-AVERAGE(OFFSET($H$3,0,0,'Données projet'!$E$13+1,1))</f>
        <v>330.14201227773452</v>
      </c>
      <c r="CZ127" s="59">
        <f t="shared" si="96"/>
        <v>307.07297894926467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20.270838064058374</v>
      </c>
      <c r="DG127" s="21">
        <f>EXP(-LN(2)/25)*DG126+(1-EXP(-LN(2)/25))/(LN(2)/25)*Calculateur!DB127*Calculateur!DD127*VLOOKUP('Données projet'!$B$13,Paramètres!$A$1:$I$89,3,0)*0.475*44/12</f>
        <v>9.1581593155519041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29.42899737961028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283.73369613548124</v>
      </c>
      <c r="T128" s="59">
        <f t="shared" si="88"/>
        <v>249.77804091581208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67.5764817655228</v>
      </c>
      <c r="AA128" s="21">
        <f>EXP(-LN(2)/25)*AA127+(1-EXP(-LN(2)/25))/(LN(2)/25)*Calculateur!V128*Calculateur!X128*VLOOKUP('Données projet'!$B$9,Paramètres!$A$1:$I$89,3,0)*0.475*44/12</f>
        <v>10.899225009807473</v>
      </c>
      <c r="AB128" s="21">
        <f>EXP(-LN(2)/2)*AB127+(1-EXP(-LN(2)/2))/(LN(2)/2)*V128*Y128*VLOOKUP('Données projet'!$B$9,Paramètres!$A$1:$I$89,3,0)*0.475*44/12</f>
        <v>1.9678420769938862E-6</v>
      </c>
      <c r="AC128" s="22">
        <f t="shared" si="57"/>
        <v>78.475708743172362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1.5961632016114892E-13</v>
      </c>
      <c r="AK128" s="13">
        <f t="shared" si="89"/>
        <v>2.2708641912150958E-12</v>
      </c>
      <c r="AL128" s="20">
        <f t="shared" si="58"/>
        <v>4.2330868906469593E-12</v>
      </c>
      <c r="AM128" s="59">
        <f t="shared" si="59"/>
        <v>293.33333333333752</v>
      </c>
      <c r="AN128" s="59">
        <f ca="1">AVERAGE(OFFSET($AM$3,0,0,'Données projet'!$E$10+1,1))-AVERAGE(OFFSET($H$3,0,0,'Données projet'!$E$10+1,1))</f>
        <v>205.73717397588365</v>
      </c>
      <c r="AO128" s="59">
        <f t="shared" si="90"/>
        <v>190.64998698136026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117.91495722566742</v>
      </c>
      <c r="AV128" s="21">
        <f>EXP(-LN(2)/25)*AV127+(1-EXP(-LN(2)/25))/(LN(2)/25)*Calculateur!AQ128*Calculateur!AS128*VLOOKUP('Données projet'!$B$10,Paramètres!$A$1:$I$89,3,0)*0.475*44/12</f>
        <v>25.226096225384524</v>
      </c>
      <c r="AW128" s="21">
        <f>EXP(-LN(2)/2)*AW127+(1-EXP(-LN(2)/2))/(LN(2)/2)*AQ128*AT128*VLOOKUP('Données projet'!$B$10,Paramètres!$A$1:$I$89,3,0)*0.475*44/12</f>
        <v>2.1666641839992732E-2</v>
      </c>
      <c r="AX128" s="21">
        <f t="shared" si="60"/>
        <v>143.16272009289196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-3.1036506698001178E-14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159.92263609041913</v>
      </c>
      <c r="BJ128" s="59">
        <f t="shared" si="92"/>
        <v>271.78119133009307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12.526888630442409</v>
      </c>
      <c r="BQ128" s="21">
        <f>EXP(-LN(2)/25)*BQ127+(1-EXP(-LN(2)/25))/(LN(2)/25)*Calculateur!BL128*Calculateur!BN128*VLOOKUP('Données projet'!$B$11,Paramètres!$A$1:$I$89,3,0)*0.475*44/12</f>
        <v>14.202652419823007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26.729541050265418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2.3349358974358978</v>
      </c>
      <c r="BY128" s="12">
        <f>IF('Données projet'!$A$114&gt;35,BY127+BX128-CG127,IF(A128&lt;'Données projet'!$A$114,$BV$205^A128,IF(A128='Données projet'!$A$114,'Données projet'!$B$114,BY127+BX128-CG127)))</f>
        <v>150.13141025641079</v>
      </c>
      <c r="BZ128" s="13">
        <f>BY128*VLOOKUP('Données projet'!$B$12,Paramètres!$A$1:$I$89,3,0)*VLOOKUP('Données projet'!$B$12,Paramètres!$A$1:$I$89,5,0)</f>
        <v>135.83890000000048</v>
      </c>
      <c r="CA128" s="13">
        <f t="shared" si="93"/>
        <v>35.342088427890417</v>
      </c>
      <c r="CB128" s="20">
        <f t="shared" si="64"/>
        <v>298.14022151190994</v>
      </c>
      <c r="CC128" s="59">
        <f t="shared" si="65"/>
        <v>591.47355484524326</v>
      </c>
      <c r="CD128" s="59">
        <f ca="1">AVERAGE(OFFSET($CC$3,0,0,'Données projet'!$E$12+1,1))-AVERAGE(OFFSET($H$3,0,0,'Données projet'!$E$12+1,1))</f>
        <v>280.25710840677186</v>
      </c>
      <c r="CE128" s="59">
        <f t="shared" si="94"/>
        <v>209.65224013288037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124.10776028373201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124.10776028373201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243</v>
      </c>
      <c r="CU128" s="17">
        <f>CT128*VLOOKUP('Données projet'!$B$13,Paramètres!$A$1:$I$89,3,0)*VLOOKUP('Données projet'!$B$13,Paramètres!$A$1:$I$89,5,0)</f>
        <v>253.98360000000002</v>
      </c>
      <c r="CV128" s="13">
        <f t="shared" si="95"/>
        <v>61.438182405444294</v>
      </c>
      <c r="CW128" s="20">
        <f t="shared" si="67"/>
        <v>549.35960435614891</v>
      </c>
      <c r="CX128" s="59">
        <f t="shared" si="68"/>
        <v>842.69293768948228</v>
      </c>
      <c r="CY128" s="59">
        <f ca="1">AVERAGE(OFFSET($CX$3,0,0,'Données projet'!$E$13+1,1))-AVERAGE(OFFSET($H$3,0,0,'Données projet'!$E$13+1,1))</f>
        <v>330.14201227773452</v>
      </c>
      <c r="CZ128" s="59">
        <f t="shared" si="96"/>
        <v>307.07297894926467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19.873339293612567</v>
      </c>
      <c r="DG128" s="21">
        <f>EXP(-LN(2)/25)*DG127+(1-EXP(-LN(2)/25))/(LN(2)/25)*Calculateur!DB128*Calculateur!DD128*VLOOKUP('Données projet'!$B$13,Paramètres!$A$1:$I$89,3,0)*0.475*44/12</f>
        <v>8.9077289674614697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28.781068261074036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283.73369613548124</v>
      </c>
      <c r="T129" s="59">
        <f t="shared" si="88"/>
        <v>249.77804091581208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66.251348175684882</v>
      </c>
      <c r="AA129" s="21">
        <f>EXP(-LN(2)/25)*AA128+(1-EXP(-LN(2)/25))/(LN(2)/25)*Calculateur!V129*Calculateur!X129*VLOOKUP('Données projet'!$B$9,Paramètres!$A$1:$I$89,3,0)*0.475*44/12</f>
        <v>10.601185128748956</v>
      </c>
      <c r="AB129" s="21">
        <f>EXP(-LN(2)/2)*AB128+(1-EXP(-LN(2)/2))/(LN(2)/2)*V129*Y129*VLOOKUP('Données projet'!$B$9,Paramètres!$A$1:$I$89,3,0)*0.475*44/12</f>
        <v>1.3914744769465971E-6</v>
      </c>
      <c r="AC129" s="22">
        <f t="shared" si="57"/>
        <v>76.852534695908304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1.5961632016114892E-13</v>
      </c>
      <c r="AK129" s="13">
        <f t="shared" si="89"/>
        <v>2.2708641912150958E-12</v>
      </c>
      <c r="AL129" s="20">
        <f t="shared" si="58"/>
        <v>4.2330868906469593E-12</v>
      </c>
      <c r="AM129" s="59">
        <f t="shared" si="59"/>
        <v>293.33333333333752</v>
      </c>
      <c r="AN129" s="59">
        <f ca="1">AVERAGE(OFFSET($AM$3,0,0,'Données projet'!$E$10+1,1))-AVERAGE(OFFSET($H$3,0,0,'Données projet'!$E$10+1,1))</f>
        <v>205.73717397588365</v>
      </c>
      <c r="AO129" s="59">
        <f t="shared" si="90"/>
        <v>190.64998698136026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115.60271683549438</v>
      </c>
      <c r="AV129" s="21">
        <f>EXP(-LN(2)/25)*AV128+(1-EXP(-LN(2)/25))/(LN(2)/25)*Calculateur!AQ129*Calculateur!AS129*VLOOKUP('Données projet'!$B$10,Paramètres!$A$1:$I$89,3,0)*0.475*44/12</f>
        <v>24.536287297518637</v>
      </c>
      <c r="AW129" s="21">
        <f>EXP(-LN(2)/2)*AW128+(1-EXP(-LN(2)/2))/(LN(2)/2)*AQ129*AT129*VLOOKUP('Données projet'!$B$10,Paramètres!$A$1:$I$89,3,0)*0.475*44/12</f>
        <v>1.5320629370599036E-2</v>
      </c>
      <c r="AX129" s="21">
        <f t="shared" si="60"/>
        <v>140.1543247623836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-3.1036506698001178E-14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159.92263609041913</v>
      </c>
      <c r="BJ129" s="59">
        <f t="shared" si="92"/>
        <v>271.78119133009307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12.281243985047047</v>
      </c>
      <c r="BQ129" s="21">
        <f>EXP(-LN(2)/25)*BQ128+(1-EXP(-LN(2)/25))/(LN(2)/25)*Calculateur!BL129*Calculateur!BN129*VLOOKUP('Données projet'!$B$11,Paramètres!$A$1:$I$89,3,0)*0.475*44/12</f>
        <v>13.814280142517918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26.095524127564964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2.3349358974358978</v>
      </c>
      <c r="BY129" s="12">
        <f>IF('Données projet'!$A$114&gt;35,BY128+BX129-CG128,IF(A129&lt;'Données projet'!$A$114,$BV$205^A129,IF(A129='Données projet'!$A$114,'Données projet'!$B$114,BY128+BX129-CG128)))</f>
        <v>152.4663461538467</v>
      </c>
      <c r="BZ129" s="13">
        <f>BY129*VLOOKUP('Données projet'!$B$12,Paramètres!$A$1:$I$89,3,0)*VLOOKUP('Données projet'!$B$12,Paramètres!$A$1:$I$89,5,0)</f>
        <v>137.95155000000048</v>
      </c>
      <c r="CA129" s="13">
        <f t="shared" si="93"/>
        <v>35.827332555199952</v>
      </c>
      <c r="CB129" s="20">
        <f t="shared" si="64"/>
        <v>302.66488711697406</v>
      </c>
      <c r="CC129" s="59">
        <f t="shared" si="65"/>
        <v>595.99822045030737</v>
      </c>
      <c r="CD129" s="59">
        <f ca="1">AVERAGE(OFFSET($CC$3,0,0,'Données projet'!$E$12+1,1))-AVERAGE(OFFSET($H$3,0,0,'Données projet'!$E$12+1,1))</f>
        <v>280.25710840677186</v>
      </c>
      <c r="CE129" s="59">
        <f t="shared" si="94"/>
        <v>209.65224013288037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121.67408280282721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121.67408280282721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243</v>
      </c>
      <c r="CU129" s="17">
        <f>CT129*VLOOKUP('Données projet'!$B$13,Paramètres!$A$1:$I$89,3,0)*VLOOKUP('Données projet'!$B$13,Paramètres!$A$1:$I$89,5,0)</f>
        <v>253.98360000000002</v>
      </c>
      <c r="CV129" s="13">
        <f t="shared" si="95"/>
        <v>61.438182405444294</v>
      </c>
      <c r="CW129" s="20">
        <f t="shared" si="67"/>
        <v>549.35960435614891</v>
      </c>
      <c r="CX129" s="59">
        <f t="shared" si="68"/>
        <v>842.69293768948228</v>
      </c>
      <c r="CY129" s="59">
        <f ca="1">AVERAGE(OFFSET($CX$3,0,0,'Données projet'!$E$13+1,1))-AVERAGE(OFFSET($H$3,0,0,'Données projet'!$E$13+1,1))</f>
        <v>330.14201227773452</v>
      </c>
      <c r="CZ129" s="59">
        <f t="shared" si="96"/>
        <v>307.07297894926467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19.48363523160489</v>
      </c>
      <c r="DG129" s="21">
        <f>EXP(-LN(2)/25)*DG128+(1-EXP(-LN(2)/25))/(LN(2)/25)*Calculateur!DB129*Calculateur!DD129*VLOOKUP('Données projet'!$B$13,Paramètres!$A$1:$I$89,3,0)*0.475*44/12</f>
        <v>8.664146650409128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28.147781882014016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283.73369613548124</v>
      </c>
      <c r="T130" s="59">
        <f t="shared" si="88"/>
        <v>249.77804091581208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64.952199647292005</v>
      </c>
      <c r="AA130" s="21">
        <f>EXP(-LN(2)/25)*AA129+(1-EXP(-LN(2)/25))/(LN(2)/25)*Calculateur!V130*Calculateur!X130*VLOOKUP('Données projet'!$B$9,Paramètres!$A$1:$I$89,3,0)*0.475*44/12</f>
        <v>10.311295163911218</v>
      </c>
      <c r="AB130" s="21">
        <f>EXP(-LN(2)/2)*AB129+(1-EXP(-LN(2)/2))/(LN(2)/2)*V130*Y130*VLOOKUP('Données projet'!$B$9,Paramètres!$A$1:$I$89,3,0)*0.475*44/12</f>
        <v>9.839210384969431E-7</v>
      </c>
      <c r="AC130" s="22">
        <f t="shared" si="57"/>
        <v>75.263495795124271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1.5961632016114892E-13</v>
      </c>
      <c r="AK130" s="13">
        <f t="shared" si="89"/>
        <v>2.2708641912150958E-12</v>
      </c>
      <c r="AL130" s="20">
        <f t="shared" si="58"/>
        <v>4.2330868906469593E-12</v>
      </c>
      <c r="AM130" s="59">
        <f t="shared" si="59"/>
        <v>293.33333333333752</v>
      </c>
      <c r="AN130" s="59">
        <f ca="1">AVERAGE(OFFSET($AM$3,0,0,'Données projet'!$E$10+1,1))-AVERAGE(OFFSET($H$3,0,0,'Données projet'!$E$10+1,1))</f>
        <v>205.73717397588365</v>
      </c>
      <c r="AO130" s="59">
        <f t="shared" si="90"/>
        <v>190.64998698136026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113.33581806904525</v>
      </c>
      <c r="AV130" s="21">
        <f>EXP(-LN(2)/25)*AV129+(1-EXP(-LN(2)/25))/(LN(2)/25)*Calculateur!AQ130*Calculateur!AS130*VLOOKUP('Données projet'!$B$10,Paramètres!$A$1:$I$89,3,0)*0.475*44/12</f>
        <v>23.865341231060718</v>
      </c>
      <c r="AW130" s="21">
        <f>EXP(-LN(2)/2)*AW129+(1-EXP(-LN(2)/2))/(LN(2)/2)*AQ130*AT130*VLOOKUP('Données projet'!$B$10,Paramètres!$A$1:$I$89,3,0)*0.475*44/12</f>
        <v>1.0833320919996368E-2</v>
      </c>
      <c r="AX130" s="21">
        <f t="shared" si="60"/>
        <v>137.21199262102596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-3.1036506698001178E-14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159.92263609041913</v>
      </c>
      <c r="BJ130" s="59">
        <f t="shared" si="92"/>
        <v>271.78119133009307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12.040416281319448</v>
      </c>
      <c r="BQ130" s="21">
        <f>EXP(-LN(2)/25)*BQ129+(1-EXP(-LN(2)/25))/(LN(2)/25)*Calculateur!BL130*Calculateur!BN130*VLOOKUP('Données projet'!$B$11,Paramètres!$A$1:$I$89,3,0)*0.475*44/12</f>
        <v>13.436527925559345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25.476944206878791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154.80128205128204</v>
      </c>
      <c r="BW130" s="12">
        <f>VLOOKUP(A130,'Données projet'!$A$113:$I$133,9,0)</f>
        <v>2.3349358974358978</v>
      </c>
      <c r="BX130" s="12">
        <f t="array" ref="BX130">INDEX(BW:BW,MIN(IF(ISNUMBER(BW130:BW326),ROW(BW130:BW326),"")))</f>
        <v>2.3349358974358978</v>
      </c>
      <c r="BY130" s="12">
        <f>IF('Données projet'!$A$114&gt;35,BY129+BX130-CG129,IF(A130&lt;'Données projet'!$A$114,$BV$205^A130,IF(A130='Données projet'!$A$114,'Données projet'!$B$114,BY129+BX130-CG129)))</f>
        <v>154.80128205128261</v>
      </c>
      <c r="BZ130" s="13">
        <f>BY130*VLOOKUP('Données projet'!$B$12,Paramètres!$A$1:$I$89,3,0)*VLOOKUP('Données projet'!$B$12,Paramètres!$A$1:$I$89,5,0)</f>
        <v>140.06420000000051</v>
      </c>
      <c r="CA130" s="13">
        <f t="shared" si="93"/>
        <v>36.311712421027522</v>
      </c>
      <c r="CB130" s="20">
        <f t="shared" si="64"/>
        <v>307.1880474666238</v>
      </c>
      <c r="CC130" s="59">
        <f t="shared" si="65"/>
        <v>600.52138079995711</v>
      </c>
      <c r="CD130" s="59">
        <f ca="1">AVERAGE(OFFSET($CC$3,0,0,'Données projet'!$E$12+1,1))-AVERAGE(OFFSET($H$3,0,0,'Données projet'!$E$12+1,1))</f>
        <v>280.25710840677186</v>
      </c>
      <c r="CE130" s="59">
        <f t="shared" si="94"/>
        <v>209.65224013288037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49.916666666666671</v>
      </c>
      <c r="CH130" s="16">
        <f>IF(ISNA(VLOOKUP(A130,'Données projet'!$A$113:$I$133,5,0)),0%,VLOOKUP(A130,'Données projet'!$A$113:$I$133,5,0)*VLOOKUP('Données projet'!$B$12,Paramètres!$A$1:$I$89,7,0))</f>
        <v>0.38700000000000001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138.61031359676292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138.61031359676292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243</v>
      </c>
      <c r="CU130" s="17">
        <f>CT130*VLOOKUP('Données projet'!$B$13,Paramètres!$A$1:$I$89,3,0)*VLOOKUP('Données projet'!$B$13,Paramètres!$A$1:$I$89,5,0)</f>
        <v>253.98360000000002</v>
      </c>
      <c r="CV130" s="13">
        <f t="shared" si="95"/>
        <v>61.438182405444294</v>
      </c>
      <c r="CW130" s="20">
        <f t="shared" si="67"/>
        <v>549.35960435614891</v>
      </c>
      <c r="CX130" s="59">
        <f t="shared" si="68"/>
        <v>842.69293768948228</v>
      </c>
      <c r="CY130" s="59">
        <f ca="1">AVERAGE(OFFSET($CX$3,0,0,'Données projet'!$E$13+1,1))-AVERAGE(OFFSET($H$3,0,0,'Données projet'!$E$13+1,1))</f>
        <v>330.14201227773452</v>
      </c>
      <c r="CZ130" s="59">
        <f t="shared" si="96"/>
        <v>307.07297894926467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19.101573028557176</v>
      </c>
      <c r="DG130" s="21">
        <f>EXP(-LN(2)/25)*DG129+(1-EXP(-LN(2)/25))/(LN(2)/25)*Calculateur!DB130*Calculateur!DD130*VLOOKUP('Données projet'!$B$13,Paramètres!$A$1:$I$89,3,0)*0.475*44/12</f>
        <v>8.4272251046260198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27.528798133183194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283.73369613548124</v>
      </c>
      <c r="T131" s="59">
        <f t="shared" si="88"/>
        <v>249.77804091581208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63.678526629138545</v>
      </c>
      <c r="AA131" s="21">
        <f>EXP(-LN(2)/25)*AA130+(1-EXP(-LN(2)/25))/(LN(2)/25)*Calculateur!V131*Calculateur!X131*VLOOKUP('Données projet'!$B$9,Paramètres!$A$1:$I$89,3,0)*0.475*44/12</f>
        <v>10.02933225540662</v>
      </c>
      <c r="AB131" s="21">
        <f>EXP(-LN(2)/2)*AB130+(1-EXP(-LN(2)/2))/(LN(2)/2)*V131*Y131*VLOOKUP('Données projet'!$B$9,Paramètres!$A$1:$I$89,3,0)*0.475*44/12</f>
        <v>6.9573723847329855E-7</v>
      </c>
      <c r="AC131" s="22">
        <f t="shared" si="57"/>
        <v>73.707859580282403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1.5961632016114892E-13</v>
      </c>
      <c r="AK131" s="13">
        <f t="shared" si="89"/>
        <v>2.2708641912150958E-12</v>
      </c>
      <c r="AL131" s="20">
        <f t="shared" si="58"/>
        <v>4.2330868906469593E-12</v>
      </c>
      <c r="AM131" s="59">
        <f t="shared" si="59"/>
        <v>293.33333333333752</v>
      </c>
      <c r="AN131" s="59">
        <f ca="1">AVERAGE(OFFSET($AM$3,0,0,'Données projet'!$E$10+1,1))-AVERAGE(OFFSET($H$3,0,0,'Données projet'!$E$10+1,1))</f>
        <v>205.73717397588365</v>
      </c>
      <c r="AO131" s="59">
        <f t="shared" si="90"/>
        <v>190.64998698136026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111.11337180473447</v>
      </c>
      <c r="AV131" s="21">
        <f>EXP(-LN(2)/25)*AV130+(1-EXP(-LN(2)/25))/(LN(2)/25)*Calculateur!AQ131*Calculateur!AS131*VLOOKUP('Données projet'!$B$10,Paramètres!$A$1:$I$89,3,0)*0.475*44/12</f>
        <v>23.212742220073611</v>
      </c>
      <c r="AW131" s="21">
        <f>EXP(-LN(2)/2)*AW130+(1-EXP(-LN(2)/2))/(LN(2)/2)*AQ131*AT131*VLOOKUP('Données projet'!$B$10,Paramètres!$A$1:$I$89,3,0)*0.475*44/12</f>
        <v>7.6603146852995199E-3</v>
      </c>
      <c r="AX131" s="21">
        <f t="shared" si="60"/>
        <v>134.33377433949337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-3.1036506698001178E-14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159.92263609041913</v>
      </c>
      <c r="BJ131" s="59">
        <f t="shared" si="92"/>
        <v>271.78119133009307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11.804311061971553</v>
      </c>
      <c r="BQ131" s="21">
        <f>EXP(-LN(2)/25)*BQ130+(1-EXP(-LN(2)/25))/(LN(2)/25)*Calculateur!BL131*Calculateur!BN131*VLOOKUP('Données projet'!$B$11,Paramètres!$A$1:$I$89,3,0)*0.475*44/12</f>
        <v>13.069105362838631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24.873416424810184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1.5064102564102591</v>
      </c>
      <c r="BY131" s="12">
        <f>IF('Données projet'!$A$114&gt;35,BY130+BX131-CG130,IF(A131&lt;'Données projet'!$A$114,$BV$205^A131,IF(A131='Données projet'!$A$114,'Données projet'!$B$114,BY130+BX131-CG130)))</f>
        <v>106.39102564102619</v>
      </c>
      <c r="BZ131" s="13">
        <f>BY131*VLOOKUP('Données projet'!$B$12,Paramètres!$A$1:$I$89,3,0)*VLOOKUP('Données projet'!$B$12,Paramètres!$A$1:$I$89,5,0)</f>
        <v>96.262600000000489</v>
      </c>
      <c r="CA131" s="13">
        <f t="shared" si="93"/>
        <v>26.069649320395936</v>
      </c>
      <c r="CB131" s="20">
        <f t="shared" si="64"/>
        <v>213.06200089969045</v>
      </c>
      <c r="CC131" s="59">
        <f t="shared" si="65"/>
        <v>506.39533423302373</v>
      </c>
      <c r="CD131" s="59">
        <f ca="1">AVERAGE(OFFSET($CC$3,0,0,'Données projet'!$E$12+1,1))-AVERAGE(OFFSET($H$3,0,0,'Données projet'!$E$12+1,1))</f>
        <v>280.25710840677186</v>
      </c>
      <c r="CE131" s="59">
        <f t="shared" si="94"/>
        <v>209.65224013288037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135.89224989107367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135.89224989107367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243</v>
      </c>
      <c r="CU131" s="17">
        <f>CT131*VLOOKUP('Données projet'!$B$13,Paramètres!$A$1:$I$89,3,0)*VLOOKUP('Données projet'!$B$13,Paramètres!$A$1:$I$89,5,0)</f>
        <v>253.98360000000002</v>
      </c>
      <c r="CV131" s="13">
        <f t="shared" si="95"/>
        <v>61.438182405444294</v>
      </c>
      <c r="CW131" s="20">
        <f t="shared" si="67"/>
        <v>549.35960435614891</v>
      </c>
      <c r="CX131" s="59">
        <f t="shared" si="68"/>
        <v>842.69293768948228</v>
      </c>
      <c r="CY131" s="59">
        <f ca="1">AVERAGE(OFFSET($CX$3,0,0,'Données projet'!$E$13+1,1))-AVERAGE(OFFSET($H$3,0,0,'Données projet'!$E$13+1,1))</f>
        <v>330.14201227773452</v>
      </c>
      <c r="CZ131" s="59">
        <f t="shared" si="96"/>
        <v>307.07297894926467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18.727002832276295</v>
      </c>
      <c r="DG131" s="21">
        <f>EXP(-LN(2)/25)*DG130+(1-EXP(-LN(2)/25))/(LN(2)/25)*Calculateur!DB131*Calculateur!DD131*VLOOKUP('Données projet'!$B$13,Paramètres!$A$1:$I$89,3,0)*0.475*44/12</f>
        <v>8.1967821909715131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26.92378502324781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283.73369613548124</v>
      </c>
      <c r="T132" s="59">
        <f t="shared" si="88"/>
        <v>249.77804091581208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62.429829562007242</v>
      </c>
      <c r="AA132" s="21">
        <f>EXP(-LN(2)/25)*AA131+(1-EXP(-LN(2)/25))/(LN(2)/25)*Calculateur!V132*Calculateur!X132*VLOOKUP('Données projet'!$B$9,Paramètres!$A$1:$I$89,3,0)*0.475*44/12</f>
        <v>9.755079637462865</v>
      </c>
      <c r="AB132" s="21">
        <f>EXP(-LN(2)/2)*AB131+(1-EXP(-LN(2)/2))/(LN(2)/2)*V132*Y132*VLOOKUP('Données projet'!$B$9,Paramètres!$A$1:$I$89,3,0)*0.475*44/12</f>
        <v>4.9196051924847155E-7</v>
      </c>
      <c r="AC132" s="22">
        <f t="shared" ref="AC132:AC153" si="111">SUM(Z132:AB132)</f>
        <v>72.184909691430633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1.5961632016114892E-13</v>
      </c>
      <c r="AK132" s="13">
        <f t="shared" si="89"/>
        <v>2.2708641912150958E-12</v>
      </c>
      <c r="AL132" s="20">
        <f t="shared" ref="AL132:AL153" si="112">(AJ132+AK132)*0.475*44/12</f>
        <v>4.2330868906469593E-12</v>
      </c>
      <c r="AM132" s="59">
        <f t="shared" ref="AM132:AM195" si="113">AL132+(AD132+AE132)*44/12</f>
        <v>293.33333333333752</v>
      </c>
      <c r="AN132" s="59">
        <f ca="1">AVERAGE(OFFSET($AM$3,0,0,'Données projet'!$E$10+1,1))-AVERAGE(OFFSET($H$3,0,0,'Données projet'!$E$10+1,1))</f>
        <v>205.73717397588365</v>
      </c>
      <c r="AO132" s="59">
        <f t="shared" si="90"/>
        <v>190.64998698136026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108.93450635610846</v>
      </c>
      <c r="AV132" s="21">
        <f>EXP(-LN(2)/25)*AV131+(1-EXP(-LN(2)/25))/(LN(2)/25)*Calculateur!AQ132*Calculateur!AS132*VLOOKUP('Données projet'!$B$10,Paramètres!$A$1:$I$89,3,0)*0.475*44/12</f>
        <v>22.577988563360638</v>
      </c>
      <c r="AW132" s="21">
        <f>EXP(-LN(2)/2)*AW131+(1-EXP(-LN(2)/2))/(LN(2)/2)*AQ132*AT132*VLOOKUP('Données projet'!$B$10,Paramètres!$A$1:$I$89,3,0)*0.475*44/12</f>
        <v>5.4166604599981847E-3</v>
      </c>
      <c r="AX132" s="21">
        <f t="shared" ref="AX132:AX153" si="114">SUM(AU132:AW132)</f>
        <v>131.51791157992909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-3.1036506698001178E-14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159.92263609041913</v>
      </c>
      <c r="BJ132" s="59">
        <f t="shared" si="92"/>
        <v>271.78119133009307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11.572835721965106</v>
      </c>
      <c r="BQ132" s="21">
        <f>EXP(-LN(2)/25)*BQ131+(1-EXP(-LN(2)/25))/(LN(2)/25)*Calculateur!BL132*Calculateur!BN132*VLOOKUP('Données projet'!$B$11,Paramètres!$A$1:$I$89,3,0)*0.475*44/12</f>
        <v>12.711729989417426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24.284565711382534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1.5064102564102591</v>
      </c>
      <c r="BY132" s="12">
        <f>IF('Données projet'!$A$114&gt;35,BY131+BX132-CG131,IF(A132&lt;'Données projet'!$A$114,$BV$205^A132,IF(A132='Données projet'!$A$114,'Données projet'!$B$114,BY131+BX132-CG131)))</f>
        <v>107.89743589743645</v>
      </c>
      <c r="BZ132" s="13">
        <f>BY132*VLOOKUP('Données projet'!$B$12,Paramètres!$A$1:$I$89,3,0)*VLOOKUP('Données projet'!$B$12,Paramètres!$A$1:$I$89,5,0)</f>
        <v>97.625600000000489</v>
      </c>
      <c r="CA132" s="13">
        <f t="shared" si="93"/>
        <v>26.395540798282454</v>
      </c>
      <c r="CB132" s="20">
        <f t="shared" ref="CB132:CB153" si="118">(BZ132+CA132)*0.475*44/12</f>
        <v>216.00348689034277</v>
      </c>
      <c r="CC132" s="59">
        <f t="shared" ref="CC132:CC195" si="119">CB132+(BT132+BU132)*44/12</f>
        <v>509.33682022367611</v>
      </c>
      <c r="CD132" s="59">
        <f ca="1">AVERAGE(OFFSET($CC$3,0,0,'Données projet'!$E$12+1,1))-AVERAGE(OFFSET($H$3,0,0,'Données projet'!$E$12+1,1))</f>
        <v>280.25710840677186</v>
      </c>
      <c r="CE132" s="59">
        <f t="shared" si="94"/>
        <v>209.65224013288037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133.22748575679782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133.22748575679782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243</v>
      </c>
      <c r="CU132" s="17">
        <f>CT132*VLOOKUP('Données projet'!$B$13,Paramètres!$A$1:$I$89,3,0)*VLOOKUP('Données projet'!$B$13,Paramètres!$A$1:$I$89,5,0)</f>
        <v>253.98360000000002</v>
      </c>
      <c r="CV132" s="13">
        <f t="shared" si="95"/>
        <v>61.438182405444294</v>
      </c>
      <c r="CW132" s="20">
        <f t="shared" ref="CW132:CW153" si="121">(CU132+CV132)*0.475*44/12</f>
        <v>549.35960435614891</v>
      </c>
      <c r="CX132" s="59">
        <f t="shared" ref="CX132:CX195" si="122">CW132+(CO132+CP132)*44/12</f>
        <v>842.69293768948228</v>
      </c>
      <c r="CY132" s="59">
        <f ca="1">AVERAGE(OFFSET($CX$3,0,0,'Données projet'!$E$13+1,1))-AVERAGE(OFFSET($H$3,0,0,'Données projet'!$E$13+1,1))</f>
        <v>330.14201227773452</v>
      </c>
      <c r="CZ132" s="59">
        <f t="shared" si="96"/>
        <v>307.07297894926467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18.359777729079223</v>
      </c>
      <c r="DG132" s="21">
        <f>EXP(-LN(2)/25)*DG131+(1-EXP(-LN(2)/25))/(LN(2)/25)*Calculateur!DB132*Calculateur!DD132*VLOOKUP('Données projet'!$B$13,Paramètres!$A$1:$I$89,3,0)*0.475*44/12</f>
        <v>7.9726407509093553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26.332418479988579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283.73369613548124</v>
      </c>
      <c r="T133" s="59">
        <f t="shared" ref="T133:T196" si="142">$T$3</f>
        <v>249.77804091581208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61.205618682732378</v>
      </c>
      <c r="AA133" s="21">
        <f>EXP(-LN(2)/25)*AA132+(1-EXP(-LN(2)/25))/(LN(2)/25)*Calculateur!V133*Calculateur!X133*VLOOKUP('Données projet'!$B$9,Paramètres!$A$1:$I$89,3,0)*0.475*44/12</f>
        <v>9.4883264717791</v>
      </c>
      <c r="AB133" s="21">
        <f>EXP(-LN(2)/2)*AB132+(1-EXP(-LN(2)/2))/(LN(2)/2)*V133*Y133*VLOOKUP('Données projet'!$B$9,Paramètres!$A$1:$I$89,3,0)*0.475*44/12</f>
        <v>3.4786861923664928E-7</v>
      </c>
      <c r="AC133" s="22">
        <f t="shared" si="111"/>
        <v>70.693945502380103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1.5961632016114892E-13</v>
      </c>
      <c r="AK133" s="13">
        <f t="shared" ref="AK133:AK153" si="143">EXP(-1.0587+0.8836*LN(AJ133)+0.284)</f>
        <v>2.2708641912150958E-12</v>
      </c>
      <c r="AL133" s="20">
        <f t="shared" si="112"/>
        <v>4.2330868906469593E-12</v>
      </c>
      <c r="AM133" s="59">
        <f t="shared" si="113"/>
        <v>293.33333333333752</v>
      </c>
      <c r="AN133" s="59">
        <f ca="1">AVERAGE(OFFSET($AM$3,0,0,'Données projet'!$E$10+1,1))-AVERAGE(OFFSET($H$3,0,0,'Données projet'!$E$10+1,1))</f>
        <v>205.73717397588365</v>
      </c>
      <c r="AO133" s="59">
        <f t="shared" ref="AO133:AO196" si="144">$AO$3</f>
        <v>190.64998698136026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106.79836712995329</v>
      </c>
      <c r="AV133" s="21">
        <f>EXP(-LN(2)/25)*AV132+(1-EXP(-LN(2)/25))/(LN(2)/25)*Calculateur!AQ133*Calculateur!AS133*VLOOKUP('Données projet'!$B$10,Paramètres!$A$1:$I$89,3,0)*0.475*44/12</f>
        <v>21.960592278770726</v>
      </c>
      <c r="AW133" s="21">
        <f>EXP(-LN(2)/2)*AW132+(1-EXP(-LN(2)/2))/(LN(2)/2)*AQ133*AT133*VLOOKUP('Données projet'!$B$10,Paramètres!$A$1:$I$89,3,0)*0.475*44/12</f>
        <v>3.8301573426497604E-3</v>
      </c>
      <c r="AX133" s="21">
        <f t="shared" si="114"/>
        <v>128.76278956606669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-3.1036506698001178E-14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159.92263609041913</v>
      </c>
      <c r="BJ133" s="59">
        <f t="shared" ref="BJ133:BJ196" si="146">$BJ$3</f>
        <v>271.78119133009307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11.345899472190169</v>
      </c>
      <c r="BQ133" s="21">
        <f>EXP(-LN(2)/25)*BQ132+(1-EXP(-LN(2)/25))/(LN(2)/25)*Calculateur!BL133*Calculateur!BN133*VLOOKUP('Données projet'!$B$11,Paramètres!$A$1:$I$89,3,0)*0.475*44/12</f>
        <v>12.36412706437598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23.710026536566147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1.5064102564102591</v>
      </c>
      <c r="BY133" s="12">
        <f>IF('Données projet'!$A$114&gt;35,BY132+BX133-CG132,IF(A133&lt;'Données projet'!$A$114,$BV$205^A133,IF(A133='Données projet'!$A$114,'Données projet'!$B$114,BY132+BX133-CG132)))</f>
        <v>109.40384615384671</v>
      </c>
      <c r="BZ133" s="13">
        <f>BY133*VLOOKUP('Données projet'!$B$12,Paramètres!$A$1:$I$89,3,0)*VLOOKUP('Données projet'!$B$12,Paramètres!$A$1:$I$89,5,0)</f>
        <v>98.988600000000503</v>
      </c>
      <c r="CA133" s="13">
        <f t="shared" ref="CA133:CA153" si="147">EXP(-1.0587+0.8836*LN(BZ133)+0.284)</f>
        <v>26.720903075724102</v>
      </c>
      <c r="CB133" s="20">
        <f t="shared" si="118"/>
        <v>218.94405119022034</v>
      </c>
      <c r="CC133" s="59">
        <f t="shared" si="119"/>
        <v>512.27738452355368</v>
      </c>
      <c r="CD133" s="59">
        <f ca="1">AVERAGE(OFFSET($CC$3,0,0,'Données projet'!$E$12+1,1))-AVERAGE(OFFSET($H$3,0,0,'Données projet'!$E$12+1,1))</f>
        <v>280.25710840677186</v>
      </c>
      <c r="CE133" s="59">
        <f t="shared" ref="CE133:CE196" si="148">$CE$3</f>
        <v>209.65224013288037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130.61497602184949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130.61497602184949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243</v>
      </c>
      <c r="CU133" s="17">
        <f>CT133*VLOOKUP('Données projet'!$B$13,Paramètres!$A$1:$I$89,3,0)*VLOOKUP('Données projet'!$B$13,Paramètres!$A$1:$I$89,5,0)</f>
        <v>253.98360000000002</v>
      </c>
      <c r="CV133" s="13">
        <f t="shared" ref="CV133:CV153" si="149">EXP(-1.0587+0.8836*LN(CU133)+0.284)</f>
        <v>61.438182405444294</v>
      </c>
      <c r="CW133" s="20">
        <f t="shared" si="121"/>
        <v>549.35960435614891</v>
      </c>
      <c r="CX133" s="59">
        <f t="shared" si="122"/>
        <v>842.69293768948228</v>
      </c>
      <c r="CY133" s="59">
        <f ca="1">AVERAGE(OFFSET($CX$3,0,0,'Données projet'!$E$13+1,1))-AVERAGE(OFFSET($H$3,0,0,'Données projet'!$E$13+1,1))</f>
        <v>330.14201227773452</v>
      </c>
      <c r="CZ133" s="59">
        <f t="shared" ref="CZ133:CZ196" si="150">$CZ$3</f>
        <v>307.07297894926467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17.999753686170649</v>
      </c>
      <c r="DG133" s="21">
        <f>EXP(-LN(2)/25)*DG132+(1-EXP(-LN(2)/25))/(LN(2)/25)*Calculateur!DB133*Calculateur!DD133*VLOOKUP('Données projet'!$B$13,Paramètres!$A$1:$I$89,3,0)*0.475*44/12</f>
        <v>7.7546284703127837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25.754382156483434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283.73369613548124</v>
      </c>
      <c r="T134" s="59">
        <f t="shared" si="142"/>
        <v>249.77804091581208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60.005413832105191</v>
      </c>
      <c r="AA134" s="21">
        <f>EXP(-LN(2)/25)*AA133+(1-EXP(-LN(2)/25))/(LN(2)/25)*Calculateur!V134*Calculateur!X134*VLOOKUP('Données projet'!$B$9,Paramètres!$A$1:$I$89,3,0)*0.475*44/12</f>
        <v>9.2288676854388978</v>
      </c>
      <c r="AB134" s="21">
        <f>EXP(-LN(2)/2)*AB133+(1-EXP(-LN(2)/2))/(LN(2)/2)*V134*Y134*VLOOKUP('Données projet'!$B$9,Paramètres!$A$1:$I$89,3,0)*0.475*44/12</f>
        <v>2.4598025962423578E-7</v>
      </c>
      <c r="AC134" s="22">
        <f t="shared" si="111"/>
        <v>69.234281763524351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1.5961632016114892E-13</v>
      </c>
      <c r="AK134" s="13">
        <f t="shared" si="143"/>
        <v>2.2708641912150958E-12</v>
      </c>
      <c r="AL134" s="20">
        <f t="shared" si="112"/>
        <v>4.2330868906469593E-12</v>
      </c>
      <c r="AM134" s="59">
        <f t="shared" si="113"/>
        <v>293.33333333333752</v>
      </c>
      <c r="AN134" s="59">
        <f ca="1">AVERAGE(OFFSET($AM$3,0,0,'Données projet'!$E$10+1,1))-AVERAGE(OFFSET($H$3,0,0,'Données projet'!$E$10+1,1))</f>
        <v>205.73717397588365</v>
      </c>
      <c r="AO134" s="59">
        <f t="shared" si="144"/>
        <v>190.64998698136026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104.70411629110676</v>
      </c>
      <c r="AV134" s="21">
        <f>EXP(-LN(2)/25)*AV133+(1-EXP(-LN(2)/25))/(LN(2)/25)*Calculateur!AQ134*Calculateur!AS134*VLOOKUP('Données projet'!$B$10,Paramètres!$A$1:$I$89,3,0)*0.475*44/12</f>
        <v>21.360078728050382</v>
      </c>
      <c r="AW134" s="21">
        <f>EXP(-LN(2)/2)*AW133+(1-EXP(-LN(2)/2))/(LN(2)/2)*AQ134*AT134*VLOOKUP('Données projet'!$B$10,Paramètres!$A$1:$I$89,3,0)*0.475*44/12</f>
        <v>2.7083302299990928E-3</v>
      </c>
      <c r="AX134" s="21">
        <f t="shared" si="114"/>
        <v>126.06690334938713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-3.1036506698001178E-14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159.92263609041913</v>
      </c>
      <c r="BJ134" s="59">
        <f t="shared" si="146"/>
        <v>271.78119133009307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11.123413303855873</v>
      </c>
      <c r="BQ134" s="21">
        <f>EXP(-LN(2)/25)*BQ133+(1-EXP(-LN(2)/25))/(LN(2)/25)*Calculateur!BL134*Calculateur!BN134*VLOOKUP('Données projet'!$B$11,Paramètres!$A$1:$I$89,3,0)*0.475*44/12</f>
        <v>12.026029359599436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23.149442663455311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110.91025641025641</v>
      </c>
      <c r="BW134" s="12">
        <f>VLOOKUP(A134,'Données projet'!$A$113:$I$133,9,0)</f>
        <v>1.5064102564102591</v>
      </c>
      <c r="BX134" s="12">
        <f t="array" ref="BX134">INDEX(BW:BW,MIN(IF(ISNUMBER(BW134:BW330),ROW(BW134:BW330),"")))</f>
        <v>1.5064102564102591</v>
      </c>
      <c r="BY134" s="12">
        <f>IF('Données projet'!$A$114&gt;35,BY133+BX134-CG133,IF(A134&lt;'Données projet'!$A$114,$BV$205^A134,IF(A134='Données projet'!$A$114,'Données projet'!$B$114,BY133+BX134-CG133)))</f>
        <v>110.91025641025698</v>
      </c>
      <c r="BZ134" s="13">
        <f>BY134*VLOOKUP('Données projet'!$B$12,Paramètres!$A$1:$I$89,3,0)*VLOOKUP('Données projet'!$B$12,Paramètres!$A$1:$I$89,5,0)</f>
        <v>100.3516000000005</v>
      </c>
      <c r="CA134" s="13">
        <f t="shared" si="147"/>
        <v>27.045744281593826</v>
      </c>
      <c r="CB134" s="20">
        <f t="shared" si="118"/>
        <v>221.88370795711012</v>
      </c>
      <c r="CC134" s="59">
        <f t="shared" si="119"/>
        <v>515.21704129044338</v>
      </c>
      <c r="CD134" s="59">
        <f ca="1">AVERAGE(OFFSET($CC$3,0,0,'Données projet'!$E$12+1,1))-AVERAGE(OFFSET($H$3,0,0,'Données projet'!$E$12+1,1))</f>
        <v>280.25710840677186</v>
      </c>
      <c r="CE134" s="59">
        <f t="shared" si="148"/>
        <v>209.65224013288037</v>
      </c>
      <c r="CF134" s="15">
        <f>IF(ISNA(VLOOKUP(A134,'Données projet'!$A$113:$I$133,3,0)),0,VLOOKUP(A134,'Données projet'!$A$113:$I$133,3,0))</f>
        <v>14</v>
      </c>
      <c r="CG134" s="15">
        <f>IF(ISNA(VLOOKUP(A134,'Données projet'!$A$113:$I$133,4,0)),0,VLOOKUP(A134,'Données projet'!$A$113:$I$133,4,0))</f>
        <v>110.91025641025641</v>
      </c>
      <c r="CH134" s="16">
        <f>IF(ISNA(VLOOKUP(A134,'Données projet'!$A$113:$I$133,5,0)),0%,VLOOKUP(A134,'Données projet'!$A$113:$I$133,5,0)*VLOOKUP('Données projet'!$B$12,Paramètres!$A$1:$I$89,7,0))</f>
        <v>0.38700000000000001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170.98582016742182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170.98582016742182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243</v>
      </c>
      <c r="CU134" s="17">
        <f>CT134*VLOOKUP('Données projet'!$B$13,Paramètres!$A$1:$I$89,3,0)*VLOOKUP('Données projet'!$B$13,Paramètres!$A$1:$I$89,5,0)</f>
        <v>253.98360000000002</v>
      </c>
      <c r="CV134" s="13">
        <f t="shared" si="149"/>
        <v>61.438182405444294</v>
      </c>
      <c r="CW134" s="20">
        <f t="shared" si="121"/>
        <v>549.35960435614891</v>
      </c>
      <c r="CX134" s="59">
        <f t="shared" si="122"/>
        <v>842.69293768948228</v>
      </c>
      <c r="CY134" s="59">
        <f ca="1">AVERAGE(OFFSET($CX$3,0,0,'Données projet'!$E$13+1,1))-AVERAGE(OFFSET($H$3,0,0,'Données projet'!$E$13+1,1))</f>
        <v>330.14201227773452</v>
      </c>
      <c r="CZ134" s="59">
        <f t="shared" si="150"/>
        <v>307.07297894926467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17.646789495150529</v>
      </c>
      <c r="DG134" s="21">
        <f>EXP(-LN(2)/25)*DG133+(1-EXP(-LN(2)/25))/(LN(2)/25)*Calculateur!DB134*Calculateur!DD134*VLOOKUP('Données projet'!$B$13,Paramètres!$A$1:$I$89,3,0)*0.475*44/12</f>
        <v>7.5425777469938931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25.189367242144421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283.73369613548124</v>
      </c>
      <c r="T135" s="59">
        <f t="shared" si="142"/>
        <v>249.77804091581208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58.828744266546124</v>
      </c>
      <c r="AA135" s="21">
        <f>EXP(-LN(2)/25)*AA134+(1-EXP(-LN(2)/25))/(LN(2)/25)*Calculateur!V135*Calculateur!X135*VLOOKUP('Données projet'!$B$9,Paramètres!$A$1:$I$89,3,0)*0.475*44/12</f>
        <v>8.9765038132555119</v>
      </c>
      <c r="AB135" s="21">
        <f>EXP(-LN(2)/2)*AB134+(1-EXP(-LN(2)/2))/(LN(2)/2)*V135*Y135*VLOOKUP('Données projet'!$B$9,Paramètres!$A$1:$I$89,3,0)*0.475*44/12</f>
        <v>1.7393430961832464E-7</v>
      </c>
      <c r="AC135" s="22">
        <f t="shared" si="111"/>
        <v>67.80524825373594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1.5961632016114892E-13</v>
      </c>
      <c r="AK135" s="13">
        <f t="shared" si="143"/>
        <v>2.2708641912150958E-12</v>
      </c>
      <c r="AL135" s="20">
        <f t="shared" si="112"/>
        <v>4.2330868906469593E-12</v>
      </c>
      <c r="AM135" s="59">
        <f t="shared" si="113"/>
        <v>293.33333333333752</v>
      </c>
      <c r="AN135" s="59">
        <f ca="1">AVERAGE(OFFSET($AM$3,0,0,'Données projet'!$E$10+1,1))-AVERAGE(OFFSET($H$3,0,0,'Données projet'!$E$10+1,1))</f>
        <v>205.73717397588365</v>
      </c>
      <c r="AO135" s="59">
        <f t="shared" si="144"/>
        <v>190.64998698136026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102.65093243384312</v>
      </c>
      <c r="AV135" s="21">
        <f>EXP(-LN(2)/25)*AV134+(1-EXP(-LN(2)/25))/(LN(2)/25)*Calculateur!AQ135*Calculateur!AS135*VLOOKUP('Données projet'!$B$10,Paramètres!$A$1:$I$89,3,0)*0.475*44/12</f>
        <v>20.775986251954123</v>
      </c>
      <c r="AW135" s="21">
        <f>EXP(-LN(2)/2)*AW134+(1-EXP(-LN(2)/2))/(LN(2)/2)*AQ135*AT135*VLOOKUP('Données projet'!$B$10,Paramètres!$A$1:$I$89,3,0)*0.475*44/12</f>
        <v>1.9150786713248806E-3</v>
      </c>
      <c r="AX135" s="21">
        <f t="shared" si="114"/>
        <v>123.42883376446858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-3.1036506698001178E-14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159.92263609041913</v>
      </c>
      <c r="BJ135" s="59">
        <f t="shared" si="146"/>
        <v>271.78119133009307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10.90528995357945</v>
      </c>
      <c r="BQ135" s="21">
        <f>EXP(-LN(2)/25)*BQ134+(1-EXP(-LN(2)/25))/(LN(2)/25)*Calculateur!BL135*Calculateur!BN135*VLOOKUP('Données projet'!$B$11,Paramètres!$A$1:$I$89,3,0)*0.475*44/12</f>
        <v>11.697176954339792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22.602466907919244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5.6843418860808015E-13</v>
      </c>
      <c r="BZ135" s="13">
        <f>BY135*VLOOKUP('Données projet'!$B$12,Paramètres!$A$1:$I$89,3,0)*VLOOKUP('Données projet'!$B$12,Paramètres!$A$1:$I$89,5,0)</f>
        <v>5.1431925385259092E-13</v>
      </c>
      <c r="CA135" s="13">
        <f t="shared" si="147"/>
        <v>6.3855359115685756E-12</v>
      </c>
      <c r="CB135" s="20">
        <f t="shared" si="118"/>
        <v>1.2017247746441865E-11</v>
      </c>
      <c r="CC135" s="59">
        <f t="shared" si="119"/>
        <v>293.33333333334531</v>
      </c>
      <c r="CD135" s="59">
        <f ca="1">AVERAGE(OFFSET($CC$3,0,0,'Données projet'!$E$12+1,1))-AVERAGE(OFFSET($H$3,0,0,'Données projet'!$E$12+1,1))</f>
        <v>280.25710840677186</v>
      </c>
      <c r="CE135" s="59">
        <f t="shared" si="148"/>
        <v>209.65224013288037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167.63289252499109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167.63289252499109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243</v>
      </c>
      <c r="CU135" s="17">
        <f>CT135*VLOOKUP('Données projet'!$B$13,Paramètres!$A$1:$I$89,3,0)*VLOOKUP('Données projet'!$B$13,Paramètres!$A$1:$I$89,5,0)</f>
        <v>253.98360000000002</v>
      </c>
      <c r="CV135" s="13">
        <f t="shared" si="149"/>
        <v>61.438182405444294</v>
      </c>
      <c r="CW135" s="20">
        <f t="shared" si="121"/>
        <v>549.35960435614891</v>
      </c>
      <c r="CX135" s="59">
        <f t="shared" si="122"/>
        <v>842.69293768948228</v>
      </c>
      <c r="CY135" s="59">
        <f ca="1">AVERAGE(OFFSET($CX$3,0,0,'Données projet'!$E$13+1,1))-AVERAGE(OFFSET($H$3,0,0,'Données projet'!$E$13+1,1))</f>
        <v>330.14201227773452</v>
      </c>
      <c r="CZ135" s="59">
        <f t="shared" si="150"/>
        <v>307.07297894926467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17.300746716629412</v>
      </c>
      <c r="DG135" s="21">
        <f>EXP(-LN(2)/25)*DG134+(1-EXP(-LN(2)/25))/(LN(2)/25)*Calculateur!DB135*Calculateur!DD135*VLOOKUP('Données projet'!$B$13,Paramètres!$A$1:$I$89,3,0)*0.475*44/12</f>
        <v>7.3363255618554204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24.637072278484833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283.73369613548124</v>
      </c>
      <c r="T136" s="59">
        <f t="shared" si="142"/>
        <v>249.77804091581208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57.675148473470102</v>
      </c>
      <c r="AA136" s="21">
        <f>EXP(-LN(2)/25)*AA135+(1-EXP(-LN(2)/25))/(LN(2)/25)*Calculateur!V136*Calculateur!X136*VLOOKUP('Données projet'!$B$9,Paramètres!$A$1:$I$89,3,0)*0.475*44/12</f>
        <v>8.7310408444282199</v>
      </c>
      <c r="AB136" s="21">
        <f>EXP(-LN(2)/2)*AB135+(1-EXP(-LN(2)/2))/(LN(2)/2)*V136*Y136*VLOOKUP('Données projet'!$B$9,Paramètres!$A$1:$I$89,3,0)*0.475*44/12</f>
        <v>1.2299012981211789E-7</v>
      </c>
      <c r="AC136" s="22">
        <f t="shared" si="111"/>
        <v>66.406189440888454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1.5961632016114892E-13</v>
      </c>
      <c r="AK136" s="13">
        <f t="shared" si="143"/>
        <v>2.2708641912150958E-12</v>
      </c>
      <c r="AL136" s="20">
        <f t="shared" si="112"/>
        <v>4.2330868906469593E-12</v>
      </c>
      <c r="AM136" s="59">
        <f t="shared" si="113"/>
        <v>293.33333333333752</v>
      </c>
      <c r="AN136" s="59">
        <f ca="1">AVERAGE(OFFSET($AM$3,0,0,'Données projet'!$E$10+1,1))-AVERAGE(OFFSET($H$3,0,0,'Données projet'!$E$10+1,1))</f>
        <v>205.73717397588365</v>
      </c>
      <c r="AO136" s="59">
        <f t="shared" si="144"/>
        <v>190.64998698136026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100.63801025970193</v>
      </c>
      <c r="AV136" s="21">
        <f>EXP(-LN(2)/25)*AV135+(1-EXP(-LN(2)/25))/(LN(2)/25)*Calculateur!AQ136*Calculateur!AS136*VLOOKUP('Données projet'!$B$10,Paramètres!$A$1:$I$89,3,0)*0.475*44/12</f>
        <v>20.207865815332806</v>
      </c>
      <c r="AW136" s="21">
        <f>EXP(-LN(2)/2)*AW135+(1-EXP(-LN(2)/2))/(LN(2)/2)*AQ136*AT136*VLOOKUP('Données projet'!$B$10,Paramètres!$A$1:$I$89,3,0)*0.475*44/12</f>
        <v>1.3541651149995466E-3</v>
      </c>
      <c r="AX136" s="21">
        <f t="shared" si="114"/>
        <v>120.84723024014974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-3.1036506698001178E-14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159.92263609041913</v>
      </c>
      <c r="BJ136" s="59">
        <f t="shared" si="146"/>
        <v>271.78119133009307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10.691443869159841</v>
      </c>
      <c r="BQ136" s="21">
        <f>EXP(-LN(2)/25)*BQ135+(1-EXP(-LN(2)/25))/(LN(2)/25)*Calculateur!BL136*Calculateur!BN136*VLOOKUP('Données projet'!$B$11,Paramètres!$A$1:$I$89,3,0)*0.475*44/12</f>
        <v>11.377317035395569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22.068760904555411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5.6843418860808015E-13</v>
      </c>
      <c r="BZ136" s="13">
        <f>BY136*VLOOKUP('Données projet'!$B$12,Paramètres!$A$1:$I$89,3,0)*VLOOKUP('Données projet'!$B$12,Paramètres!$A$1:$I$89,5,0)</f>
        <v>5.1431925385259092E-13</v>
      </c>
      <c r="CA136" s="13">
        <f t="shared" si="147"/>
        <v>6.3855359115685756E-12</v>
      </c>
      <c r="CB136" s="20">
        <f t="shared" si="118"/>
        <v>1.2017247746441865E-11</v>
      </c>
      <c r="CC136" s="59">
        <f t="shared" si="119"/>
        <v>293.33333333334531</v>
      </c>
      <c r="CD136" s="59">
        <f ca="1">AVERAGE(OFFSET($CC$3,0,0,'Données projet'!$E$12+1,1))-AVERAGE(OFFSET($H$3,0,0,'Données projet'!$E$12+1,1))</f>
        <v>280.25710840677186</v>
      </c>
      <c r="CE136" s="59">
        <f t="shared" si="148"/>
        <v>209.65224013288037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164.34571374854451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164.34571374854451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243</v>
      </c>
      <c r="CU136" s="17">
        <f>CT136*VLOOKUP('Données projet'!$B$13,Paramètres!$A$1:$I$89,3,0)*VLOOKUP('Données projet'!$B$13,Paramètres!$A$1:$I$89,5,0)</f>
        <v>253.98360000000002</v>
      </c>
      <c r="CV136" s="13">
        <f t="shared" si="149"/>
        <v>61.438182405444294</v>
      </c>
      <c r="CW136" s="20">
        <f t="shared" si="121"/>
        <v>549.35960435614891</v>
      </c>
      <c r="CX136" s="59">
        <f t="shared" si="122"/>
        <v>842.69293768948228</v>
      </c>
      <c r="CY136" s="59">
        <f ca="1">AVERAGE(OFFSET($CX$3,0,0,'Données projet'!$E$13+1,1))-AVERAGE(OFFSET($H$3,0,0,'Données projet'!$E$13+1,1))</f>
        <v>330.14201227773452</v>
      </c>
      <c r="CZ136" s="59">
        <f t="shared" si="150"/>
        <v>307.07297894926467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16.961489625929843</v>
      </c>
      <c r="DG136" s="21">
        <f>EXP(-LN(2)/25)*DG135+(1-EXP(-LN(2)/25))/(LN(2)/25)*Calculateur!DB136*Calculateur!DD136*VLOOKUP('Données projet'!$B$13,Paramètres!$A$1:$I$89,3,0)*0.475*44/12</f>
        <v>7.1357133535658903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24.097202979495734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283.73369613548124</v>
      </c>
      <c r="T137" s="59">
        <f t="shared" si="142"/>
        <v>249.77804091581208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56.544173990272348</v>
      </c>
      <c r="AA137" s="21">
        <f>EXP(-LN(2)/25)*AA136+(1-EXP(-LN(2)/25))/(LN(2)/25)*Calculateur!V137*Calculateur!X137*VLOOKUP('Données projet'!$B$9,Paramètres!$A$1:$I$89,3,0)*0.475*44/12</f>
        <v>8.4922900733918478</v>
      </c>
      <c r="AB137" s="21">
        <f>EXP(-LN(2)/2)*AB136+(1-EXP(-LN(2)/2))/(LN(2)/2)*V137*Y137*VLOOKUP('Données projet'!$B$9,Paramètres!$A$1:$I$89,3,0)*0.475*44/12</f>
        <v>8.6967154809162319E-8</v>
      </c>
      <c r="AC137" s="22">
        <f t="shared" si="111"/>
        <v>65.036464150631346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1.5961632016114892E-13</v>
      </c>
      <c r="AK137" s="13">
        <f t="shared" si="143"/>
        <v>2.2708641912150958E-12</v>
      </c>
      <c r="AL137" s="20">
        <f t="shared" si="112"/>
        <v>4.2330868906469593E-12</v>
      </c>
      <c r="AM137" s="59">
        <f t="shared" si="113"/>
        <v>293.33333333333752</v>
      </c>
      <c r="AN137" s="59">
        <f ca="1">AVERAGE(OFFSET($AM$3,0,0,'Données projet'!$E$10+1,1))-AVERAGE(OFFSET($H$3,0,0,'Données projet'!$E$10+1,1))</f>
        <v>205.73717397588365</v>
      </c>
      <c r="AO137" s="59">
        <f t="shared" si="144"/>
        <v>190.64998698136026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98.66456026163435</v>
      </c>
      <c r="AV137" s="21">
        <f>EXP(-LN(2)/25)*AV136+(1-EXP(-LN(2)/25))/(LN(2)/25)*Calculateur!AQ137*Calculateur!AS137*VLOOKUP('Données projet'!$B$10,Paramètres!$A$1:$I$89,3,0)*0.475*44/12</f>
        <v>19.655280661927051</v>
      </c>
      <c r="AW137" s="21">
        <f>EXP(-LN(2)/2)*AW136+(1-EXP(-LN(2)/2))/(LN(2)/2)*AQ137*AT137*VLOOKUP('Données projet'!$B$10,Paramètres!$A$1:$I$89,3,0)*0.475*44/12</f>
        <v>9.5753933566244042E-4</v>
      </c>
      <c r="AX137" s="21">
        <f t="shared" si="114"/>
        <v>118.32079846289706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-3.1036506698001178E-14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159.92263609041913</v>
      </c>
      <c r="BJ137" s="59">
        <f t="shared" si="146"/>
        <v>271.78119133009307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10.481791176022467</v>
      </c>
      <c r="BQ137" s="21">
        <f>EXP(-LN(2)/25)*BQ136+(1-EXP(-LN(2)/25))/(LN(2)/25)*Calculateur!BL137*Calculateur!BN137*VLOOKUP('Données projet'!$B$11,Paramètres!$A$1:$I$89,3,0)*0.475*44/12</f>
        <v>11.066203702755578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21.547994878778045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5.6843418860808015E-13</v>
      </c>
      <c r="BZ137" s="13">
        <f>BY137*VLOOKUP('Données projet'!$B$12,Paramètres!$A$1:$I$89,3,0)*VLOOKUP('Données projet'!$B$12,Paramètres!$A$1:$I$89,5,0)</f>
        <v>5.1431925385259092E-13</v>
      </c>
      <c r="CA137" s="13">
        <f t="shared" si="147"/>
        <v>6.3855359115685756E-12</v>
      </c>
      <c r="CB137" s="20">
        <f t="shared" si="118"/>
        <v>1.2017247746441865E-11</v>
      </c>
      <c r="CC137" s="59">
        <f t="shared" si="119"/>
        <v>293.33333333334531</v>
      </c>
      <c r="CD137" s="59">
        <f ca="1">AVERAGE(OFFSET($CC$3,0,0,'Données projet'!$E$12+1,1))-AVERAGE(OFFSET($H$3,0,0,'Données projet'!$E$12+1,1))</f>
        <v>280.25710840677186</v>
      </c>
      <c r="CE137" s="59">
        <f t="shared" si="148"/>
        <v>209.65224013288037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161.12299454292295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161.12299454292295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243</v>
      </c>
      <c r="CU137" s="17">
        <f>CT137*VLOOKUP('Données projet'!$B$13,Paramètres!$A$1:$I$89,3,0)*VLOOKUP('Données projet'!$B$13,Paramètres!$A$1:$I$89,5,0)</f>
        <v>253.98360000000002</v>
      </c>
      <c r="CV137" s="13">
        <f t="shared" si="149"/>
        <v>61.438182405444294</v>
      </c>
      <c r="CW137" s="20">
        <f t="shared" si="121"/>
        <v>549.35960435614891</v>
      </c>
      <c r="CX137" s="59">
        <f t="shared" si="122"/>
        <v>842.69293768948228</v>
      </c>
      <c r="CY137" s="59">
        <f ca="1">AVERAGE(OFFSET($CX$3,0,0,'Données projet'!$E$13+1,1))-AVERAGE(OFFSET($H$3,0,0,'Données projet'!$E$13+1,1))</f>
        <v>330.14201227773452</v>
      </c>
      <c r="CZ137" s="59">
        <f t="shared" si="150"/>
        <v>307.07297894926467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16.628885159852498</v>
      </c>
      <c r="DG137" s="21">
        <f>EXP(-LN(2)/25)*DG136+(1-EXP(-LN(2)/25))/(LN(2)/25)*Calculateur!DB137*Calculateur!DD137*VLOOKUP('Données projet'!$B$13,Paramètres!$A$1:$I$89,3,0)*0.475*44/12</f>
        <v>6.9405868966617748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23.569472056514272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283.73369613548124</v>
      </c>
      <c r="T138" s="59">
        <f t="shared" si="142"/>
        <v>249.77804091581208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55.435377226863778</v>
      </c>
      <c r="AA138" s="21">
        <f>EXP(-LN(2)/25)*AA137+(1-EXP(-LN(2)/25))/(LN(2)/25)*Calculateur!V138*Calculateur!X138*VLOOKUP('Données projet'!$B$9,Paramètres!$A$1:$I$89,3,0)*0.475*44/12</f>
        <v>8.260067954744823</v>
      </c>
      <c r="AB138" s="21">
        <f>EXP(-LN(2)/2)*AB137+(1-EXP(-LN(2)/2))/(LN(2)/2)*V138*Y138*VLOOKUP('Données projet'!$B$9,Paramètres!$A$1:$I$89,3,0)*0.475*44/12</f>
        <v>6.1495064906058944E-8</v>
      </c>
      <c r="AC138" s="22">
        <f t="shared" si="111"/>
        <v>63.69544524310367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1.5961632016114892E-13</v>
      </c>
      <c r="AK138" s="13">
        <f t="shared" si="143"/>
        <v>2.2708641912150958E-12</v>
      </c>
      <c r="AL138" s="20">
        <f t="shared" si="112"/>
        <v>4.2330868906469593E-12</v>
      </c>
      <c r="AM138" s="59">
        <f t="shared" si="113"/>
        <v>293.33333333333752</v>
      </c>
      <c r="AN138" s="59">
        <f ca="1">AVERAGE(OFFSET($AM$3,0,0,'Données projet'!$E$10+1,1))-AVERAGE(OFFSET($H$3,0,0,'Données projet'!$E$10+1,1))</f>
        <v>205.73717397588365</v>
      </c>
      <c r="AO138" s="59">
        <f t="shared" si="144"/>
        <v>190.64998698136026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96.729808414343239</v>
      </c>
      <c r="AV138" s="21">
        <f>EXP(-LN(2)/25)*AV137+(1-EXP(-LN(2)/25))/(LN(2)/25)*Calculateur!AQ138*Calculateur!AS138*VLOOKUP('Données projet'!$B$10,Paramètres!$A$1:$I$89,3,0)*0.475*44/12</f>
        <v>19.117805978600369</v>
      </c>
      <c r="AW138" s="21">
        <f>EXP(-LN(2)/2)*AW137+(1-EXP(-LN(2)/2))/(LN(2)/2)*AQ138*AT138*VLOOKUP('Données projet'!$B$10,Paramètres!$A$1:$I$89,3,0)*0.475*44/12</f>
        <v>6.7708255749977342E-4</v>
      </c>
      <c r="AX138" s="21">
        <f t="shared" si="114"/>
        <v>115.84829147550111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-3.1036506698001178E-14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159.92263609041913</v>
      </c>
      <c r="BJ138" s="59">
        <f t="shared" si="146"/>
        <v>271.78119133009307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10.276249644322002</v>
      </c>
      <c r="BQ138" s="21">
        <f>EXP(-LN(2)/25)*BQ137+(1-EXP(-LN(2)/25))/(LN(2)/25)*Calculateur!BL138*Calculateur!BN138*VLOOKUP('Données projet'!$B$11,Paramètres!$A$1:$I$89,3,0)*0.475*44/12</f>
        <v>10.763597780557365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21.039847424879369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5.6843418860808015E-13</v>
      </c>
      <c r="BZ138" s="13">
        <f>BY138*VLOOKUP('Données projet'!$B$12,Paramètres!$A$1:$I$89,3,0)*VLOOKUP('Données projet'!$B$12,Paramètres!$A$1:$I$89,5,0)</f>
        <v>5.1431925385259092E-13</v>
      </c>
      <c r="CA138" s="13">
        <f t="shared" si="147"/>
        <v>6.3855359115685756E-12</v>
      </c>
      <c r="CB138" s="20">
        <f t="shared" si="118"/>
        <v>1.2017247746441865E-11</v>
      </c>
      <c r="CC138" s="59">
        <f t="shared" si="119"/>
        <v>293.33333333334531</v>
      </c>
      <c r="CD138" s="59">
        <f ca="1">AVERAGE(OFFSET($CC$3,0,0,'Données projet'!$E$12+1,1))-AVERAGE(OFFSET($H$3,0,0,'Données projet'!$E$12+1,1))</f>
        <v>280.25710840677186</v>
      </c>
      <c r="CE138" s="59">
        <f t="shared" si="148"/>
        <v>209.65224013288037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157.96347089525904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157.96347089525904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243</v>
      </c>
      <c r="CU138" s="17">
        <f>CT138*VLOOKUP('Données projet'!$B$13,Paramètres!$A$1:$I$89,3,0)*VLOOKUP('Données projet'!$B$13,Paramètres!$A$1:$I$89,5,0)</f>
        <v>253.98360000000002</v>
      </c>
      <c r="CV138" s="13">
        <f t="shared" si="149"/>
        <v>61.438182405444294</v>
      </c>
      <c r="CW138" s="20">
        <f t="shared" si="121"/>
        <v>549.35960435614891</v>
      </c>
      <c r="CX138" s="59">
        <f t="shared" si="122"/>
        <v>842.69293768948228</v>
      </c>
      <c r="CY138" s="59">
        <f ca="1">AVERAGE(OFFSET($CX$3,0,0,'Données projet'!$E$13+1,1))-AVERAGE(OFFSET($H$3,0,0,'Données projet'!$E$13+1,1))</f>
        <v>330.14201227773452</v>
      </c>
      <c r="CZ138" s="59">
        <f t="shared" si="150"/>
        <v>307.07297894926467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16.302802864486239</v>
      </c>
      <c r="DG138" s="21">
        <f>EXP(-LN(2)/25)*DG137+(1-EXP(-LN(2)/25))/(LN(2)/25)*Calculateur!DB138*Calculateur!DD138*VLOOKUP('Données projet'!$B$13,Paramètres!$A$1:$I$89,3,0)*0.475*44/12</f>
        <v>6.7507961829829561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23.053599047469195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283.73369613548124</v>
      </c>
      <c r="T139" s="59">
        <f t="shared" si="142"/>
        <v>249.77804091581208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54.348323291686405</v>
      </c>
      <c r="AA139" s="21">
        <f>EXP(-LN(2)/25)*AA138+(1-EXP(-LN(2)/25))/(LN(2)/25)*Calculateur!V139*Calculateur!X139*VLOOKUP('Données projet'!$B$9,Paramètres!$A$1:$I$89,3,0)*0.475*44/12</f>
        <v>8.0341959621442314</v>
      </c>
      <c r="AB139" s="21">
        <f>EXP(-LN(2)/2)*AB138+(1-EXP(-LN(2)/2))/(LN(2)/2)*V139*Y139*VLOOKUP('Données projet'!$B$9,Paramètres!$A$1:$I$89,3,0)*0.475*44/12</f>
        <v>4.348357740458116E-8</v>
      </c>
      <c r="AC139" s="22">
        <f t="shared" si="111"/>
        <v>62.382519297314211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1.5961632016114892E-13</v>
      </c>
      <c r="AK139" s="13">
        <f t="shared" si="143"/>
        <v>2.2708641912150958E-12</v>
      </c>
      <c r="AL139" s="20">
        <f t="shared" si="112"/>
        <v>4.2330868906469593E-12</v>
      </c>
      <c r="AM139" s="59">
        <f t="shared" si="113"/>
        <v>293.33333333333752</v>
      </c>
      <c r="AN139" s="59">
        <f ca="1">AVERAGE(OFFSET($AM$3,0,0,'Données projet'!$E$10+1,1))-AVERAGE(OFFSET($H$3,0,0,'Données projet'!$E$10+1,1))</f>
        <v>205.73717397588365</v>
      </c>
      <c r="AO139" s="59">
        <f t="shared" si="144"/>
        <v>190.64998698136026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94.832995870695399</v>
      </c>
      <c r="AV139" s="21">
        <f>EXP(-LN(2)/25)*AV138+(1-EXP(-LN(2)/25))/(LN(2)/25)*Calculateur!AQ139*Calculateur!AS139*VLOOKUP('Données projet'!$B$10,Paramètres!$A$1:$I$89,3,0)*0.475*44/12</f>
        <v>18.595028568753822</v>
      </c>
      <c r="AW139" s="21">
        <f>EXP(-LN(2)/2)*AW138+(1-EXP(-LN(2)/2))/(LN(2)/2)*AQ139*AT139*VLOOKUP('Données projet'!$B$10,Paramètres!$A$1:$I$89,3,0)*0.475*44/12</f>
        <v>4.7876966783122032E-4</v>
      </c>
      <c r="AX139" s="21">
        <f t="shared" si="114"/>
        <v>113.42850320911705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-3.1036506698001178E-14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159.92263609041913</v>
      </c>
      <c r="BJ139" s="59">
        <f t="shared" si="146"/>
        <v>271.78119133009307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10.074738656690228</v>
      </c>
      <c r="BQ139" s="21">
        <f>EXP(-LN(2)/25)*BQ138+(1-EXP(-LN(2)/25))/(LN(2)/25)*Calculateur!BL139*Calculateur!BN139*VLOOKUP('Données projet'!$B$11,Paramètres!$A$1:$I$89,3,0)*0.475*44/12</f>
        <v>10.469266633215017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20.544005289905243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5.6843418860808015E-13</v>
      </c>
      <c r="BZ139" s="13">
        <f>BY139*VLOOKUP('Données projet'!$B$12,Paramètres!$A$1:$I$89,3,0)*VLOOKUP('Données projet'!$B$12,Paramètres!$A$1:$I$89,5,0)</f>
        <v>5.1431925385259092E-13</v>
      </c>
      <c r="CA139" s="13">
        <f t="shared" si="147"/>
        <v>6.3855359115685756E-12</v>
      </c>
      <c r="CB139" s="20">
        <f t="shared" si="118"/>
        <v>1.2017247746441865E-11</v>
      </c>
      <c r="CC139" s="59">
        <f t="shared" si="119"/>
        <v>293.33333333334531</v>
      </c>
      <c r="CD139" s="59">
        <f ca="1">AVERAGE(OFFSET($CC$3,0,0,'Données projet'!$E$12+1,1))-AVERAGE(OFFSET($H$3,0,0,'Données projet'!$E$12+1,1))</f>
        <v>280.25710840677186</v>
      </c>
      <c r="CE139" s="59">
        <f t="shared" si="148"/>
        <v>209.65224013288037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154.86590357920664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154.86590357920664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243</v>
      </c>
      <c r="CU139" s="17">
        <f>CT139*VLOOKUP('Données projet'!$B$13,Paramètres!$A$1:$I$89,3,0)*VLOOKUP('Données projet'!$B$13,Paramètres!$A$1:$I$89,5,0)</f>
        <v>253.98360000000002</v>
      </c>
      <c r="CV139" s="13">
        <f t="shared" si="149"/>
        <v>61.438182405444294</v>
      </c>
      <c r="CW139" s="20">
        <f t="shared" si="121"/>
        <v>549.35960435614891</v>
      </c>
      <c r="CX139" s="59">
        <f t="shared" si="122"/>
        <v>842.69293768948228</v>
      </c>
      <c r="CY139" s="59">
        <f ca="1">AVERAGE(OFFSET($CX$3,0,0,'Données projet'!$E$13+1,1))-AVERAGE(OFFSET($H$3,0,0,'Données projet'!$E$13+1,1))</f>
        <v>330.14201227773452</v>
      </c>
      <c r="CZ139" s="59">
        <f t="shared" si="150"/>
        <v>307.07297894926467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15.98311484404155</v>
      </c>
      <c r="DG139" s="21">
        <f>EXP(-LN(2)/25)*DG138+(1-EXP(-LN(2)/25))/(LN(2)/25)*Calculateur!DB139*Calculateur!DD139*VLOOKUP('Données projet'!$B$13,Paramètres!$A$1:$I$89,3,0)*0.475*44/12</f>
        <v>6.5661953063503447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22.549310150391896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283.73369613548124</v>
      </c>
      <c r="T140" s="59">
        <f t="shared" si="142"/>
        <v>249.77804091581208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53.28258582114043</v>
      </c>
      <c r="AA140" s="21">
        <f>EXP(-LN(2)/25)*AA139+(1-EXP(-LN(2)/25))/(LN(2)/25)*Calculateur!V140*Calculateur!X140*VLOOKUP('Données projet'!$B$9,Paramètres!$A$1:$I$89,3,0)*0.475*44/12</f>
        <v>7.8145004510593941</v>
      </c>
      <c r="AB140" s="21">
        <f>EXP(-LN(2)/2)*AB139+(1-EXP(-LN(2)/2))/(LN(2)/2)*V140*Y140*VLOOKUP('Données projet'!$B$9,Paramètres!$A$1:$I$89,3,0)*0.475*44/12</f>
        <v>3.0747532453029472E-8</v>
      </c>
      <c r="AC140" s="22">
        <f t="shared" si="111"/>
        <v>61.097086302947353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1.5961632016114892E-13</v>
      </c>
      <c r="AK140" s="13">
        <f t="shared" si="143"/>
        <v>2.2708641912150958E-12</v>
      </c>
      <c r="AL140" s="20">
        <f t="shared" si="112"/>
        <v>4.2330868906469593E-12</v>
      </c>
      <c r="AM140" s="59">
        <f t="shared" si="113"/>
        <v>293.33333333333752</v>
      </c>
      <c r="AN140" s="59">
        <f ca="1">AVERAGE(OFFSET($AM$3,0,0,'Données projet'!$E$10+1,1))-AVERAGE(OFFSET($H$3,0,0,'Données projet'!$E$10+1,1))</f>
        <v>205.73717397588365</v>
      </c>
      <c r="AO140" s="59">
        <f t="shared" si="144"/>
        <v>190.64998698136026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92.973378664087079</v>
      </c>
      <c r="AV140" s="21">
        <f>EXP(-LN(2)/25)*AV139+(1-EXP(-LN(2)/25))/(LN(2)/25)*Calculateur!AQ140*Calculateur!AS140*VLOOKUP('Données projet'!$B$10,Paramètres!$A$1:$I$89,3,0)*0.475*44/12</f>
        <v>18.086546534671196</v>
      </c>
      <c r="AW140" s="21">
        <f>EXP(-LN(2)/2)*AW139+(1-EXP(-LN(2)/2))/(LN(2)/2)*AQ140*AT140*VLOOKUP('Données projet'!$B$10,Paramètres!$A$1:$I$89,3,0)*0.475*44/12</f>
        <v>3.3854127874988676E-4</v>
      </c>
      <c r="AX140" s="21">
        <f t="shared" si="114"/>
        <v>111.06026374003703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-3.1036506698001178E-14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159.92263609041913</v>
      </c>
      <c r="BJ140" s="59">
        <f t="shared" si="146"/>
        <v>271.78119133009307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9.8771791766163464</v>
      </c>
      <c r="BQ140" s="21">
        <f>EXP(-LN(2)/25)*BQ139+(1-EXP(-LN(2)/25))/(LN(2)/25)*Calculateur!BL140*Calculateur!BN140*VLOOKUP('Données projet'!$B$11,Paramètres!$A$1:$I$89,3,0)*0.475*44/12</f>
        <v>10.182983986574948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20.060163163191294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5.6843418860808015E-13</v>
      </c>
      <c r="BZ140" s="13">
        <f>BY140*VLOOKUP('Données projet'!$B$12,Paramètres!$A$1:$I$89,3,0)*VLOOKUP('Données projet'!$B$12,Paramètres!$A$1:$I$89,5,0)</f>
        <v>5.1431925385259092E-13</v>
      </c>
      <c r="CA140" s="13">
        <f t="shared" si="147"/>
        <v>6.3855359115685756E-12</v>
      </c>
      <c r="CB140" s="20">
        <f t="shared" si="118"/>
        <v>1.2017247746441865E-11</v>
      </c>
      <c r="CC140" s="59">
        <f t="shared" si="119"/>
        <v>293.33333333334531</v>
      </c>
      <c r="CD140" s="59">
        <f ca="1">AVERAGE(OFFSET($CC$3,0,0,'Données projet'!$E$12+1,1))-AVERAGE(OFFSET($H$3,0,0,'Données projet'!$E$12+1,1))</f>
        <v>280.25710840677186</v>
      </c>
      <c r="CE140" s="59">
        <f t="shared" si="148"/>
        <v>209.65224013288037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151.82907766889255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151.82907766889255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243</v>
      </c>
      <c r="CU140" s="17">
        <f>CT140*VLOOKUP('Données projet'!$B$13,Paramètres!$A$1:$I$89,3,0)*VLOOKUP('Données projet'!$B$13,Paramètres!$A$1:$I$89,5,0)</f>
        <v>253.98360000000002</v>
      </c>
      <c r="CV140" s="13">
        <f t="shared" si="149"/>
        <v>61.438182405444294</v>
      </c>
      <c r="CW140" s="20">
        <f t="shared" si="121"/>
        <v>549.35960435614891</v>
      </c>
      <c r="CX140" s="59">
        <f t="shared" si="122"/>
        <v>842.69293768948228</v>
      </c>
      <c r="CY140" s="59">
        <f ca="1">AVERAGE(OFFSET($CX$3,0,0,'Données projet'!$E$13+1,1))-AVERAGE(OFFSET($H$3,0,0,'Données projet'!$E$13+1,1))</f>
        <v>330.14201227773452</v>
      </c>
      <c r="CZ140" s="59">
        <f t="shared" si="150"/>
        <v>307.07297894926467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15.669695710687343</v>
      </c>
      <c r="DG140" s="21">
        <f>EXP(-LN(2)/25)*DG139+(1-EXP(-LN(2)/25))/(LN(2)/25)*Calculateur!DB140*Calculateur!DD140*VLOOKUP('Données projet'!$B$13,Paramètres!$A$1:$I$89,3,0)*0.475*44/12</f>
        <v>6.3866423503969907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22.056338061084332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283.73369613548124</v>
      </c>
      <c r="T141" s="59">
        <f t="shared" si="142"/>
        <v>249.77804091581208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52.237746812356193</v>
      </c>
      <c r="AA141" s="21">
        <f>EXP(-LN(2)/25)*AA140+(1-EXP(-LN(2)/25))/(LN(2)/25)*Calculateur!V141*Calculateur!X141*VLOOKUP('Données projet'!$B$9,Paramètres!$A$1:$I$89,3,0)*0.475*44/12</f>
        <v>7.6008125252784566</v>
      </c>
      <c r="AB141" s="21">
        <f>EXP(-LN(2)/2)*AB140+(1-EXP(-LN(2)/2))/(LN(2)/2)*V141*Y141*VLOOKUP('Données projet'!$B$9,Paramètres!$A$1:$I$89,3,0)*0.475*44/12</f>
        <v>2.174178870229058E-8</v>
      </c>
      <c r="AC141" s="22">
        <f t="shared" si="111"/>
        <v>59.83855935937644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1.5961632016114892E-13</v>
      </c>
      <c r="AK141" s="13">
        <f t="shared" si="143"/>
        <v>2.2708641912150958E-12</v>
      </c>
      <c r="AL141" s="20">
        <f t="shared" si="112"/>
        <v>4.2330868906469593E-12</v>
      </c>
      <c r="AM141" s="59">
        <f t="shared" si="113"/>
        <v>293.33333333333752</v>
      </c>
      <c r="AN141" s="59">
        <f ca="1">AVERAGE(OFFSET($AM$3,0,0,'Données projet'!$E$10+1,1))-AVERAGE(OFFSET($H$3,0,0,'Données projet'!$E$10+1,1))</f>
        <v>205.73717397588365</v>
      </c>
      <c r="AO141" s="59">
        <f t="shared" si="144"/>
        <v>190.64998698136026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91.150227416645848</v>
      </c>
      <c r="AV141" s="21">
        <f>EXP(-LN(2)/25)*AV140+(1-EXP(-LN(2)/25))/(LN(2)/25)*Calculateur!AQ141*Calculateur!AS141*VLOOKUP('Données projet'!$B$10,Paramètres!$A$1:$I$89,3,0)*0.475*44/12</f>
        <v>17.591968968550468</v>
      </c>
      <c r="AW141" s="21">
        <f>EXP(-LN(2)/2)*AW140+(1-EXP(-LN(2)/2))/(LN(2)/2)*AQ141*AT141*VLOOKUP('Données projet'!$B$10,Paramètres!$A$1:$I$89,3,0)*0.475*44/12</f>
        <v>2.3938483391561019E-4</v>
      </c>
      <c r="AX141" s="21">
        <f t="shared" si="114"/>
        <v>108.74243577003023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-3.1036506698001178E-14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159.92263609041913</v>
      </c>
      <c r="BJ141" s="59">
        <f t="shared" si="146"/>
        <v>271.78119133009307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9.6834937174473286</v>
      </c>
      <c r="BQ141" s="21">
        <f>EXP(-LN(2)/25)*BQ140+(1-EXP(-LN(2)/25))/(LN(2)/25)*Calculateur!BL141*Calculateur!BN141*VLOOKUP('Données projet'!$B$11,Paramètres!$A$1:$I$89,3,0)*0.475*44/12</f>
        <v>9.9045297539622013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19.588023471409528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5.6843418860808015E-13</v>
      </c>
      <c r="BZ141" s="13">
        <f>BY141*VLOOKUP('Données projet'!$B$12,Paramètres!$A$1:$I$89,3,0)*VLOOKUP('Données projet'!$B$12,Paramètres!$A$1:$I$89,5,0)</f>
        <v>5.1431925385259092E-13</v>
      </c>
      <c r="CA141" s="13">
        <f t="shared" si="147"/>
        <v>6.3855359115685756E-12</v>
      </c>
      <c r="CB141" s="20">
        <f t="shared" si="118"/>
        <v>1.2017247746441865E-11</v>
      </c>
      <c r="CC141" s="59">
        <f t="shared" si="119"/>
        <v>293.33333333334531</v>
      </c>
      <c r="CD141" s="59">
        <f ca="1">AVERAGE(OFFSET($CC$3,0,0,'Données projet'!$E$12+1,1))-AVERAGE(OFFSET($H$3,0,0,'Données projet'!$E$12+1,1))</f>
        <v>280.25710840677186</v>
      </c>
      <c r="CE141" s="59">
        <f t="shared" si="148"/>
        <v>209.65224013288037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148.8518020623988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148.8518020623988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243</v>
      </c>
      <c r="CU141" s="17">
        <f>CT141*VLOOKUP('Données projet'!$B$13,Paramètres!$A$1:$I$89,3,0)*VLOOKUP('Données projet'!$B$13,Paramètres!$A$1:$I$89,5,0)</f>
        <v>253.98360000000002</v>
      </c>
      <c r="CV141" s="13">
        <f t="shared" si="149"/>
        <v>61.438182405444294</v>
      </c>
      <c r="CW141" s="20">
        <f t="shared" si="121"/>
        <v>549.35960435614891</v>
      </c>
      <c r="CX141" s="59">
        <f t="shared" si="122"/>
        <v>842.69293768948228</v>
      </c>
      <c r="CY141" s="59">
        <f ca="1">AVERAGE(OFFSET($CX$3,0,0,'Données projet'!$E$13+1,1))-AVERAGE(OFFSET($H$3,0,0,'Données projet'!$E$13+1,1))</f>
        <v>330.14201227773452</v>
      </c>
      <c r="CZ141" s="59">
        <f t="shared" si="150"/>
        <v>307.07297894926467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15.362422535371415</v>
      </c>
      <c r="DG141" s="21">
        <f>EXP(-LN(2)/25)*DG140+(1-EXP(-LN(2)/25))/(LN(2)/25)*Calculateur!DB141*Calculateur!DD141*VLOOKUP('Données projet'!$B$13,Paramètres!$A$1:$I$89,3,0)*0.475*44/12</f>
        <v>6.2119992794664602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21.574421814837876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283.73369613548124</v>
      </c>
      <c r="T142" s="59">
        <f t="shared" si="142"/>
        <v>249.77804091581208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51.213396459245345</v>
      </c>
      <c r="AA142" s="21">
        <f>EXP(-LN(2)/25)*AA141+(1-EXP(-LN(2)/25))/(LN(2)/25)*Calculateur!V142*Calculateur!X142*VLOOKUP('Données projet'!$B$9,Paramètres!$A$1:$I$89,3,0)*0.475*44/12</f>
        <v>7.3929679070653584</v>
      </c>
      <c r="AB142" s="21">
        <f>EXP(-LN(2)/2)*AB141+(1-EXP(-LN(2)/2))/(LN(2)/2)*V142*Y142*VLOOKUP('Données projet'!$B$9,Paramètres!$A$1:$I$89,3,0)*0.475*44/12</f>
        <v>1.5373766226514736E-8</v>
      </c>
      <c r="AC142" s="22">
        <f t="shared" si="111"/>
        <v>58.606364381684465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1.5961632016114892E-13</v>
      </c>
      <c r="AK142" s="13">
        <f t="shared" si="143"/>
        <v>2.2708641912150958E-12</v>
      </c>
      <c r="AL142" s="20">
        <f t="shared" si="112"/>
        <v>4.2330868906469593E-12</v>
      </c>
      <c r="AM142" s="59">
        <f t="shared" si="113"/>
        <v>293.33333333333752</v>
      </c>
      <c r="AN142" s="59">
        <f ca="1">AVERAGE(OFFSET($AM$3,0,0,'Données projet'!$E$10+1,1))-AVERAGE(OFFSET($H$3,0,0,'Données projet'!$E$10+1,1))</f>
        <v>205.73717397588365</v>
      </c>
      <c r="AO142" s="59">
        <f t="shared" si="144"/>
        <v>190.64998698136026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89.36282705315449</v>
      </c>
      <c r="AV142" s="21">
        <f>EXP(-LN(2)/25)*AV141+(1-EXP(-LN(2)/25))/(LN(2)/25)*Calculateur!AQ142*Calculateur!AS142*VLOOKUP('Données projet'!$B$10,Paramètres!$A$1:$I$89,3,0)*0.475*44/12</f>
        <v>17.110915651984016</v>
      </c>
      <c r="AW142" s="21">
        <f>EXP(-LN(2)/2)*AW141+(1-EXP(-LN(2)/2))/(LN(2)/2)*AQ142*AT142*VLOOKUP('Données projet'!$B$10,Paramètres!$A$1:$I$89,3,0)*0.475*44/12</f>
        <v>1.6927063937494341E-4</v>
      </c>
      <c r="AX142" s="21">
        <f t="shared" si="114"/>
        <v>106.47391197577788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-3.1036506698001178E-14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159.92263609041913</v>
      </c>
      <c r="BJ142" s="59">
        <f t="shared" si="146"/>
        <v>271.78119133009307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9.4936063119961513</v>
      </c>
      <c r="BQ142" s="21">
        <f>EXP(-LN(2)/25)*BQ141+(1-EXP(-LN(2)/25))/(LN(2)/25)*Calculateur!BL142*Calculateur!BN142*VLOOKUP('Données projet'!$B$11,Paramètres!$A$1:$I$89,3,0)*0.475*44/12</f>
        <v>9.6336898669835218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19.127296178979673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5.6843418860808015E-13</v>
      </c>
      <c r="BZ142" s="13">
        <f>BY142*VLOOKUP('Données projet'!$B$12,Paramètres!$A$1:$I$89,3,0)*VLOOKUP('Données projet'!$B$12,Paramètres!$A$1:$I$89,5,0)</f>
        <v>5.1431925385259092E-13</v>
      </c>
      <c r="CA142" s="13">
        <f t="shared" si="147"/>
        <v>6.3855359115685756E-12</v>
      </c>
      <c r="CB142" s="20">
        <f t="shared" si="118"/>
        <v>1.2017247746441865E-11</v>
      </c>
      <c r="CC142" s="59">
        <f t="shared" si="119"/>
        <v>293.33333333334531</v>
      </c>
      <c r="CD142" s="59">
        <f ca="1">AVERAGE(OFFSET($CC$3,0,0,'Données projet'!$E$12+1,1))-AVERAGE(OFFSET($H$3,0,0,'Données projet'!$E$12+1,1))</f>
        <v>280.25710840677186</v>
      </c>
      <c r="CE142" s="59">
        <f t="shared" si="148"/>
        <v>209.65224013288037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145.9329090145896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145.9329090145896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243</v>
      </c>
      <c r="CU142" s="17">
        <f>CT142*VLOOKUP('Données projet'!$B$13,Paramètres!$A$1:$I$89,3,0)*VLOOKUP('Données projet'!$B$13,Paramètres!$A$1:$I$89,5,0)</f>
        <v>253.98360000000002</v>
      </c>
      <c r="CV142" s="13">
        <f t="shared" si="149"/>
        <v>61.438182405444294</v>
      </c>
      <c r="CW142" s="20">
        <f t="shared" si="121"/>
        <v>549.35960435614891</v>
      </c>
      <c r="CX142" s="59">
        <f t="shared" si="122"/>
        <v>842.69293768948228</v>
      </c>
      <c r="CY142" s="59">
        <f ca="1">AVERAGE(OFFSET($CX$3,0,0,'Données projet'!$E$13+1,1))-AVERAGE(OFFSET($H$3,0,0,'Données projet'!$E$13+1,1))</f>
        <v>330.14201227773452</v>
      </c>
      <c r="CZ142" s="59">
        <f t="shared" si="150"/>
        <v>307.07297894926467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15.061174799605302</v>
      </c>
      <c r="DG142" s="21">
        <f>EXP(-LN(2)/25)*DG141+(1-EXP(-LN(2)/25))/(LN(2)/25)*Calculateur!DB142*Calculateur!DD142*VLOOKUP('Données projet'!$B$13,Paramètres!$A$1:$I$89,3,0)*0.475*44/12</f>
        <v>6.0421318324946052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21.103306632099908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283.73369613548124</v>
      </c>
      <c r="T143" s="59">
        <f t="shared" si="142"/>
        <v>249.77804091581208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50.209132991766978</v>
      </c>
      <c r="AA143" s="21">
        <f>EXP(-LN(2)/25)*AA142+(1-EXP(-LN(2)/25))/(LN(2)/25)*Calculateur!V143*Calculateur!X143*VLOOKUP('Données projet'!$B$9,Paramètres!$A$1:$I$89,3,0)*0.475*44/12</f>
        <v>7.1908068108673708</v>
      </c>
      <c r="AB143" s="21">
        <f>EXP(-LN(2)/2)*AB142+(1-EXP(-LN(2)/2))/(LN(2)/2)*V143*Y143*VLOOKUP('Données projet'!$B$9,Paramètres!$A$1:$I$89,3,0)*0.475*44/12</f>
        <v>1.087089435114529E-8</v>
      </c>
      <c r="AC143" s="22">
        <f t="shared" si="111"/>
        <v>57.399939813505242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1.5961632016114892E-13</v>
      </c>
      <c r="AK143" s="13">
        <f t="shared" si="143"/>
        <v>2.2708641912150958E-12</v>
      </c>
      <c r="AL143" s="20">
        <f t="shared" si="112"/>
        <v>4.2330868906469593E-12</v>
      </c>
      <c r="AM143" s="59">
        <f t="shared" si="113"/>
        <v>293.33333333333752</v>
      </c>
      <c r="AN143" s="59">
        <f ca="1">AVERAGE(OFFSET($AM$3,0,0,'Données projet'!$E$10+1,1))-AVERAGE(OFFSET($H$3,0,0,'Données projet'!$E$10+1,1))</f>
        <v>205.73717397588365</v>
      </c>
      <c r="AO143" s="59">
        <f t="shared" si="144"/>
        <v>190.64998698136026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87.610476520584612</v>
      </c>
      <c r="AV143" s="21">
        <f>EXP(-LN(2)/25)*AV142+(1-EXP(-LN(2)/25))/(LN(2)/25)*Calculateur!AQ143*Calculateur!AS143*VLOOKUP('Données projet'!$B$10,Paramètres!$A$1:$I$89,3,0)*0.475*44/12</f>
        <v>16.643016763656565</v>
      </c>
      <c r="AW143" s="21">
        <f>EXP(-LN(2)/2)*AW142+(1-EXP(-LN(2)/2))/(LN(2)/2)*AQ143*AT143*VLOOKUP('Données projet'!$B$10,Paramètres!$A$1:$I$89,3,0)*0.475*44/12</f>
        <v>1.1969241695780511E-4</v>
      </c>
      <c r="AX143" s="21">
        <f t="shared" si="114"/>
        <v>104.25361297665813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-3.1036506698001178E-14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159.92263609041913</v>
      </c>
      <c r="BJ143" s="59">
        <f t="shared" si="146"/>
        <v>271.78119133009307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9.3074424827459907</v>
      </c>
      <c r="BQ143" s="21">
        <f>EXP(-LN(2)/25)*BQ142+(1-EXP(-LN(2)/25))/(LN(2)/25)*Calculateur!BL143*Calculateur!BN143*VLOOKUP('Données projet'!$B$11,Paramètres!$A$1:$I$89,3,0)*0.475*44/12</f>
        <v>9.3702561109571256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18.677698593703116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5.6843418860808015E-13</v>
      </c>
      <c r="BZ143" s="13">
        <f>BY143*VLOOKUP('Données projet'!$B$12,Paramètres!$A$1:$I$89,3,0)*VLOOKUP('Données projet'!$B$12,Paramètres!$A$1:$I$89,5,0)</f>
        <v>5.1431925385259092E-13</v>
      </c>
      <c r="CA143" s="13">
        <f t="shared" si="147"/>
        <v>6.3855359115685756E-12</v>
      </c>
      <c r="CB143" s="20">
        <f t="shared" si="118"/>
        <v>1.2017247746441865E-11</v>
      </c>
      <c r="CC143" s="59">
        <f t="shared" si="119"/>
        <v>293.33333333334531</v>
      </c>
      <c r="CD143" s="59">
        <f ca="1">AVERAGE(OFFSET($CC$3,0,0,'Données projet'!$E$12+1,1))-AVERAGE(OFFSET($H$3,0,0,'Données projet'!$E$12+1,1))</f>
        <v>280.25710840677186</v>
      </c>
      <c r="CE143" s="59">
        <f t="shared" si="148"/>
        <v>209.65224013288037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143.07125367909896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143.07125367909896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243</v>
      </c>
      <c r="CU143" s="17">
        <f>CT143*VLOOKUP('Données projet'!$B$13,Paramètres!$A$1:$I$89,3,0)*VLOOKUP('Données projet'!$B$13,Paramètres!$A$1:$I$89,5,0)</f>
        <v>253.98360000000002</v>
      </c>
      <c r="CV143" s="13">
        <f t="shared" si="149"/>
        <v>61.438182405444294</v>
      </c>
      <c r="CW143" s="20">
        <f t="shared" si="121"/>
        <v>549.35960435614891</v>
      </c>
      <c r="CX143" s="59">
        <f t="shared" si="122"/>
        <v>842.69293768948228</v>
      </c>
      <c r="CY143" s="59">
        <f ca="1">AVERAGE(OFFSET($CX$3,0,0,'Données projet'!$E$13+1,1))-AVERAGE(OFFSET($H$3,0,0,'Données projet'!$E$13+1,1))</f>
        <v>330.14201227773452</v>
      </c>
      <c r="CZ143" s="59">
        <f t="shared" si="150"/>
        <v>307.07297894926467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14.765834348194588</v>
      </c>
      <c r="DG143" s="21">
        <f>EXP(-LN(2)/25)*DG142+(1-EXP(-LN(2)/25))/(LN(2)/25)*Calculateur!DB143*Calculateur!DD143*VLOOKUP('Données projet'!$B$13,Paramètres!$A$1:$I$89,3,0)*0.475*44/12</f>
        <v>5.8769094197931366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20.642743767987724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283.73369613548124</v>
      </c>
      <c r="T144" s="59">
        <f t="shared" si="142"/>
        <v>249.77804091581208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49.224562518345628</v>
      </c>
      <c r="AA144" s="21">
        <f>EXP(-LN(2)/25)*AA143+(1-EXP(-LN(2)/25))/(LN(2)/25)*Calculateur!V144*Calculateur!X144*VLOOKUP('Données projet'!$B$9,Paramètres!$A$1:$I$89,3,0)*0.475*44/12</f>
        <v>6.9941738204761075</v>
      </c>
      <c r="AB144" s="21">
        <f>EXP(-LN(2)/2)*AB143+(1-EXP(-LN(2)/2))/(LN(2)/2)*V144*Y144*VLOOKUP('Données projet'!$B$9,Paramètres!$A$1:$I$89,3,0)*0.475*44/12</f>
        <v>7.686883113257368E-9</v>
      </c>
      <c r="AC144" s="22">
        <f t="shared" si="111"/>
        <v>56.218736346508621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1.5961632016114892E-13</v>
      </c>
      <c r="AK144" s="13">
        <f t="shared" si="143"/>
        <v>2.2708641912150958E-12</v>
      </c>
      <c r="AL144" s="20">
        <f t="shared" si="112"/>
        <v>4.2330868906469593E-12</v>
      </c>
      <c r="AM144" s="59">
        <f t="shared" si="113"/>
        <v>293.33333333333752</v>
      </c>
      <c r="AN144" s="59">
        <f ca="1">AVERAGE(OFFSET($AM$3,0,0,'Données projet'!$E$10+1,1))-AVERAGE(OFFSET($H$3,0,0,'Données projet'!$E$10+1,1))</f>
        <v>205.73717397588365</v>
      </c>
      <c r="AO144" s="59">
        <f t="shared" si="144"/>
        <v>190.64998698136026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85.892488513130147</v>
      </c>
      <c r="AV144" s="21">
        <f>EXP(-LN(2)/25)*AV143+(1-EXP(-LN(2)/25))/(LN(2)/25)*Calculateur!AQ144*Calculateur!AS144*VLOOKUP('Données projet'!$B$10,Paramètres!$A$1:$I$89,3,0)*0.475*44/12</f>
        <v>16.187912595036163</v>
      </c>
      <c r="AW144" s="21">
        <f>EXP(-LN(2)/2)*AW143+(1-EXP(-LN(2)/2))/(LN(2)/2)*AQ144*AT144*VLOOKUP('Données projet'!$B$10,Paramètres!$A$1:$I$89,3,0)*0.475*44/12</f>
        <v>8.4635319687471718E-5</v>
      </c>
      <c r="AX144" s="21">
        <f t="shared" si="114"/>
        <v>102.08048574348599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-3.1036506698001178E-14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159.92263609041913</v>
      </c>
      <c r="BJ144" s="59">
        <f t="shared" si="146"/>
        <v>271.78119133009307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9.1249292126387012</v>
      </c>
      <c r="BQ144" s="21">
        <f>EXP(-LN(2)/25)*BQ143+(1-EXP(-LN(2)/25))/(LN(2)/25)*Calculateur!BL144*Calculateur!BN144*VLOOKUP('Données projet'!$B$11,Paramètres!$A$1:$I$89,3,0)*0.475*44/12</f>
        <v>9.11402596484265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18.238955177481351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5.6843418860808015E-13</v>
      </c>
      <c r="BZ144" s="13">
        <f>BY144*VLOOKUP('Données projet'!$B$12,Paramètres!$A$1:$I$89,3,0)*VLOOKUP('Données projet'!$B$12,Paramètres!$A$1:$I$89,5,0)</f>
        <v>5.1431925385259092E-13</v>
      </c>
      <c r="CA144" s="13">
        <f t="shared" si="147"/>
        <v>6.3855359115685756E-12</v>
      </c>
      <c r="CB144" s="20">
        <f t="shared" si="118"/>
        <v>1.2017247746441865E-11</v>
      </c>
      <c r="CC144" s="59">
        <f t="shared" si="119"/>
        <v>293.33333333334531</v>
      </c>
      <c r="CD144" s="59">
        <f ca="1">AVERAGE(OFFSET($CC$3,0,0,'Données projet'!$E$12+1,1))-AVERAGE(OFFSET($H$3,0,0,'Données projet'!$E$12+1,1))</f>
        <v>280.25710840677186</v>
      </c>
      <c r="CE144" s="59">
        <f t="shared" si="148"/>
        <v>209.65224013288037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140.26571365929988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140.26571365929988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243</v>
      </c>
      <c r="CU144" s="17">
        <f>CT144*VLOOKUP('Données projet'!$B$13,Paramètres!$A$1:$I$89,3,0)*VLOOKUP('Données projet'!$B$13,Paramètres!$A$1:$I$89,5,0)</f>
        <v>253.98360000000002</v>
      </c>
      <c r="CV144" s="13">
        <f t="shared" si="149"/>
        <v>61.438182405444294</v>
      </c>
      <c r="CW144" s="20">
        <f t="shared" si="121"/>
        <v>549.35960435614891</v>
      </c>
      <c r="CX144" s="59">
        <f t="shared" si="122"/>
        <v>842.69293768948228</v>
      </c>
      <c r="CY144" s="59">
        <f ca="1">AVERAGE(OFFSET($CX$3,0,0,'Données projet'!$E$13+1,1))-AVERAGE(OFFSET($H$3,0,0,'Données projet'!$E$13+1,1))</f>
        <v>330.14201227773452</v>
      </c>
      <c r="CZ144" s="59">
        <f t="shared" si="150"/>
        <v>307.07297894926467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14.47628534289615</v>
      </c>
      <c r="DG144" s="21">
        <f>EXP(-LN(2)/25)*DG143+(1-EXP(-LN(2)/25))/(LN(2)/25)*Calculateur!DB144*Calculateur!DD144*VLOOKUP('Données projet'!$B$13,Paramètres!$A$1:$I$89,3,0)*0.475*44/12</f>
        <v>5.7162050226556591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20.192490365551809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283.73369613548124</v>
      </c>
      <c r="T145" s="59">
        <f t="shared" si="142"/>
        <v>249.77804091581208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48.259298871379379</v>
      </c>
      <c r="AA145" s="21">
        <f>EXP(-LN(2)/25)*AA144+(1-EXP(-LN(2)/25))/(LN(2)/25)*Calculateur!V145*Calculateur!X145*VLOOKUP('Données projet'!$B$9,Paramètres!$A$1:$I$89,3,0)*0.475*44/12</f>
        <v>6.8029177695475722</v>
      </c>
      <c r="AB145" s="21">
        <f>EXP(-LN(2)/2)*AB144+(1-EXP(-LN(2)/2))/(LN(2)/2)*V145*Y145*VLOOKUP('Données projet'!$B$9,Paramètres!$A$1:$I$89,3,0)*0.475*44/12</f>
        <v>5.4354471755726449E-9</v>
      </c>
      <c r="AC145" s="22">
        <f t="shared" si="111"/>
        <v>55.062216646362394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1.5961632016114892E-13</v>
      </c>
      <c r="AK145" s="13">
        <f t="shared" si="143"/>
        <v>2.2708641912150958E-12</v>
      </c>
      <c r="AL145" s="20">
        <f t="shared" si="112"/>
        <v>4.2330868906469593E-12</v>
      </c>
      <c r="AM145" s="59">
        <f t="shared" si="113"/>
        <v>293.33333333333752</v>
      </c>
      <c r="AN145" s="59">
        <f ca="1">AVERAGE(OFFSET($AM$3,0,0,'Données projet'!$E$10+1,1))-AVERAGE(OFFSET($H$3,0,0,'Données projet'!$E$10+1,1))</f>
        <v>205.73717397588365</v>
      </c>
      <c r="AO145" s="59">
        <f t="shared" si="144"/>
        <v>190.64998698136026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84.208189202632653</v>
      </c>
      <c r="AV145" s="21">
        <f>EXP(-LN(2)/25)*AV144+(1-EXP(-LN(2)/25))/(LN(2)/25)*Calculateur!AQ145*Calculateur!AS145*VLOOKUP('Données projet'!$B$10,Paramètres!$A$1:$I$89,3,0)*0.475*44/12</f>
        <v>15.745253273839573</v>
      </c>
      <c r="AW145" s="21">
        <f>EXP(-LN(2)/2)*AW144+(1-EXP(-LN(2)/2))/(LN(2)/2)*AQ145*AT145*VLOOKUP('Données projet'!$B$10,Paramètres!$A$1:$I$89,3,0)*0.475*44/12</f>
        <v>5.9846208478902567E-5</v>
      </c>
      <c r="AX145" s="21">
        <f t="shared" si="114"/>
        <v>99.953502322680691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-3.1036506698001178E-14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159.92263609041913</v>
      </c>
      <c r="BJ145" s="59">
        <f t="shared" si="146"/>
        <v>271.78119133009307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8.9459949164361134</v>
      </c>
      <c r="BQ145" s="21">
        <f>EXP(-LN(2)/25)*BQ144+(1-EXP(-LN(2)/25))/(LN(2)/25)*Calculateur!BL145*Calculateur!BN145*VLOOKUP('Données projet'!$B$11,Paramètres!$A$1:$I$89,3,0)*0.475*44/12</f>
        <v>8.8648024455482322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17.810797361984346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5.6843418860808015E-13</v>
      </c>
      <c r="BZ145" s="13">
        <f>BY145*VLOOKUP('Données projet'!$B$12,Paramètres!$A$1:$I$89,3,0)*VLOOKUP('Données projet'!$B$12,Paramètres!$A$1:$I$89,5,0)</f>
        <v>5.1431925385259092E-13</v>
      </c>
      <c r="CA145" s="13">
        <f t="shared" si="147"/>
        <v>6.3855359115685756E-12</v>
      </c>
      <c r="CB145" s="20">
        <f t="shared" si="118"/>
        <v>1.2017247746441865E-11</v>
      </c>
      <c r="CC145" s="59">
        <f t="shared" si="119"/>
        <v>293.33333333334531</v>
      </c>
      <c r="CD145" s="59">
        <f ca="1">AVERAGE(OFFSET($CC$3,0,0,'Données projet'!$E$12+1,1))-AVERAGE(OFFSET($H$3,0,0,'Données projet'!$E$12+1,1))</f>
        <v>280.25710840677186</v>
      </c>
      <c r="CE145" s="59">
        <f t="shared" si="148"/>
        <v>209.65224013288037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137.51518856807863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137.51518856807863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243</v>
      </c>
      <c r="CU145" s="17">
        <f>CT145*VLOOKUP('Données projet'!$B$13,Paramètres!$A$1:$I$89,3,0)*VLOOKUP('Données projet'!$B$13,Paramètres!$A$1:$I$89,5,0)</f>
        <v>253.98360000000002</v>
      </c>
      <c r="CV145" s="13">
        <f t="shared" si="149"/>
        <v>61.438182405444294</v>
      </c>
      <c r="CW145" s="20">
        <f t="shared" si="121"/>
        <v>549.35960435614891</v>
      </c>
      <c r="CX145" s="59">
        <f t="shared" si="122"/>
        <v>842.69293768948228</v>
      </c>
      <c r="CY145" s="59">
        <f ca="1">AVERAGE(OFFSET($CX$3,0,0,'Données projet'!$E$13+1,1))-AVERAGE(OFFSET($H$3,0,0,'Données projet'!$E$13+1,1))</f>
        <v>330.14201227773452</v>
      </c>
      <c r="CZ145" s="59">
        <f t="shared" si="150"/>
        <v>307.07297894926467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14.192414216984158</v>
      </c>
      <c r="DG145" s="21">
        <f>EXP(-LN(2)/25)*DG144+(1-EXP(-LN(2)/25))/(LN(2)/25)*Calculateur!DB145*Calculateur!DD145*VLOOKUP('Données projet'!$B$13,Paramètres!$A$1:$I$89,3,0)*0.475*44/12</f>
        <v>5.5598950957089821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19.752309312693139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283.73369613548124</v>
      </c>
      <c r="T146" s="59">
        <f t="shared" si="142"/>
        <v>249.77804091581208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47.312963455777449</v>
      </c>
      <c r="AA146" s="21">
        <f>EXP(-LN(2)/25)*AA145+(1-EXP(-LN(2)/25))/(LN(2)/25)*Calculateur!V146*Calculateur!X146*VLOOKUP('Données projet'!$B$9,Paramètres!$A$1:$I$89,3,0)*0.475*44/12</f>
        <v>6.616891625389397</v>
      </c>
      <c r="AB146" s="21">
        <f>EXP(-LN(2)/2)*AB145+(1-EXP(-LN(2)/2))/(LN(2)/2)*V146*Y146*VLOOKUP('Données projet'!$B$9,Paramètres!$A$1:$I$89,3,0)*0.475*44/12</f>
        <v>3.843441556628684E-9</v>
      </c>
      <c r="AC146" s="22">
        <f t="shared" si="111"/>
        <v>53.929855085010288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1.5961632016114892E-13</v>
      </c>
      <c r="AK146" s="13">
        <f t="shared" si="143"/>
        <v>2.2708641912150958E-12</v>
      </c>
      <c r="AL146" s="20">
        <f t="shared" si="112"/>
        <v>4.2330868906469593E-12</v>
      </c>
      <c r="AM146" s="59">
        <f t="shared" si="113"/>
        <v>293.33333333333752</v>
      </c>
      <c r="AN146" s="59">
        <f ca="1">AVERAGE(OFFSET($AM$3,0,0,'Données projet'!$E$10+1,1))-AVERAGE(OFFSET($H$3,0,0,'Données projet'!$E$10+1,1))</f>
        <v>205.73717397588365</v>
      </c>
      <c r="AO146" s="59">
        <f t="shared" si="144"/>
        <v>190.64998698136026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82.556917974292872</v>
      </c>
      <c r="AV146" s="21">
        <f>EXP(-LN(2)/25)*AV145+(1-EXP(-LN(2)/25))/(LN(2)/25)*Calculateur!AQ146*Calculateur!AS146*VLOOKUP('Données projet'!$B$10,Paramètres!$A$1:$I$89,3,0)*0.475*44/12</f>
        <v>15.314698495059547</v>
      </c>
      <c r="AW146" s="21">
        <f>EXP(-LN(2)/2)*AW145+(1-EXP(-LN(2)/2))/(LN(2)/2)*AQ146*AT146*VLOOKUP('Données projet'!$B$10,Paramètres!$A$1:$I$89,3,0)*0.475*44/12</f>
        <v>4.2317659843735866E-5</v>
      </c>
      <c r="AX146" s="21">
        <f t="shared" si="114"/>
        <v>97.871658787012265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-3.1036506698001178E-14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159.92263609041913</v>
      </c>
      <c r="BJ146" s="59">
        <f t="shared" si="146"/>
        <v>271.78119133009307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8.7705694126429137</v>
      </c>
      <c r="BQ146" s="21">
        <f>EXP(-LN(2)/25)*BQ145+(1-EXP(-LN(2)/25))/(LN(2)/25)*Calculateur!BL146*Calculateur!BN146*VLOOKUP('Données projet'!$B$11,Paramètres!$A$1:$I$89,3,0)*0.475*44/12</f>
        <v>8.6223939564950154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17.392963369137931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5.6843418860808015E-13</v>
      </c>
      <c r="BZ146" s="13">
        <f>BY146*VLOOKUP('Données projet'!$B$12,Paramètres!$A$1:$I$89,3,0)*VLOOKUP('Données projet'!$B$12,Paramètres!$A$1:$I$89,5,0)</f>
        <v>5.1431925385259092E-13</v>
      </c>
      <c r="CA146" s="13">
        <f t="shared" si="147"/>
        <v>6.3855359115685756E-12</v>
      </c>
      <c r="CB146" s="20">
        <f t="shared" si="118"/>
        <v>1.2017247746441865E-11</v>
      </c>
      <c r="CC146" s="59">
        <f t="shared" si="119"/>
        <v>293.33333333334531</v>
      </c>
      <c r="CD146" s="59">
        <f ca="1">AVERAGE(OFFSET($CC$3,0,0,'Données projet'!$E$12+1,1))-AVERAGE(OFFSET($H$3,0,0,'Données projet'!$E$12+1,1))</f>
        <v>280.25710840677186</v>
      </c>
      <c r="CE146" s="59">
        <f t="shared" si="148"/>
        <v>209.65224013288037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134.81859959624157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134.81859959624157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243</v>
      </c>
      <c r="CU146" s="17">
        <f>CT146*VLOOKUP('Données projet'!$B$13,Paramètres!$A$1:$I$89,3,0)*VLOOKUP('Données projet'!$B$13,Paramètres!$A$1:$I$89,5,0)</f>
        <v>253.98360000000002</v>
      </c>
      <c r="CV146" s="13">
        <f t="shared" si="149"/>
        <v>61.438182405444294</v>
      </c>
      <c r="CW146" s="20">
        <f t="shared" si="121"/>
        <v>549.35960435614891</v>
      </c>
      <c r="CX146" s="59">
        <f t="shared" si="122"/>
        <v>842.69293768948228</v>
      </c>
      <c r="CY146" s="59">
        <f ca="1">AVERAGE(OFFSET($CX$3,0,0,'Données projet'!$E$13+1,1))-AVERAGE(OFFSET($H$3,0,0,'Données projet'!$E$13+1,1))</f>
        <v>330.14201227773452</v>
      </c>
      <c r="CZ146" s="59">
        <f t="shared" si="150"/>
        <v>307.07297894926467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13.914109630707012</v>
      </c>
      <c r="DG146" s="21">
        <f>EXP(-LN(2)/25)*DG145+(1-EXP(-LN(2)/25))/(LN(2)/25)*Calculateur!DB146*Calculateur!DD146*VLOOKUP('Données projet'!$B$13,Paramètres!$A$1:$I$89,3,0)*0.475*44/12</f>
        <v>5.4078594719346444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19.321969102641656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283.73369613548124</v>
      </c>
      <c r="T147" s="59">
        <f t="shared" si="142"/>
        <v>249.77804091581208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46.385185100467865</v>
      </c>
      <c r="AA147" s="21">
        <f>EXP(-LN(2)/25)*AA146+(1-EXP(-LN(2)/25))/(LN(2)/25)*Calculateur!V147*Calculateur!X147*VLOOKUP('Données projet'!$B$9,Paramètres!$A$1:$I$89,3,0)*0.475*44/12</f>
        <v>6.4359523759259165</v>
      </c>
      <c r="AB147" s="21">
        <f>EXP(-LN(2)/2)*AB146+(1-EXP(-LN(2)/2))/(LN(2)/2)*V147*Y147*VLOOKUP('Données projet'!$B$9,Paramètres!$A$1:$I$89,3,0)*0.475*44/12</f>
        <v>2.7177235877863225E-9</v>
      </c>
      <c r="AC147" s="22">
        <f t="shared" si="111"/>
        <v>52.821137479111506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1.5961632016114892E-13</v>
      </c>
      <c r="AK147" s="13">
        <f t="shared" si="143"/>
        <v>2.2708641912150958E-12</v>
      </c>
      <c r="AL147" s="20">
        <f t="shared" si="112"/>
        <v>4.2330868906469593E-12</v>
      </c>
      <c r="AM147" s="59">
        <f t="shared" si="113"/>
        <v>293.33333333333752</v>
      </c>
      <c r="AN147" s="59">
        <f ca="1">AVERAGE(OFFSET($AM$3,0,0,'Données projet'!$E$10+1,1))-AVERAGE(OFFSET($H$3,0,0,'Données projet'!$E$10+1,1))</f>
        <v>205.73717397588365</v>
      </c>
      <c r="AO147" s="59">
        <f t="shared" si="144"/>
        <v>190.64998698136026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80.93802716756484</v>
      </c>
      <c r="AV147" s="21">
        <f>EXP(-LN(2)/25)*AV146+(1-EXP(-LN(2)/25))/(LN(2)/25)*Calculateur!AQ147*Calculateur!AS147*VLOOKUP('Données projet'!$B$10,Paramètres!$A$1:$I$89,3,0)*0.475*44/12</f>
        <v>14.895917259347152</v>
      </c>
      <c r="AW147" s="21">
        <f>EXP(-LN(2)/2)*AW146+(1-EXP(-LN(2)/2))/(LN(2)/2)*AQ147*AT147*VLOOKUP('Données projet'!$B$10,Paramètres!$A$1:$I$89,3,0)*0.475*44/12</f>
        <v>2.9923104239451287E-5</v>
      </c>
      <c r="AX147" s="21">
        <f t="shared" si="114"/>
        <v>95.833974350016234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-3.1036506698001178E-14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159.92263609041913</v>
      </c>
      <c r="BJ147" s="59">
        <f t="shared" si="146"/>
        <v>271.78119133009307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8.5985838959801075</v>
      </c>
      <c r="BQ147" s="21">
        <f>EXP(-LN(2)/25)*BQ146+(1-EXP(-LN(2)/25))/(LN(2)/25)*Calculateur!BL147*Calculateur!BN147*VLOOKUP('Données projet'!$B$11,Paramètres!$A$1:$I$89,3,0)*0.475*44/12</f>
        <v>8.3866141403226671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16.985198036302776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5.6843418860808015E-13</v>
      </c>
      <c r="BZ147" s="13">
        <f>BY147*VLOOKUP('Données projet'!$B$12,Paramètres!$A$1:$I$89,3,0)*VLOOKUP('Données projet'!$B$12,Paramètres!$A$1:$I$89,5,0)</f>
        <v>5.1431925385259092E-13</v>
      </c>
      <c r="CA147" s="13">
        <f t="shared" si="147"/>
        <v>6.3855359115685756E-12</v>
      </c>
      <c r="CB147" s="20">
        <f t="shared" si="118"/>
        <v>1.2017247746441865E-11</v>
      </c>
      <c r="CC147" s="59">
        <f t="shared" si="119"/>
        <v>293.33333333334531</v>
      </c>
      <c r="CD147" s="59">
        <f ca="1">AVERAGE(OFFSET($CC$3,0,0,'Données projet'!$E$12+1,1))-AVERAGE(OFFSET($H$3,0,0,'Données projet'!$E$12+1,1))</f>
        <v>280.25710840677186</v>
      </c>
      <c r="CE147" s="59">
        <f t="shared" si="148"/>
        <v>209.65224013288037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132.17488908938537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132.17488908938537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243</v>
      </c>
      <c r="CU147" s="17">
        <f>CT147*VLOOKUP('Données projet'!$B$13,Paramètres!$A$1:$I$89,3,0)*VLOOKUP('Données projet'!$B$13,Paramètres!$A$1:$I$89,5,0)</f>
        <v>253.98360000000002</v>
      </c>
      <c r="CV147" s="13">
        <f t="shared" si="149"/>
        <v>61.438182405444294</v>
      </c>
      <c r="CW147" s="20">
        <f t="shared" si="121"/>
        <v>549.35960435614891</v>
      </c>
      <c r="CX147" s="59">
        <f t="shared" si="122"/>
        <v>842.69293768948228</v>
      </c>
      <c r="CY147" s="59">
        <f ca="1">AVERAGE(OFFSET($CX$3,0,0,'Données projet'!$E$13+1,1))-AVERAGE(OFFSET($H$3,0,0,'Données projet'!$E$13+1,1))</f>
        <v>330.14201227773452</v>
      </c>
      <c r="CZ147" s="59">
        <f t="shared" si="150"/>
        <v>307.07297894926467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13.641262427617724</v>
      </c>
      <c r="DG147" s="21">
        <f>EXP(-LN(2)/25)*DG146+(1-EXP(-LN(2)/25))/(LN(2)/25)*Calculateur!DB147*Calculateur!DD147*VLOOKUP('Données projet'!$B$13,Paramètres!$A$1:$I$89,3,0)*0.475*44/12</f>
        <v>5.2599812702876214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18.901243697905343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283.73369613548124</v>
      </c>
      <c r="T148" s="59">
        <f t="shared" si="142"/>
        <v>249.77804091581208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45.475599912816982</v>
      </c>
      <c r="AA148" s="21">
        <f>EXP(-LN(2)/25)*AA147+(1-EXP(-LN(2)/25))/(LN(2)/25)*Calculateur!V148*Calculateur!X148*VLOOKUP('Données projet'!$B$9,Paramètres!$A$1:$I$89,3,0)*0.475*44/12</f>
        <v>6.2599609197541968</v>
      </c>
      <c r="AB148" s="21">
        <f>EXP(-LN(2)/2)*AB147+(1-EXP(-LN(2)/2))/(LN(2)/2)*V148*Y148*VLOOKUP('Données projet'!$B$9,Paramètres!$A$1:$I$89,3,0)*0.475*44/12</f>
        <v>1.921720778314342E-9</v>
      </c>
      <c r="AC148" s="22">
        <f t="shared" si="111"/>
        <v>51.735560834492901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1.5961632016114892E-13</v>
      </c>
      <c r="AK148" s="13">
        <f t="shared" si="143"/>
        <v>2.2708641912150958E-12</v>
      </c>
      <c r="AL148" s="20">
        <f t="shared" si="112"/>
        <v>4.2330868906469593E-12</v>
      </c>
      <c r="AM148" s="59">
        <f t="shared" si="113"/>
        <v>293.33333333333752</v>
      </c>
      <c r="AN148" s="59">
        <f ca="1">AVERAGE(OFFSET($AM$3,0,0,'Données projet'!$E$10+1,1))-AVERAGE(OFFSET($H$3,0,0,'Données projet'!$E$10+1,1))</f>
        <v>205.73717397588365</v>
      </c>
      <c r="AO148" s="59">
        <f t="shared" si="144"/>
        <v>190.64998698136026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79.350881822130845</v>
      </c>
      <c r="AV148" s="21">
        <f>EXP(-LN(2)/25)*AV147+(1-EXP(-LN(2)/25))/(LN(2)/25)*Calculateur!AQ148*Calculateur!AS148*VLOOKUP('Données projet'!$B$10,Paramètres!$A$1:$I$89,3,0)*0.475*44/12</f>
        <v>14.488587618548062</v>
      </c>
      <c r="AW148" s="21">
        <f>EXP(-LN(2)/2)*AW147+(1-EXP(-LN(2)/2))/(LN(2)/2)*AQ148*AT148*VLOOKUP('Données projet'!$B$10,Paramètres!$A$1:$I$89,3,0)*0.475*44/12</f>
        <v>2.1158829921867936E-5</v>
      </c>
      <c r="AX148" s="21">
        <f t="shared" si="114"/>
        <v>93.839490599508835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-3.1036506698001178E-14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159.92263609041913</v>
      </c>
      <c r="BJ148" s="59">
        <f t="shared" si="146"/>
        <v>271.78119133009307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8.4299709103982519</v>
      </c>
      <c r="BQ148" s="21">
        <f>EXP(-LN(2)/25)*BQ147+(1-EXP(-LN(2)/25))/(LN(2)/25)*Calculateur!BL148*Calculateur!BN148*VLOOKUP('Données projet'!$B$11,Paramètres!$A$1:$I$89,3,0)*0.475*44/12</f>
        <v>8.1572817356226732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16.587252646020925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5.6843418860808015E-13</v>
      </c>
      <c r="BZ148" s="13">
        <f>BY148*VLOOKUP('Données projet'!$B$12,Paramètres!$A$1:$I$89,3,0)*VLOOKUP('Données projet'!$B$12,Paramètres!$A$1:$I$89,5,0)</f>
        <v>5.1431925385259092E-13</v>
      </c>
      <c r="CA148" s="13">
        <f t="shared" si="147"/>
        <v>6.3855359115685756E-12</v>
      </c>
      <c r="CB148" s="20">
        <f t="shared" si="118"/>
        <v>1.2017247746441865E-11</v>
      </c>
      <c r="CC148" s="59">
        <f t="shared" si="119"/>
        <v>293.33333333334531</v>
      </c>
      <c r="CD148" s="59">
        <f ca="1">AVERAGE(OFFSET($CC$3,0,0,'Données projet'!$E$12+1,1))-AVERAGE(OFFSET($H$3,0,0,'Données projet'!$E$12+1,1))</f>
        <v>280.25710840677186</v>
      </c>
      <c r="CE148" s="59">
        <f t="shared" si="148"/>
        <v>209.65224013288037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129.58302013306442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129.58302013306442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243</v>
      </c>
      <c r="CU148" s="17">
        <f>CT148*VLOOKUP('Données projet'!$B$13,Paramètres!$A$1:$I$89,3,0)*VLOOKUP('Données projet'!$B$13,Paramètres!$A$1:$I$89,5,0)</f>
        <v>253.98360000000002</v>
      </c>
      <c r="CV148" s="13">
        <f t="shared" si="149"/>
        <v>61.438182405444294</v>
      </c>
      <c r="CW148" s="20">
        <f t="shared" si="121"/>
        <v>549.35960435614891</v>
      </c>
      <c r="CX148" s="59">
        <f t="shared" si="122"/>
        <v>842.69293768948228</v>
      </c>
      <c r="CY148" s="59">
        <f ca="1">AVERAGE(OFFSET($CX$3,0,0,'Données projet'!$E$13+1,1))-AVERAGE(OFFSET($H$3,0,0,'Données projet'!$E$13+1,1))</f>
        <v>330.14201227773452</v>
      </c>
      <c r="CZ148" s="59">
        <f t="shared" si="150"/>
        <v>307.07297894926467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13.373765591760655</v>
      </c>
      <c r="DG148" s="21">
        <f>EXP(-LN(2)/25)*DG147+(1-EXP(-LN(2)/25))/(LN(2)/25)*Calculateur!DB148*Calculateur!DD148*VLOOKUP('Données projet'!$B$13,Paramètres!$A$1:$I$89,3,0)*0.475*44/12</f>
        <v>5.116146805841213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18.48991239760187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283.73369613548124</v>
      </c>
      <c r="T149" s="59">
        <f t="shared" si="142"/>
        <v>249.77804091581208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44.58385113590375</v>
      </c>
      <c r="AA149" s="21">
        <f>EXP(-LN(2)/25)*AA148+(1-EXP(-LN(2)/25))/(LN(2)/25)*Calculateur!V149*Calculateur!X149*VLOOKUP('Données projet'!$B$9,Paramètres!$A$1:$I$89,3,0)*0.475*44/12</f>
        <v>6.0887819592064805</v>
      </c>
      <c r="AB149" s="21">
        <f>EXP(-LN(2)/2)*AB148+(1-EXP(-LN(2)/2))/(LN(2)/2)*V149*Y149*VLOOKUP('Données projet'!$B$9,Paramètres!$A$1:$I$89,3,0)*0.475*44/12</f>
        <v>1.3588617938931612E-9</v>
      </c>
      <c r="AC149" s="22">
        <f t="shared" si="111"/>
        <v>50.672633096469092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1.5961632016114892E-13</v>
      </c>
      <c r="AK149" s="13">
        <f t="shared" si="143"/>
        <v>2.2708641912150958E-12</v>
      </c>
      <c r="AL149" s="20">
        <f t="shared" si="112"/>
        <v>4.2330868906469593E-12</v>
      </c>
      <c r="AM149" s="59">
        <f t="shared" si="113"/>
        <v>293.33333333333752</v>
      </c>
      <c r="AN149" s="59">
        <f ca="1">AVERAGE(OFFSET($AM$3,0,0,'Données projet'!$E$10+1,1))-AVERAGE(OFFSET($H$3,0,0,'Données projet'!$E$10+1,1))</f>
        <v>205.73717397588365</v>
      </c>
      <c r="AO149" s="59">
        <f t="shared" si="144"/>
        <v>190.64998698136026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77.794859428857734</v>
      </c>
      <c r="AV149" s="21">
        <f>EXP(-LN(2)/25)*AV148+(1-EXP(-LN(2)/25))/(LN(2)/25)*Calculateur!AQ149*Calculateur!AS149*VLOOKUP('Données projet'!$B$10,Paramètres!$A$1:$I$89,3,0)*0.475*44/12</f>
        <v>14.092396428197157</v>
      </c>
      <c r="AW149" s="21">
        <f>EXP(-LN(2)/2)*AW148+(1-EXP(-LN(2)/2))/(LN(2)/2)*AQ149*AT149*VLOOKUP('Données projet'!$B$10,Paramètres!$A$1:$I$89,3,0)*0.475*44/12</f>
        <v>1.4961552119725647E-5</v>
      </c>
      <c r="AX149" s="21">
        <f t="shared" si="114"/>
        <v>91.887270818607021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-3.1036506698001178E-14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159.92263609041913</v>
      </c>
      <c r="BJ149" s="59">
        <f t="shared" si="146"/>
        <v>271.78119133009307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8.2646643226198897</v>
      </c>
      <c r="BQ149" s="21">
        <f>EXP(-LN(2)/25)*BQ148+(1-EXP(-LN(2)/25))/(LN(2)/25)*Calculateur!BL149*Calculateur!BN149*VLOOKUP('Données projet'!$B$11,Paramètres!$A$1:$I$89,3,0)*0.475*44/12</f>
        <v>7.9342204375892686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16.198884760209157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5.6843418860808015E-13</v>
      </c>
      <c r="BZ149" s="13">
        <f>BY149*VLOOKUP('Données projet'!$B$12,Paramètres!$A$1:$I$89,3,0)*VLOOKUP('Données projet'!$B$12,Paramètres!$A$1:$I$89,5,0)</f>
        <v>5.1431925385259092E-13</v>
      </c>
      <c r="CA149" s="13">
        <f t="shared" si="147"/>
        <v>6.3855359115685756E-12</v>
      </c>
      <c r="CB149" s="20">
        <f t="shared" si="118"/>
        <v>1.2017247746441865E-11</v>
      </c>
      <c r="CC149" s="59">
        <f t="shared" si="119"/>
        <v>293.33333333334531</v>
      </c>
      <c r="CD149" s="59">
        <f ca="1">AVERAGE(OFFSET($CC$3,0,0,'Données projet'!$E$12+1,1))-AVERAGE(OFFSET($H$3,0,0,'Données projet'!$E$12+1,1))</f>
        <v>280.25710840677186</v>
      </c>
      <c r="CE149" s="59">
        <f t="shared" si="148"/>
        <v>209.65224013288037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127.04197614609298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127.04197614609298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243</v>
      </c>
      <c r="CU149" s="17">
        <f>CT149*VLOOKUP('Données projet'!$B$13,Paramètres!$A$1:$I$89,3,0)*VLOOKUP('Données projet'!$B$13,Paramètres!$A$1:$I$89,5,0)</f>
        <v>253.98360000000002</v>
      </c>
      <c r="CV149" s="13">
        <f t="shared" si="149"/>
        <v>61.438182405444294</v>
      </c>
      <c r="CW149" s="20">
        <f t="shared" si="121"/>
        <v>549.35960435614891</v>
      </c>
      <c r="CX149" s="59">
        <f t="shared" si="122"/>
        <v>842.69293768948228</v>
      </c>
      <c r="CY149" s="59">
        <f ca="1">AVERAGE(OFFSET($CX$3,0,0,'Données projet'!$E$13+1,1))-AVERAGE(OFFSET($H$3,0,0,'Données projet'!$E$13+1,1))</f>
        <v>330.14201227773452</v>
      </c>
      <c r="CZ149" s="59">
        <f t="shared" si="150"/>
        <v>307.07297894926467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13.111514205697784</v>
      </c>
      <c r="DG149" s="21">
        <f>EXP(-LN(2)/25)*DG148+(1-EXP(-LN(2)/25))/(LN(2)/25)*Calculateur!DB149*Calculateur!DD149*VLOOKUP('Données projet'!$B$13,Paramètres!$A$1:$I$89,3,0)*0.475*44/12</f>
        <v>4.976245502389018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18.0877597080868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283.73369613548124</v>
      </c>
      <c r="T150" s="59">
        <f t="shared" si="142"/>
        <v>249.77804091581208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43.709589008592737</v>
      </c>
      <c r="AA150" s="21">
        <f>EXP(-LN(2)/25)*AA149+(1-EXP(-LN(2)/25))/(LN(2)/25)*Calculateur!V150*Calculateur!X150*VLOOKUP('Données projet'!$B$9,Paramètres!$A$1:$I$89,3,0)*0.475*44/12</f>
        <v>5.922283896336852</v>
      </c>
      <c r="AB150" s="21">
        <f>EXP(-LN(2)/2)*AB149+(1-EXP(-LN(2)/2))/(LN(2)/2)*V150*Y150*VLOOKUP('Données projet'!$B$9,Paramètres!$A$1:$I$89,3,0)*0.475*44/12</f>
        <v>9.60860389157171E-10</v>
      </c>
      <c r="AC150" s="22">
        <f t="shared" si="111"/>
        <v>49.631872905890447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1.5961632016114892E-13</v>
      </c>
      <c r="AK150" s="13">
        <f t="shared" si="143"/>
        <v>2.2708641912150958E-12</v>
      </c>
      <c r="AL150" s="20">
        <f t="shared" si="112"/>
        <v>4.2330868906469593E-12</v>
      </c>
      <c r="AM150" s="59">
        <f t="shared" si="113"/>
        <v>293.33333333333752</v>
      </c>
      <c r="AN150" s="59">
        <f ca="1">AVERAGE(OFFSET($AM$3,0,0,'Données projet'!$E$10+1,1))-AVERAGE(OFFSET($H$3,0,0,'Données projet'!$E$10+1,1))</f>
        <v>205.73717397588365</v>
      </c>
      <c r="AO150" s="59">
        <f t="shared" si="144"/>
        <v>190.64998698136026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76.269349685636769</v>
      </c>
      <c r="AV150" s="21">
        <f>EXP(-LN(2)/25)*AV149+(1-EXP(-LN(2)/25))/(LN(2)/25)*Calculateur!AQ150*Calculateur!AS150*VLOOKUP('Données projet'!$B$10,Paramètres!$A$1:$I$89,3,0)*0.475*44/12</f>
        <v>13.707039106781187</v>
      </c>
      <c r="AW150" s="21">
        <f>EXP(-LN(2)/2)*AW149+(1-EXP(-LN(2)/2))/(LN(2)/2)*AQ150*AT150*VLOOKUP('Données projet'!$B$10,Paramètres!$A$1:$I$89,3,0)*0.475*44/12</f>
        <v>1.057941496093397E-5</v>
      </c>
      <c r="AX150" s="21">
        <f t="shared" si="114"/>
        <v>89.976399371832912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-3.1036506698001178E-14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159.92263609041913</v>
      </c>
      <c r="BJ150" s="59">
        <f t="shared" si="146"/>
        <v>271.78119133009307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8.1025992962007987</v>
      </c>
      <c r="BQ150" s="21">
        <f>EXP(-LN(2)/25)*BQ149+(1-EXP(-LN(2)/25))/(LN(2)/25)*Calculateur!BL150*Calculateur!BN150*VLOOKUP('Données projet'!$B$11,Paramètres!$A$1:$I$89,3,0)*0.475*44/12</f>
        <v>7.7172587624808715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15.819858058681671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5.6843418860808015E-13</v>
      </c>
      <c r="BZ150" s="13">
        <f>BY150*VLOOKUP('Données projet'!$B$12,Paramètres!$A$1:$I$89,3,0)*VLOOKUP('Données projet'!$B$12,Paramètres!$A$1:$I$89,5,0)</f>
        <v>5.1431925385259092E-13</v>
      </c>
      <c r="CA150" s="13">
        <f t="shared" si="147"/>
        <v>6.3855359115685756E-12</v>
      </c>
      <c r="CB150" s="20">
        <f t="shared" si="118"/>
        <v>1.2017247746441865E-11</v>
      </c>
      <c r="CC150" s="59">
        <f t="shared" si="119"/>
        <v>293.33333333334531</v>
      </c>
      <c r="CD150" s="59">
        <f ca="1">AVERAGE(OFFSET($CC$3,0,0,'Données projet'!$E$12+1,1))-AVERAGE(OFFSET($H$3,0,0,'Données projet'!$E$12+1,1))</f>
        <v>280.25710840677186</v>
      </c>
      <c r="CE150" s="59">
        <f t="shared" si="148"/>
        <v>209.65224013288037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124.55076048182224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124.55076048182224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243</v>
      </c>
      <c r="CU150" s="17">
        <f>CT150*VLOOKUP('Données projet'!$B$13,Paramètres!$A$1:$I$89,3,0)*VLOOKUP('Données projet'!$B$13,Paramètres!$A$1:$I$89,5,0)</f>
        <v>253.98360000000002</v>
      </c>
      <c r="CV150" s="13">
        <f t="shared" si="149"/>
        <v>61.438182405444294</v>
      </c>
      <c r="CW150" s="20">
        <f t="shared" si="121"/>
        <v>549.35960435614891</v>
      </c>
      <c r="CX150" s="59">
        <f t="shared" si="122"/>
        <v>842.69293768948228</v>
      </c>
      <c r="CY150" s="59">
        <f ca="1">AVERAGE(OFFSET($CX$3,0,0,'Données projet'!$E$13+1,1))-AVERAGE(OFFSET($H$3,0,0,'Données projet'!$E$13+1,1))</f>
        <v>330.14201227773452</v>
      </c>
      <c r="CZ150" s="59">
        <f t="shared" si="150"/>
        <v>307.07297894926467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12.854405409358055</v>
      </c>
      <c r="DG150" s="21">
        <f>EXP(-LN(2)/25)*DG149+(1-EXP(-LN(2)/25))/(LN(2)/25)*Calculateur!DB150*Calculateur!DD150*VLOOKUP('Données projet'!$B$13,Paramètres!$A$1:$I$89,3,0)*0.475*44/12</f>
        <v>4.8401698074368129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17.694575216794867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283.73369613548124</v>
      </c>
      <c r="T151" s="59">
        <f t="shared" si="142"/>
        <v>249.77804091581208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42.85247062835105</v>
      </c>
      <c r="AA151" s="21">
        <f>EXP(-LN(2)/25)*AA150+(1-EXP(-LN(2)/25))/(LN(2)/25)*Calculateur!V151*Calculateur!X151*VLOOKUP('Données projet'!$B$9,Paramètres!$A$1:$I$89,3,0)*0.475*44/12</f>
        <v>5.7603387317521459</v>
      </c>
      <c r="AB151" s="21">
        <f>EXP(-LN(2)/2)*AB150+(1-EXP(-LN(2)/2))/(LN(2)/2)*V151*Y151*VLOOKUP('Données projet'!$B$9,Paramètres!$A$1:$I$89,3,0)*0.475*44/12</f>
        <v>6.7943089694658062E-10</v>
      </c>
      <c r="AC151" s="22">
        <f t="shared" si="111"/>
        <v>48.612809360782627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1.5961632016114892E-13</v>
      </c>
      <c r="AK151" s="13">
        <f t="shared" si="143"/>
        <v>2.2708641912150958E-12</v>
      </c>
      <c r="AL151" s="20">
        <f t="shared" si="112"/>
        <v>4.2330868906469593E-12</v>
      </c>
      <c r="AM151" s="59">
        <f t="shared" si="113"/>
        <v>293.33333333333752</v>
      </c>
      <c r="AN151" s="59">
        <f ca="1">AVERAGE(OFFSET($AM$3,0,0,'Données projet'!$E$10+1,1))-AVERAGE(OFFSET($H$3,0,0,'Données projet'!$E$10+1,1))</f>
        <v>205.73717397588365</v>
      </c>
      <c r="AO151" s="59">
        <f t="shared" si="144"/>
        <v>190.64998698136026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74.773754258011294</v>
      </c>
      <c r="AV151" s="21">
        <f>EXP(-LN(2)/25)*AV150+(1-EXP(-LN(2)/25))/(LN(2)/25)*Calculateur!AQ151*Calculateur!AS151*VLOOKUP('Données projet'!$B$10,Paramètres!$A$1:$I$89,3,0)*0.475*44/12</f>
        <v>13.332219401584396</v>
      </c>
      <c r="AW151" s="21">
        <f>EXP(-LN(2)/2)*AW150+(1-EXP(-LN(2)/2))/(LN(2)/2)*AQ151*AT151*VLOOKUP('Données projet'!$B$10,Paramètres!$A$1:$I$89,3,0)*0.475*44/12</f>
        <v>7.4807760598628243E-6</v>
      </c>
      <c r="AX151" s="21">
        <f t="shared" si="114"/>
        <v>88.105981140371753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-3.1036506698001178E-14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159.92263609041913</v>
      </c>
      <c r="BJ151" s="59">
        <f t="shared" si="146"/>
        <v>271.78119133009307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7.9437122660998805</v>
      </c>
      <c r="BQ151" s="21">
        <f>EXP(-LN(2)/25)*BQ150+(1-EXP(-LN(2)/25))/(LN(2)/25)*Calculateur!BL151*Calculateur!BN151*VLOOKUP('Données projet'!$B$11,Paramètres!$A$1:$I$89,3,0)*0.475*44/12</f>
        <v>7.5062299157878316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15.449942181887712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5.6843418860808015E-13</v>
      </c>
      <c r="BZ151" s="13">
        <f>BY151*VLOOKUP('Données projet'!$B$12,Paramètres!$A$1:$I$89,3,0)*VLOOKUP('Données projet'!$B$12,Paramètres!$A$1:$I$89,5,0)</f>
        <v>5.1431925385259092E-13</v>
      </c>
      <c r="CA151" s="13">
        <f t="shared" si="147"/>
        <v>6.3855359115685756E-12</v>
      </c>
      <c r="CB151" s="20">
        <f t="shared" si="118"/>
        <v>1.2017247746441865E-11</v>
      </c>
      <c r="CC151" s="59">
        <f t="shared" si="119"/>
        <v>293.33333333334531</v>
      </c>
      <c r="CD151" s="59">
        <f ca="1">AVERAGE(OFFSET($CC$3,0,0,'Données projet'!$E$12+1,1))-AVERAGE(OFFSET($H$3,0,0,'Données projet'!$E$12+1,1))</f>
        <v>280.25710840677186</v>
      </c>
      <c r="CE151" s="59">
        <f t="shared" si="148"/>
        <v>209.65224013288037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122.10839603723633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122.10839603723633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243</v>
      </c>
      <c r="CU151" s="17">
        <f>CT151*VLOOKUP('Données projet'!$B$13,Paramètres!$A$1:$I$89,3,0)*VLOOKUP('Données projet'!$B$13,Paramètres!$A$1:$I$89,5,0)</f>
        <v>253.98360000000002</v>
      </c>
      <c r="CV151" s="13">
        <f t="shared" si="149"/>
        <v>61.438182405444294</v>
      </c>
      <c r="CW151" s="20">
        <f t="shared" si="121"/>
        <v>549.35960435614891</v>
      </c>
      <c r="CX151" s="59">
        <f t="shared" si="122"/>
        <v>842.69293768948228</v>
      </c>
      <c r="CY151" s="59">
        <f ca="1">AVERAGE(OFFSET($CX$3,0,0,'Données projet'!$E$13+1,1))-AVERAGE(OFFSET($H$3,0,0,'Données projet'!$E$13+1,1))</f>
        <v>330.14201227773452</v>
      </c>
      <c r="CZ151" s="59">
        <f t="shared" si="150"/>
        <v>307.07297894926467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12.602338359693666</v>
      </c>
      <c r="DG151" s="21">
        <f>EXP(-LN(2)/25)*DG150+(1-EXP(-LN(2)/25))/(LN(2)/25)*Calculateur!DB151*Calculateur!DD151*VLOOKUP('Données projet'!$B$13,Paramètres!$A$1:$I$89,3,0)*0.475*44/12</f>
        <v>4.7078151095189851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17.310153469212651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283.73369613548124</v>
      </c>
      <c r="T152" s="59">
        <f t="shared" si="142"/>
        <v>249.77804091581208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42.012159816755315</v>
      </c>
      <c r="AA152" s="21">
        <f>EXP(-LN(2)/25)*AA151+(1-EXP(-LN(2)/25))/(LN(2)/25)*Calculateur!V152*Calculateur!X152*VLOOKUP('Données projet'!$B$9,Paramètres!$A$1:$I$89,3,0)*0.475*44/12</f>
        <v>5.6028219662093353</v>
      </c>
      <c r="AB152" s="21">
        <f>EXP(-LN(2)/2)*AB151+(1-EXP(-LN(2)/2))/(LN(2)/2)*V152*Y152*VLOOKUP('Données projet'!$B$9,Paramètres!$A$1:$I$89,3,0)*0.475*44/12</f>
        <v>4.804301945785855E-10</v>
      </c>
      <c r="AC152" s="22">
        <f t="shared" si="111"/>
        <v>47.614981783445081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1.5961632016114892E-13</v>
      </c>
      <c r="AK152" s="13">
        <f t="shared" si="143"/>
        <v>2.2708641912150958E-12</v>
      </c>
      <c r="AL152" s="20">
        <f t="shared" si="112"/>
        <v>4.2330868906469593E-12</v>
      </c>
      <c r="AM152" s="59">
        <f t="shared" si="113"/>
        <v>293.33333333333752</v>
      </c>
      <c r="AN152" s="59">
        <f ca="1">AVERAGE(OFFSET($AM$3,0,0,'Données projet'!$E$10+1,1))-AVERAGE(OFFSET($H$3,0,0,'Données projet'!$E$10+1,1))</f>
        <v>205.73717397588365</v>
      </c>
      <c r="AO152" s="59">
        <f t="shared" si="144"/>
        <v>190.64998698136026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73.307486544498431</v>
      </c>
      <c r="AV152" s="21">
        <f>EXP(-LN(2)/25)*AV151+(1-EXP(-LN(2)/25))/(LN(2)/25)*Calculateur!AQ152*Calculateur!AS152*VLOOKUP('Données projet'!$B$10,Paramètres!$A$1:$I$89,3,0)*0.475*44/12</f>
        <v>12.967649160937123</v>
      </c>
      <c r="AW152" s="21">
        <f>EXP(-LN(2)/2)*AW151+(1-EXP(-LN(2)/2))/(LN(2)/2)*AQ152*AT152*VLOOKUP('Données projet'!$B$10,Paramètres!$A$1:$I$89,3,0)*0.475*44/12</f>
        <v>5.2897074804669857E-6</v>
      </c>
      <c r="AX152" s="21">
        <f t="shared" si="114"/>
        <v>86.275140995143033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-3.1036506698001178E-14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159.92263609041913</v>
      </c>
      <c r="BJ152" s="59">
        <f t="shared" si="146"/>
        <v>271.78119133009307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7.7879409137477218</v>
      </c>
      <c r="BQ152" s="21">
        <f>EXP(-LN(2)/25)*BQ151+(1-EXP(-LN(2)/25))/(LN(2)/25)*Calculateur!BL152*Calculateur!BN152*VLOOKUP('Données projet'!$B$11,Paramètres!$A$1:$I$89,3,0)*0.475*44/12</f>
        <v>7.3009716640051376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15.088912577752859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5.6843418860808015E-13</v>
      </c>
      <c r="BZ152" s="13">
        <f>BY152*VLOOKUP('Données projet'!$B$12,Paramètres!$A$1:$I$89,3,0)*VLOOKUP('Données projet'!$B$12,Paramètres!$A$1:$I$89,5,0)</f>
        <v>5.1431925385259092E-13</v>
      </c>
      <c r="CA152" s="13">
        <f t="shared" si="147"/>
        <v>6.3855359115685756E-12</v>
      </c>
      <c r="CB152" s="20">
        <f t="shared" si="118"/>
        <v>1.2017247746441865E-11</v>
      </c>
      <c r="CC152" s="59">
        <f t="shared" si="119"/>
        <v>293.33333333334531</v>
      </c>
      <c r="CD152" s="59">
        <f ca="1">AVERAGE(OFFSET($CC$3,0,0,'Données projet'!$E$12+1,1))-AVERAGE(OFFSET($H$3,0,0,'Données projet'!$E$12+1,1))</f>
        <v>280.25710840677186</v>
      </c>
      <c r="CE152" s="59">
        <f t="shared" si="148"/>
        <v>209.65224013288037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119.71392486971354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119.71392486971354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243</v>
      </c>
      <c r="CU152" s="17">
        <f>CT152*VLOOKUP('Données projet'!$B$13,Paramètres!$A$1:$I$89,3,0)*VLOOKUP('Données projet'!$B$13,Paramètres!$A$1:$I$89,5,0)</f>
        <v>253.98360000000002</v>
      </c>
      <c r="CV152" s="13">
        <f t="shared" si="149"/>
        <v>61.438182405444294</v>
      </c>
      <c r="CW152" s="20">
        <f t="shared" si="121"/>
        <v>549.35960435614891</v>
      </c>
      <c r="CX152" s="59">
        <f t="shared" si="122"/>
        <v>842.69293768948228</v>
      </c>
      <c r="CY152" s="59">
        <f ca="1">AVERAGE(OFFSET($CX$3,0,0,'Données projet'!$E$13+1,1))-AVERAGE(OFFSET($H$3,0,0,'Données projet'!$E$13+1,1))</f>
        <v>330.14201227773452</v>
      </c>
      <c r="CZ152" s="59">
        <f t="shared" si="150"/>
        <v>307.07297894926467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12.355214191127478</v>
      </c>
      <c r="DG152" s="21">
        <f>EXP(-LN(2)/25)*DG151+(1-EXP(-LN(2)/25))/(LN(2)/25)*Calculateur!DB152*Calculateur!DD152*VLOOKUP('Données projet'!$B$13,Paramètres!$A$1:$I$89,3,0)*0.475*44/12</f>
        <v>4.5790796577759521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16.93429384890343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283.73369613548124</v>
      </c>
      <c r="T153" s="59">
        <f t="shared" si="142"/>
        <v>249.77804091581208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41.188326987635982</v>
      </c>
      <c r="AA153" s="21">
        <f>EXP(-LN(2)/25)*AA152+(1-EXP(-LN(2)/25))/(LN(2)/25)*Calculateur!V153*Calculateur!X153*VLOOKUP('Données projet'!$B$9,Paramètres!$A$1:$I$89,3,0)*0.475*44/12</f>
        <v>5.4496125049037394</v>
      </c>
      <c r="AB153" s="21">
        <f>EXP(-LN(2)/2)*AB152+(1-EXP(-LN(2)/2))/(LN(2)/2)*V153*Y153*VLOOKUP('Données projet'!$B$9,Paramètres!$A$1:$I$89,3,0)*0.475*44/12</f>
        <v>3.3971544847329031E-10</v>
      </c>
      <c r="AC153" s="22">
        <f t="shared" si="111"/>
        <v>46.63793949287944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1.5961632016114892E-13</v>
      </c>
      <c r="AK153" s="13">
        <f t="shared" si="143"/>
        <v>2.2708641912150958E-12</v>
      </c>
      <c r="AL153" s="20">
        <f t="shared" si="112"/>
        <v>4.2330868906469593E-12</v>
      </c>
      <c r="AM153" s="59">
        <f t="shared" si="113"/>
        <v>293.33333333333752</v>
      </c>
      <c r="AN153" s="59">
        <f ca="1">AVERAGE(OFFSET($AM$3,0,0,'Données projet'!$E$10+1,1))-AVERAGE(OFFSET($H$3,0,0,'Données projet'!$E$10+1,1))</f>
        <v>205.73717397588365</v>
      </c>
      <c r="AO153" s="59">
        <f t="shared" si="144"/>
        <v>190.64998698136026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71.869971446512551</v>
      </c>
      <c r="AV153" s="21">
        <f>EXP(-LN(2)/25)*AV152+(1-EXP(-LN(2)/25))/(LN(2)/25)*Calculateur!AQ153*Calculateur!AS153*VLOOKUP('Données projet'!$B$10,Paramètres!$A$1:$I$89,3,0)*0.475*44/12</f>
        <v>12.613048112692265</v>
      </c>
      <c r="AW153" s="21">
        <f>EXP(-LN(2)/2)*AW152+(1-EXP(-LN(2)/2))/(LN(2)/2)*AQ153*AT153*VLOOKUP('Données projet'!$B$10,Paramètres!$A$1:$I$89,3,0)*0.475*44/12</f>
        <v>3.7403880299314126E-6</v>
      </c>
      <c r="AX153" s="21">
        <f t="shared" si="114"/>
        <v>84.483023299592844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-3.1036506698001178E-14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159.92263609041913</v>
      </c>
      <c r="BJ153" s="59">
        <f t="shared" si="146"/>
        <v>271.78119133009307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7.6352241426040459</v>
      </c>
      <c r="BQ153" s="21">
        <f>EXP(-LN(2)/25)*BQ152+(1-EXP(-LN(2)/25))/(LN(2)/25)*Calculateur!BL153*Calculateur!BN153*VLOOKUP('Données projet'!$B$11,Paramètres!$A$1:$I$89,3,0)*0.475*44/12</f>
        <v>7.1013262099115035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14.73655035251555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5.6843418860808015E-13</v>
      </c>
      <c r="BZ153" s="13">
        <f>BY153*VLOOKUP('Données projet'!$B$12,Paramètres!$A$1:$I$89,3,0)*VLOOKUP('Données projet'!$B$12,Paramètres!$A$1:$I$89,5,0)</f>
        <v>5.1431925385259092E-13</v>
      </c>
      <c r="CA153" s="13">
        <f t="shared" si="147"/>
        <v>6.3855359115685756E-12</v>
      </c>
      <c r="CB153" s="20">
        <f t="shared" si="118"/>
        <v>1.2017247746441865E-11</v>
      </c>
      <c r="CC153" s="59">
        <f t="shared" si="119"/>
        <v>293.33333333334531</v>
      </c>
      <c r="CD153" s="59">
        <f ca="1">AVERAGE(OFFSET($CC$3,0,0,'Données projet'!$E$12+1,1))-AVERAGE(OFFSET($H$3,0,0,'Données projet'!$E$12+1,1))</f>
        <v>280.25710840677186</v>
      </c>
      <c r="CE153" s="59">
        <f t="shared" si="148"/>
        <v>209.65224013288037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117.36640782130267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117.36640782130267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243</v>
      </c>
      <c r="CU153" s="17">
        <f>CT153*VLOOKUP('Données projet'!$B$13,Paramètres!$A$1:$I$89,3,0)*VLOOKUP('Données projet'!$B$13,Paramètres!$A$1:$I$89,5,0)</f>
        <v>253.98360000000002</v>
      </c>
      <c r="CV153" s="13">
        <f t="shared" si="149"/>
        <v>61.438182405444294</v>
      </c>
      <c r="CW153" s="20">
        <f t="shared" si="121"/>
        <v>549.35960435614891</v>
      </c>
      <c r="CX153" s="59">
        <f t="shared" si="122"/>
        <v>842.69293768948228</v>
      </c>
      <c r="CY153" s="59">
        <f ca="1">AVERAGE(OFFSET($CX$3,0,0,'Données projet'!$E$13+1,1))-AVERAGE(OFFSET($H$3,0,0,'Données projet'!$E$13+1,1))</f>
        <v>330.14201227773452</v>
      </c>
      <c r="CZ153" s="59">
        <f t="shared" si="150"/>
        <v>307.07297894926467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12.112935976776013</v>
      </c>
      <c r="DG153" s="21">
        <f>EXP(-LN(2)/25)*DG152+(1-EXP(-LN(2)/25))/(LN(2)/25)*Calculateur!DB153*Calculateur!DD153*VLOOKUP('Données projet'!$B$13,Paramètres!$A$1:$I$89,3,0)*0.475*44/12</f>
        <v>4.4538644837307348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16.566800460506748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283.73369613548124</v>
      </c>
      <c r="T154" s="59">
        <f t="shared" si="142"/>
        <v>249.77804091581208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40.380649017807272</v>
      </c>
      <c r="AA154" s="21">
        <f>EXP(-LN(2)/25)*AA153+(1-EXP(-LN(2)/25))/(LN(2)/25)*Calculateur!V154*Calculateur!X154*VLOOKUP('Données projet'!$B$9,Paramètres!$A$1:$I$89,3,0)*0.475*44/12</f>
        <v>5.3005925643744805</v>
      </c>
      <c r="AB154" s="21">
        <f>EXP(-LN(2)/2)*AB153+(1-EXP(-LN(2)/2))/(LN(2)/2)*V154*Y154*VLOOKUP('Données projet'!$B$9,Paramètres!$A$1:$I$89,3,0)*0.475*44/12</f>
        <v>2.4021509728929275E-10</v>
      </c>
      <c r="AC154" s="22">
        <f t="shared" ref="AC154:AC203" si="163">SUM(Z154:AB154)</f>
        <v>45.681241582421968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1.5961632016114892E-13</v>
      </c>
      <c r="AK154" s="13">
        <f t="shared" ref="AK154:AK203" si="164">EXP(-1.0587+0.8836*LN(AJ154)+0.284)</f>
        <v>2.2708641912150958E-12</v>
      </c>
      <c r="AL154" s="20">
        <f t="shared" ref="AL154:AL203" si="165">(AJ154+AK154)*0.475*44/12</f>
        <v>4.2330868906469593E-12</v>
      </c>
      <c r="AM154" s="59">
        <f t="shared" si="113"/>
        <v>293.33333333333752</v>
      </c>
      <c r="AN154" s="59">
        <f ca="1">AVERAGE(OFFSET($AM$3,0,0,'Données projet'!$E$10+1,1))-AVERAGE(OFFSET($H$3,0,0,'Données projet'!$E$10+1,1))</f>
        <v>205.73717397588365</v>
      </c>
      <c r="AO154" s="59">
        <f t="shared" si="144"/>
        <v>190.64998698136026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70.460645142800544</v>
      </c>
      <c r="AV154" s="21">
        <f>EXP(-LN(2)/25)*AV153+(1-EXP(-LN(2)/25))/(LN(2)/25)*Calculateur!AQ154*Calculateur!AS154*VLOOKUP('Données projet'!$B$10,Paramètres!$A$1:$I$89,3,0)*0.475*44/12</f>
        <v>12.268143648759322</v>
      </c>
      <c r="AW154" s="21">
        <f>EXP(-LN(2)/2)*AW153+(1-EXP(-LN(2)/2))/(LN(2)/2)*AQ154*AT154*VLOOKUP('Données projet'!$B$10,Paramètres!$A$1:$I$89,3,0)*0.475*44/12</f>
        <v>2.6448537402334933E-6</v>
      </c>
      <c r="AX154" s="21">
        <f t="shared" ref="AX154:AX203" si="166">SUM(AU154:AW154)</f>
        <v>82.728791436413601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-3.1036506698001178E-14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159.92263609041913</v>
      </c>
      <c r="BJ154" s="59">
        <f t="shared" si="146"/>
        <v>271.78119133009307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7.4855020541944643</v>
      </c>
      <c r="BQ154" s="21">
        <f>EXP(-LN(2)/25)*BQ153+(1-EXP(-LN(2)/25))/(LN(2)/25)*Calculateur!BL154*Calculateur!BN154*VLOOKUP('Données projet'!$B$11,Paramètres!$A$1:$I$89,3,0)*0.475*44/12</f>
        <v>6.9071400712589588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14.392642125453424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5.6843418860808015E-13</v>
      </c>
      <c r="BZ154" s="13">
        <f>BY154*VLOOKUP('Données projet'!$B$12,Paramètres!$A$1:$I$89,3,0)*VLOOKUP('Données projet'!$B$12,Paramètres!$A$1:$I$89,5,0)</f>
        <v>5.1431925385259092E-13</v>
      </c>
      <c r="CA154" s="13">
        <f t="shared" ref="CA154:CA203" si="170">EXP(-1.0587+0.8836*LN(BZ154)+0.284)</f>
        <v>6.3855359115685756E-12</v>
      </c>
      <c r="CB154" s="20">
        <f t="shared" ref="CB154:CB203" si="171">(BZ154+CA154)*0.475*44/12</f>
        <v>1.2017247746441865E-11</v>
      </c>
      <c r="CC154" s="59">
        <f t="shared" si="119"/>
        <v>293.33333333334531</v>
      </c>
      <c r="CD154" s="59">
        <f ca="1">AVERAGE(OFFSET($CC$3,0,0,'Données projet'!$E$12+1,1))-AVERAGE(OFFSET($H$3,0,0,'Données projet'!$E$12+1,1))</f>
        <v>280.25710840677186</v>
      </c>
      <c r="CE154" s="59">
        <f t="shared" si="148"/>
        <v>209.65224013288037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115.06492415036712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115.06492415036712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243</v>
      </c>
      <c r="CU154" s="17">
        <f>CT154*VLOOKUP('Données projet'!$B$13,Paramètres!$A$1:$I$89,3,0)*VLOOKUP('Données projet'!$B$13,Paramètres!$A$1:$I$89,5,0)</f>
        <v>253.98360000000002</v>
      </c>
      <c r="CV154" s="13">
        <f t="shared" ref="CV154:CV203" si="173">EXP(-1.0587+0.8836*LN(CU154)+0.284)</f>
        <v>61.438182405444294</v>
      </c>
      <c r="CW154" s="20">
        <f t="shared" ref="CW154:CW203" si="174">(CU154+CV154)*0.475*44/12</f>
        <v>549.35960435614891</v>
      </c>
      <c r="CX154" s="59">
        <f t="shared" si="122"/>
        <v>842.69293768948228</v>
      </c>
      <c r="CY154" s="59">
        <f ca="1">AVERAGE(OFFSET($CX$3,0,0,'Données projet'!$E$13+1,1))-AVERAGE(OFFSET($H$3,0,0,'Données projet'!$E$13+1,1))</f>
        <v>330.14201227773452</v>
      </c>
      <c r="CZ154" s="59">
        <f t="shared" si="150"/>
        <v>307.07297894926467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11.875408690432861</v>
      </c>
      <c r="DG154" s="21">
        <f>EXP(-LN(2)/25)*DG153+(1-EXP(-LN(2)/25))/(LN(2)/25)*Calculateur!DB154*Calculateur!DD154*VLOOKUP('Données projet'!$B$13,Paramètres!$A$1:$I$89,3,0)*0.475*44/12</f>
        <v>4.332073325204564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16.207482015637424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283.73369613548124</v>
      </c>
      <c r="T155" s="59">
        <f t="shared" si="142"/>
        <v>249.77804091581208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39.588809120331987</v>
      </c>
      <c r="AA155" s="21">
        <f>EXP(-LN(2)/25)*AA154+(1-EXP(-LN(2)/25))/(LN(2)/25)*Calculateur!V155*Calculateur!X155*VLOOKUP('Données projet'!$B$9,Paramètres!$A$1:$I$89,3,0)*0.475*44/12</f>
        <v>5.1556475819556118</v>
      </c>
      <c r="AB155" s="21">
        <f>EXP(-LN(2)/2)*AB154+(1-EXP(-LN(2)/2))/(LN(2)/2)*V155*Y155*VLOOKUP('Données projet'!$B$9,Paramètres!$A$1:$I$89,3,0)*0.475*44/12</f>
        <v>1.6985772423664515E-10</v>
      </c>
      <c r="AC155" s="22">
        <f t="shared" si="163"/>
        <v>44.744456702457455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1.5961632016114892E-13</v>
      </c>
      <c r="AK155" s="13">
        <f t="shared" si="164"/>
        <v>2.2708641912150958E-12</v>
      </c>
      <c r="AL155" s="20">
        <f t="shared" si="165"/>
        <v>4.2330868906469593E-12</v>
      </c>
      <c r="AM155" s="59">
        <f t="shared" si="113"/>
        <v>293.33333333333752</v>
      </c>
      <c r="AN155" s="59">
        <f ca="1">AVERAGE(OFFSET($AM$3,0,0,'Données projet'!$E$10+1,1))-AVERAGE(OFFSET($H$3,0,0,'Données projet'!$E$10+1,1))</f>
        <v>205.73717397588365</v>
      </c>
      <c r="AO155" s="59">
        <f t="shared" si="144"/>
        <v>190.64998698136026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69.078954868300158</v>
      </c>
      <c r="AV155" s="21">
        <f>EXP(-LN(2)/25)*AV154+(1-EXP(-LN(2)/25))/(LN(2)/25)*Calculateur!AQ155*Calculateur!AS155*VLOOKUP('Données projet'!$B$10,Paramètres!$A$1:$I$89,3,0)*0.475*44/12</f>
        <v>11.932670615530363</v>
      </c>
      <c r="AW155" s="21">
        <f>EXP(-LN(2)/2)*AW154+(1-EXP(-LN(2)/2))/(LN(2)/2)*AQ155*AT155*VLOOKUP('Données projet'!$B$10,Paramètres!$A$1:$I$89,3,0)*0.475*44/12</f>
        <v>1.8701940149657067E-6</v>
      </c>
      <c r="AX155" s="21">
        <f t="shared" si="166"/>
        <v>81.01162735402454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-3.1036506698001178E-14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159.92263609041913</v>
      </c>
      <c r="BJ155" s="59">
        <f t="shared" si="146"/>
        <v>271.78119133009307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7.3387159246171381</v>
      </c>
      <c r="BQ155" s="21">
        <f>EXP(-LN(2)/25)*BQ154+(1-EXP(-LN(2)/25))/(LN(2)/25)*Calculateur!BL155*Calculateur!BN155*VLOOKUP('Données projet'!$B$11,Paramètres!$A$1:$I$89,3,0)*0.475*44/12</f>
        <v>6.7182639627796723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14.05697988739681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5.6843418860808015E-13</v>
      </c>
      <c r="BZ155" s="13">
        <f>BY155*VLOOKUP('Données projet'!$B$12,Paramètres!$A$1:$I$89,3,0)*VLOOKUP('Données projet'!$B$12,Paramètres!$A$1:$I$89,5,0)</f>
        <v>5.1431925385259092E-13</v>
      </c>
      <c r="CA155" s="13">
        <f t="shared" si="170"/>
        <v>6.3855359115685756E-12</v>
      </c>
      <c r="CB155" s="20">
        <f t="shared" si="171"/>
        <v>1.2017247746441865E-11</v>
      </c>
      <c r="CC155" s="59">
        <f t="shared" si="119"/>
        <v>293.33333333334531</v>
      </c>
      <c r="CD155" s="59">
        <f ca="1">AVERAGE(OFFSET($CC$3,0,0,'Données projet'!$E$12+1,1))-AVERAGE(OFFSET($H$3,0,0,'Données projet'!$E$12+1,1))</f>
        <v>280.25710840677186</v>
      </c>
      <c r="CE155" s="59">
        <f t="shared" si="148"/>
        <v>209.65224013288037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112.80857117045218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112.80857117045218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243</v>
      </c>
      <c r="CU155" s="17">
        <f>CT155*VLOOKUP('Données projet'!$B$13,Paramètres!$A$1:$I$89,3,0)*VLOOKUP('Données projet'!$B$13,Paramètres!$A$1:$I$89,5,0)</f>
        <v>253.98360000000002</v>
      </c>
      <c r="CV155" s="13">
        <f t="shared" si="173"/>
        <v>61.438182405444294</v>
      </c>
      <c r="CW155" s="20">
        <f t="shared" si="174"/>
        <v>549.35960435614891</v>
      </c>
      <c r="CX155" s="59">
        <f t="shared" si="122"/>
        <v>842.69293768948228</v>
      </c>
      <c r="CY155" s="59">
        <f ca="1">AVERAGE(OFFSET($CX$3,0,0,'Données projet'!$E$13+1,1))-AVERAGE(OFFSET($H$3,0,0,'Données projet'!$E$13+1,1))</f>
        <v>330.14201227773452</v>
      </c>
      <c r="CZ155" s="59">
        <f t="shared" si="150"/>
        <v>307.07297894926467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11.642539169297558</v>
      </c>
      <c r="DG155" s="21">
        <f>EXP(-LN(2)/25)*DG154+(1-EXP(-LN(2)/25))/(LN(2)/25)*Calculateur!DB155*Calculateur!DD155*VLOOKUP('Données projet'!$B$13,Paramètres!$A$1:$I$89,3,0)*0.475*44/12</f>
        <v>4.2136125523130099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15.856151721610569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283.73369613548124</v>
      </c>
      <c r="T156" s="59">
        <f t="shared" si="142"/>
        <v>249.77804091581208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38.81249672027154</v>
      </c>
      <c r="AA156" s="21">
        <f>EXP(-LN(2)/25)*AA155+(1-EXP(-LN(2)/25))/(LN(2)/25)*Calculateur!V156*Calculateur!X156*VLOOKUP('Données projet'!$B$9,Paramètres!$A$1:$I$89,3,0)*0.475*44/12</f>
        <v>5.0146661277033129</v>
      </c>
      <c r="AB156" s="21">
        <f>EXP(-LN(2)/2)*AB155+(1-EXP(-LN(2)/2))/(LN(2)/2)*V156*Y156*VLOOKUP('Données projet'!$B$9,Paramètres!$A$1:$I$89,3,0)*0.475*44/12</f>
        <v>1.2010754864464638E-10</v>
      </c>
      <c r="AC156" s="22">
        <f t="shared" si="163"/>
        <v>43.827162848094964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1.5961632016114892E-13</v>
      </c>
      <c r="AK156" s="13">
        <f t="shared" si="164"/>
        <v>2.2708641912150958E-12</v>
      </c>
      <c r="AL156" s="20">
        <f t="shared" si="165"/>
        <v>4.2330868906469593E-12</v>
      </c>
      <c r="AM156" s="59">
        <f t="shared" si="113"/>
        <v>293.33333333333752</v>
      </c>
      <c r="AN156" s="59">
        <f ca="1">AVERAGE(OFFSET($AM$3,0,0,'Données projet'!$E$10+1,1))-AVERAGE(OFFSET($H$3,0,0,'Données projet'!$E$10+1,1))</f>
        <v>205.73717397588365</v>
      </c>
      <c r="AO156" s="59">
        <f t="shared" si="144"/>
        <v>190.64998698136026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67.724358697334878</v>
      </c>
      <c r="AV156" s="21">
        <f>EXP(-LN(2)/25)*AV155+(1-EXP(-LN(2)/25))/(LN(2)/25)*Calculateur!AQ156*Calculateur!AS156*VLOOKUP('Données projet'!$B$10,Paramètres!$A$1:$I$89,3,0)*0.475*44/12</f>
        <v>11.606371110036809</v>
      </c>
      <c r="AW156" s="21">
        <f>EXP(-LN(2)/2)*AW155+(1-EXP(-LN(2)/2))/(LN(2)/2)*AQ156*AT156*VLOOKUP('Données projet'!$B$10,Paramètres!$A$1:$I$89,3,0)*0.475*44/12</f>
        <v>1.3224268701167469E-6</v>
      </c>
      <c r="AX156" s="21">
        <f t="shared" si="166"/>
        <v>79.330731129798551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-3.1036506698001178E-14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159.92263609041913</v>
      </c>
      <c r="BJ156" s="59">
        <f t="shared" si="146"/>
        <v>271.78119133009307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7.1948081815101244</v>
      </c>
      <c r="BQ156" s="21">
        <f>EXP(-LN(2)/25)*BQ155+(1-EXP(-LN(2)/25))/(LN(2)/25)*Calculateur!BL156*Calculateur!BN156*VLOOKUP('Données projet'!$B$11,Paramètres!$A$1:$I$89,3,0)*0.475*44/12</f>
        <v>6.5345526814193153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13.72936086292944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5.6843418860808015E-13</v>
      </c>
      <c r="BZ156" s="13">
        <f>BY156*VLOOKUP('Données projet'!$B$12,Paramètres!$A$1:$I$89,3,0)*VLOOKUP('Données projet'!$B$12,Paramètres!$A$1:$I$89,5,0)</f>
        <v>5.1431925385259092E-13</v>
      </c>
      <c r="CA156" s="13">
        <f t="shared" si="170"/>
        <v>6.3855359115685756E-12</v>
      </c>
      <c r="CB156" s="20">
        <f t="shared" si="171"/>
        <v>1.2017247746441865E-11</v>
      </c>
      <c r="CC156" s="59">
        <f t="shared" si="119"/>
        <v>293.33333333334531</v>
      </c>
      <c r="CD156" s="59">
        <f ca="1">AVERAGE(OFFSET($CC$3,0,0,'Données projet'!$E$12+1,1))-AVERAGE(OFFSET($H$3,0,0,'Données projet'!$E$12+1,1))</f>
        <v>280.25710840677186</v>
      </c>
      <c r="CE156" s="59">
        <f t="shared" si="148"/>
        <v>209.65224013288037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110.59646389623396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110.59646389623396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243</v>
      </c>
      <c r="CU156" s="17">
        <f>CT156*VLOOKUP('Données projet'!$B$13,Paramètres!$A$1:$I$89,3,0)*VLOOKUP('Données projet'!$B$13,Paramètres!$A$1:$I$89,5,0)</f>
        <v>253.98360000000002</v>
      </c>
      <c r="CV156" s="13">
        <f t="shared" si="173"/>
        <v>61.438182405444294</v>
      </c>
      <c r="CW156" s="20">
        <f t="shared" si="174"/>
        <v>549.35960435614891</v>
      </c>
      <c r="CX156" s="59">
        <f t="shared" si="122"/>
        <v>842.69293768948228</v>
      </c>
      <c r="CY156" s="59">
        <f ca="1">AVERAGE(OFFSET($CX$3,0,0,'Données projet'!$E$13+1,1))-AVERAGE(OFFSET($H$3,0,0,'Données projet'!$E$13+1,1))</f>
        <v>330.14201227773452</v>
      </c>
      <c r="CZ156" s="59">
        <f t="shared" si="150"/>
        <v>307.07297894926467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11.414236077435337</v>
      </c>
      <c r="DG156" s="21">
        <f>EXP(-LN(2)/25)*DG155+(1-EXP(-LN(2)/25))/(LN(2)/25)*Calculateur!DB156*Calculateur!DD156*VLOOKUP('Données projet'!$B$13,Paramètres!$A$1:$I$89,3,0)*0.475*44/12</f>
        <v>4.0983910954857565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15.512627172921093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283.73369613548124</v>
      </c>
      <c r="T157" s="59">
        <f t="shared" si="142"/>
        <v>249.77804091581208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38.051407332872472</v>
      </c>
      <c r="AA157" s="21">
        <f>EXP(-LN(2)/25)*AA156+(1-EXP(-LN(2)/25))/(LN(2)/25)*Calculateur!V157*Calculateur!X157*VLOOKUP('Données projet'!$B$9,Paramètres!$A$1:$I$89,3,0)*0.475*44/12</f>
        <v>4.8775398187314352</v>
      </c>
      <c r="AB157" s="21">
        <f>EXP(-LN(2)/2)*AB156+(1-EXP(-LN(2)/2))/(LN(2)/2)*V157*Y157*VLOOKUP('Données projet'!$B$9,Paramètres!$A$1:$I$89,3,0)*0.475*44/12</f>
        <v>8.4928862118322577E-11</v>
      </c>
      <c r="AC157" s="22">
        <f t="shared" si="163"/>
        <v>42.928947151688838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1.5961632016114892E-13</v>
      </c>
      <c r="AK157" s="13">
        <f t="shared" si="164"/>
        <v>2.2708641912150958E-12</v>
      </c>
      <c r="AL157" s="20">
        <f t="shared" si="165"/>
        <v>4.2330868906469593E-12</v>
      </c>
      <c r="AM157" s="59">
        <f t="shared" si="113"/>
        <v>293.33333333333752</v>
      </c>
      <c r="AN157" s="59">
        <f ca="1">AVERAGE(OFFSET($AM$3,0,0,'Données projet'!$E$10+1,1))-AVERAGE(OFFSET($H$3,0,0,'Données projet'!$E$10+1,1))</f>
        <v>205.73717397588365</v>
      </c>
      <c r="AO157" s="59">
        <f t="shared" si="144"/>
        <v>190.64998698136026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66.39632533106014</v>
      </c>
      <c r="AV157" s="21">
        <f>EXP(-LN(2)/25)*AV156+(1-EXP(-LN(2)/25))/(LN(2)/25)*Calculateur!AQ157*Calculateur!AS157*VLOOKUP('Données projet'!$B$10,Paramètres!$A$1:$I$89,3,0)*0.475*44/12</f>
        <v>11.288994281680322</v>
      </c>
      <c r="AW157" s="21">
        <f>EXP(-LN(2)/2)*AW156+(1-EXP(-LN(2)/2))/(LN(2)/2)*AQ157*AT157*VLOOKUP('Données projet'!$B$10,Paramètres!$A$1:$I$89,3,0)*0.475*44/12</f>
        <v>9.3509700748285346E-7</v>
      </c>
      <c r="AX157" s="21">
        <f t="shared" si="166"/>
        <v>77.685320547837463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-3.1036506698001178E-14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159.92263609041913</v>
      </c>
      <c r="BJ157" s="59">
        <f t="shared" si="146"/>
        <v>271.78119133009307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7.0537223814703829</v>
      </c>
      <c r="BQ157" s="21">
        <f>EXP(-LN(2)/25)*BQ156+(1-EXP(-LN(2)/25))/(LN(2)/25)*Calculateur!BL157*Calculateur!BN157*VLOOKUP('Données projet'!$B$11,Paramètres!$A$1:$I$89,3,0)*0.475*44/12</f>
        <v>6.3558649947087131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13.409587376179097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5.6843418860808015E-13</v>
      </c>
      <c r="BZ157" s="13">
        <f>BY157*VLOOKUP('Données projet'!$B$12,Paramètres!$A$1:$I$89,3,0)*VLOOKUP('Données projet'!$B$12,Paramètres!$A$1:$I$89,5,0)</f>
        <v>5.1431925385259092E-13</v>
      </c>
      <c r="CA157" s="13">
        <f t="shared" si="170"/>
        <v>6.3855359115685756E-12</v>
      </c>
      <c r="CB157" s="20">
        <f t="shared" si="171"/>
        <v>1.2017247746441865E-11</v>
      </c>
      <c r="CC157" s="59">
        <f t="shared" si="119"/>
        <v>293.33333333334531</v>
      </c>
      <c r="CD157" s="59">
        <f ca="1">AVERAGE(OFFSET($CC$3,0,0,'Données projet'!$E$12+1,1))-AVERAGE(OFFSET($H$3,0,0,'Données projet'!$E$12+1,1))</f>
        <v>280.25710840677186</v>
      </c>
      <c r="CE157" s="59">
        <f t="shared" si="148"/>
        <v>209.65224013288037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108.42773469641094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108.42773469641094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243</v>
      </c>
      <c r="CU157" s="17">
        <f>CT157*VLOOKUP('Données projet'!$B$13,Paramètres!$A$1:$I$89,3,0)*VLOOKUP('Données projet'!$B$13,Paramètres!$A$1:$I$89,5,0)</f>
        <v>253.98360000000002</v>
      </c>
      <c r="CV157" s="13">
        <f t="shared" si="173"/>
        <v>61.438182405444294</v>
      </c>
      <c r="CW157" s="20">
        <f t="shared" si="174"/>
        <v>549.35960435614891</v>
      </c>
      <c r="CX157" s="59">
        <f t="shared" si="122"/>
        <v>842.69293768948228</v>
      </c>
      <c r="CY157" s="59">
        <f ca="1">AVERAGE(OFFSET($CX$3,0,0,'Données projet'!$E$13+1,1))-AVERAGE(OFFSET($H$3,0,0,'Données projet'!$E$13+1,1))</f>
        <v>330.14201227773452</v>
      </c>
      <c r="CZ157" s="59">
        <f t="shared" si="150"/>
        <v>307.07297894926467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11.190409869953397</v>
      </c>
      <c r="DG157" s="21">
        <f>EXP(-LN(2)/25)*DG156+(1-EXP(-LN(2)/25))/(LN(2)/25)*Calculateur!DB157*Calculateur!DD157*VLOOKUP('Données projet'!$B$13,Paramètres!$A$1:$I$89,3,0)*0.475*44/12</f>
        <v>3.9863203754546777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15.176730245408075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283.73369613548124</v>
      </c>
      <c r="T158" s="59">
        <f t="shared" si="142"/>
        <v>249.77804091581208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37.305242444141612</v>
      </c>
      <c r="AA158" s="21">
        <f>EXP(-LN(2)/25)*AA157+(1-EXP(-LN(2)/25))/(LN(2)/25)*Calculateur!V158*Calculateur!X158*VLOOKUP('Données projet'!$B$9,Paramètres!$A$1:$I$89,3,0)*0.475*44/12</f>
        <v>4.7441632358895527</v>
      </c>
      <c r="AB158" s="21">
        <f>EXP(-LN(2)/2)*AB157+(1-EXP(-LN(2)/2))/(LN(2)/2)*V158*Y158*VLOOKUP('Données projet'!$B$9,Paramètres!$A$1:$I$89,3,0)*0.475*44/12</f>
        <v>6.0053774322323188E-11</v>
      </c>
      <c r="AC158" s="22">
        <f t="shared" si="163"/>
        <v>42.049405680091219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1.5961632016114892E-13</v>
      </c>
      <c r="AK158" s="13">
        <f t="shared" si="164"/>
        <v>2.2708641912150958E-12</v>
      </c>
      <c r="AL158" s="20">
        <f t="shared" si="165"/>
        <v>4.2330868906469593E-12</v>
      </c>
      <c r="AM158" s="59">
        <f t="shared" si="113"/>
        <v>293.33333333333752</v>
      </c>
      <c r="AN158" s="59">
        <f ca="1">AVERAGE(OFFSET($AM$3,0,0,'Données projet'!$E$10+1,1))-AVERAGE(OFFSET($H$3,0,0,'Données projet'!$E$10+1,1))</f>
        <v>205.73717397588365</v>
      </c>
      <c r="AO158" s="59">
        <f t="shared" si="144"/>
        <v>190.64998698136026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65.094333889077674</v>
      </c>
      <c r="AV158" s="21">
        <f>EXP(-LN(2)/25)*AV157+(1-EXP(-LN(2)/25))/(LN(2)/25)*Calculateur!AQ158*Calculateur!AS158*VLOOKUP('Données projet'!$B$10,Paramètres!$A$1:$I$89,3,0)*0.475*44/12</f>
        <v>10.980296139385366</v>
      </c>
      <c r="AW158" s="21">
        <f>EXP(-LN(2)/2)*AW157+(1-EXP(-LN(2)/2))/(LN(2)/2)*AQ158*AT158*VLOOKUP('Données projet'!$B$10,Paramètres!$A$1:$I$89,3,0)*0.475*44/12</f>
        <v>6.6121343505837354E-7</v>
      </c>
      <c r="AX158" s="21">
        <f t="shared" si="166"/>
        <v>76.074630689676482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-3.1036506698001178E-14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159.92263609041913</v>
      </c>
      <c r="BJ158" s="59">
        <f t="shared" si="146"/>
        <v>271.78119133009307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6.9154031879155804</v>
      </c>
      <c r="BQ158" s="21">
        <f>EXP(-LN(2)/25)*BQ157+(1-EXP(-LN(2)/25))/(LN(2)/25)*Calculateur!BL158*Calculateur!BN158*VLOOKUP('Données projet'!$B$11,Paramètres!$A$1:$I$89,3,0)*0.475*44/12</f>
        <v>6.18206353218799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13.09746672010357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5.6843418860808015E-13</v>
      </c>
      <c r="BZ158" s="13">
        <f>BY158*VLOOKUP('Données projet'!$B$12,Paramètres!$A$1:$I$89,3,0)*VLOOKUP('Données projet'!$B$12,Paramètres!$A$1:$I$89,5,0)</f>
        <v>5.1431925385259092E-13</v>
      </c>
      <c r="CA158" s="13">
        <f t="shared" si="170"/>
        <v>6.3855359115685756E-12</v>
      </c>
      <c r="CB158" s="20">
        <f t="shared" si="171"/>
        <v>1.2017247746441865E-11</v>
      </c>
      <c r="CC158" s="59">
        <f t="shared" si="119"/>
        <v>293.33333333334531</v>
      </c>
      <c r="CD158" s="59">
        <f ca="1">AVERAGE(OFFSET($CC$3,0,0,'Données projet'!$E$12+1,1))-AVERAGE(OFFSET($H$3,0,0,'Données projet'!$E$12+1,1))</f>
        <v>280.25710840677186</v>
      </c>
      <c r="CE158" s="59">
        <f t="shared" si="148"/>
        <v>209.65224013288037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106.30153295340226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106.30153295340226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243</v>
      </c>
      <c r="CU158" s="17">
        <f>CT158*VLOOKUP('Données projet'!$B$13,Paramètres!$A$1:$I$89,3,0)*VLOOKUP('Données projet'!$B$13,Paramètres!$A$1:$I$89,5,0)</f>
        <v>253.98360000000002</v>
      </c>
      <c r="CV158" s="13">
        <f t="shared" si="173"/>
        <v>61.438182405444294</v>
      </c>
      <c r="CW158" s="20">
        <f t="shared" si="174"/>
        <v>549.35960435614891</v>
      </c>
      <c r="CX158" s="59">
        <f t="shared" si="122"/>
        <v>842.69293768948228</v>
      </c>
      <c r="CY158" s="59">
        <f ca="1">AVERAGE(OFFSET($CX$3,0,0,'Données projet'!$E$13+1,1))-AVERAGE(OFFSET($H$3,0,0,'Données projet'!$E$13+1,1))</f>
        <v>330.14201227773452</v>
      </c>
      <c r="CZ158" s="59">
        <f t="shared" si="150"/>
        <v>307.07297894926467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10.970972757879672</v>
      </c>
      <c r="DG158" s="21">
        <f>EXP(-LN(2)/25)*DG157+(1-EXP(-LN(2)/25))/(LN(2)/25)*Calculateur!DB158*Calculateur!DD158*VLOOKUP('Données projet'!$B$13,Paramètres!$A$1:$I$89,3,0)*0.475*44/12</f>
        <v>3.8773142351563918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14.848286993036064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283.73369613548124</v>
      </c>
      <c r="T159" s="59">
        <f t="shared" si="142"/>
        <v>249.77804091581208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36.573709393763117</v>
      </c>
      <c r="AA159" s="21">
        <f>EXP(-LN(2)/25)*AA158+(1-EXP(-LN(2)/25))/(LN(2)/25)*Calculateur!V159*Calculateur!X159*VLOOKUP('Données projet'!$B$9,Paramètres!$A$1:$I$89,3,0)*0.475*44/12</f>
        <v>4.6144338427194516</v>
      </c>
      <c r="AB159" s="21">
        <f>EXP(-LN(2)/2)*AB158+(1-EXP(-LN(2)/2))/(LN(2)/2)*V159*Y159*VLOOKUP('Données projet'!$B$9,Paramètres!$A$1:$I$89,3,0)*0.475*44/12</f>
        <v>4.2464431059161289E-11</v>
      </c>
      <c r="AC159" s="22">
        <f t="shared" si="163"/>
        <v>41.188143236525029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1.5961632016114892E-13</v>
      </c>
      <c r="AK159" s="13">
        <f t="shared" si="164"/>
        <v>2.2708641912150958E-12</v>
      </c>
      <c r="AL159" s="20">
        <f t="shared" si="165"/>
        <v>4.2330868906469593E-12</v>
      </c>
      <c r="AM159" s="59">
        <f t="shared" si="113"/>
        <v>293.33333333333752</v>
      </c>
      <c r="AN159" s="59">
        <f ca="1">AVERAGE(OFFSET($AM$3,0,0,'Données projet'!$E$10+1,1))-AVERAGE(OFFSET($H$3,0,0,'Données projet'!$E$10+1,1))</f>
        <v>205.73717397588365</v>
      </c>
      <c r="AO159" s="59">
        <f t="shared" si="144"/>
        <v>190.64998698136026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63.81787370513613</v>
      </c>
      <c r="AV159" s="21">
        <f>EXP(-LN(2)/25)*AV158+(1-EXP(-LN(2)/25))/(LN(2)/25)*Calculateur!AQ159*Calculateur!AS159*VLOOKUP('Données projet'!$B$10,Paramètres!$A$1:$I$89,3,0)*0.475*44/12</f>
        <v>10.680039364025195</v>
      </c>
      <c r="AW159" s="21">
        <f>EXP(-LN(2)/2)*AW158+(1-EXP(-LN(2)/2))/(LN(2)/2)*AQ159*AT159*VLOOKUP('Données projet'!$B$10,Paramètres!$A$1:$I$89,3,0)*0.475*44/12</f>
        <v>4.6754850374142684E-7</v>
      </c>
      <c r="AX159" s="21">
        <f t="shared" si="166"/>
        <v>74.497913536709831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-3.1036506698001178E-14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159.92263609041913</v>
      </c>
      <c r="BJ159" s="59">
        <f t="shared" si="146"/>
        <v>271.78119133009307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6.7797963493800095</v>
      </c>
      <c r="BQ159" s="21">
        <f>EXP(-LN(2)/25)*BQ158+(1-EXP(-LN(2)/25))/(LN(2)/25)*Calculateur!BL159*Calculateur!BN159*VLOOKUP('Données projet'!$B$11,Paramètres!$A$1:$I$89,3,0)*0.475*44/12</f>
        <v>6.0130146797997179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12.792811029179727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5.6843418860808015E-13</v>
      </c>
      <c r="BZ159" s="13">
        <f>BY159*VLOOKUP('Données projet'!$B$12,Paramètres!$A$1:$I$89,3,0)*VLOOKUP('Données projet'!$B$12,Paramètres!$A$1:$I$89,5,0)</f>
        <v>5.1431925385259092E-13</v>
      </c>
      <c r="CA159" s="13">
        <f t="shared" si="170"/>
        <v>6.3855359115685756E-12</v>
      </c>
      <c r="CB159" s="20">
        <f t="shared" si="171"/>
        <v>1.2017247746441865E-11</v>
      </c>
      <c r="CC159" s="59">
        <f t="shared" si="119"/>
        <v>293.33333333334531</v>
      </c>
      <c r="CD159" s="59">
        <f ca="1">AVERAGE(OFFSET($CC$3,0,0,'Données projet'!$E$12+1,1))-AVERAGE(OFFSET($H$3,0,0,'Données projet'!$E$12+1,1))</f>
        <v>280.25710840677186</v>
      </c>
      <c r="CE159" s="59">
        <f t="shared" si="148"/>
        <v>209.65224013288037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104.21702472971897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104.21702472971897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243</v>
      </c>
      <c r="CU159" s="17">
        <f>CT159*VLOOKUP('Données projet'!$B$13,Paramètres!$A$1:$I$89,3,0)*VLOOKUP('Données projet'!$B$13,Paramètres!$A$1:$I$89,5,0)</f>
        <v>253.98360000000002</v>
      </c>
      <c r="CV159" s="13">
        <f t="shared" si="173"/>
        <v>61.438182405444294</v>
      </c>
      <c r="CW159" s="20">
        <f t="shared" si="174"/>
        <v>549.35960435614891</v>
      </c>
      <c r="CX159" s="59">
        <f t="shared" si="122"/>
        <v>842.69293768948228</v>
      </c>
      <c r="CY159" s="59">
        <f ca="1">AVERAGE(OFFSET($CX$3,0,0,'Données projet'!$E$13+1,1))-AVERAGE(OFFSET($H$3,0,0,'Données projet'!$E$13+1,1))</f>
        <v>330.14201227773452</v>
      </c>
      <c r="CZ159" s="59">
        <f t="shared" si="150"/>
        <v>307.07297894926467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10.75583867373029</v>
      </c>
      <c r="DG159" s="21">
        <f>EXP(-LN(2)/25)*DG158+(1-EXP(-LN(2)/25))/(LN(2)/25)*Calculateur!DB159*Calculateur!DD159*VLOOKUP('Données projet'!$B$13,Paramètres!$A$1:$I$89,3,0)*0.475*44/12</f>
        <v>3.7712888734969465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14.527127547227236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283.73369613548124</v>
      </c>
      <c r="T160" s="59">
        <f t="shared" si="142"/>
        <v>249.77804091581208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35.856521260311446</v>
      </c>
      <c r="AA160" s="21">
        <f>EXP(-LN(2)/25)*AA159+(1-EXP(-LN(2)/25))/(LN(2)/25)*Calculateur!V160*Calculateur!X160*VLOOKUP('Données projet'!$B$9,Paramètres!$A$1:$I$89,3,0)*0.475*44/12</f>
        <v>4.4882519066277586</v>
      </c>
      <c r="AB160" s="21">
        <f>EXP(-LN(2)/2)*AB159+(1-EXP(-LN(2)/2))/(LN(2)/2)*V160*Y160*VLOOKUP('Données projet'!$B$9,Paramètres!$A$1:$I$89,3,0)*0.475*44/12</f>
        <v>3.0026887161161594E-11</v>
      </c>
      <c r="AC160" s="22">
        <f t="shared" si="163"/>
        <v>40.344773166969233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1.5961632016114892E-13</v>
      </c>
      <c r="AK160" s="13">
        <f t="shared" si="164"/>
        <v>2.2708641912150958E-12</v>
      </c>
      <c r="AL160" s="20">
        <f t="shared" si="165"/>
        <v>4.2330868906469593E-12</v>
      </c>
      <c r="AM160" s="59">
        <f t="shared" si="113"/>
        <v>293.33333333333752</v>
      </c>
      <c r="AN160" s="59">
        <f ca="1">AVERAGE(OFFSET($AM$3,0,0,'Données projet'!$E$10+1,1))-AVERAGE(OFFSET($H$3,0,0,'Données projet'!$E$10+1,1))</f>
        <v>205.73717397588365</v>
      </c>
      <c r="AO160" s="59">
        <f t="shared" si="144"/>
        <v>190.64998698136026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62.566444126837837</v>
      </c>
      <c r="AV160" s="21">
        <f>EXP(-LN(2)/25)*AV159+(1-EXP(-LN(2)/25))/(LN(2)/25)*Calculateur!AQ160*Calculateur!AS160*VLOOKUP('Données projet'!$B$10,Paramètres!$A$1:$I$89,3,0)*0.475*44/12</f>
        <v>10.387993125977065</v>
      </c>
      <c r="AW160" s="21">
        <f>EXP(-LN(2)/2)*AW159+(1-EXP(-LN(2)/2))/(LN(2)/2)*AQ160*AT160*VLOOKUP('Données projet'!$B$10,Paramètres!$A$1:$I$89,3,0)*0.475*44/12</f>
        <v>3.3060671752918682E-7</v>
      </c>
      <c r="AX160" s="21">
        <f t="shared" si="166"/>
        <v>72.954437583421623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-3.1036506698001178E-14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159.92263609041913</v>
      </c>
      <c r="BJ160" s="59">
        <f t="shared" si="146"/>
        <v>271.78119133009307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6.6468486782361165</v>
      </c>
      <c r="BQ160" s="21">
        <f>EXP(-LN(2)/25)*BQ159+(1-EXP(-LN(2)/25))/(LN(2)/25)*Calculateur!BL160*Calculateur!BN160*VLOOKUP('Données projet'!$B$11,Paramètres!$A$1:$I$89,3,0)*0.475*44/12</f>
        <v>5.8485884771698959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12.495437155406012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5.6843418860808015E-13</v>
      </c>
      <c r="BZ160" s="13">
        <f>BY160*VLOOKUP('Données projet'!$B$12,Paramètres!$A$1:$I$89,3,0)*VLOOKUP('Données projet'!$B$12,Paramètres!$A$1:$I$89,5,0)</f>
        <v>5.1431925385259092E-13</v>
      </c>
      <c r="CA160" s="13">
        <f t="shared" si="170"/>
        <v>6.3855359115685756E-12</v>
      </c>
      <c r="CB160" s="20">
        <f t="shared" si="171"/>
        <v>1.2017247746441865E-11</v>
      </c>
      <c r="CC160" s="59">
        <f t="shared" si="119"/>
        <v>293.33333333334531</v>
      </c>
      <c r="CD160" s="59">
        <f ca="1">AVERAGE(OFFSET($CC$3,0,0,'Données projet'!$E$12+1,1))-AVERAGE(OFFSET($H$3,0,0,'Données projet'!$E$12+1,1))</f>
        <v>280.25710840677186</v>
      </c>
      <c r="CE160" s="59">
        <f t="shared" si="148"/>
        <v>209.65224013288037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102.17339244087763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102.17339244087763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243</v>
      </c>
      <c r="CU160" s="17">
        <f>CT160*VLOOKUP('Données projet'!$B$13,Paramètres!$A$1:$I$89,3,0)*VLOOKUP('Données projet'!$B$13,Paramètres!$A$1:$I$89,5,0)</f>
        <v>253.98360000000002</v>
      </c>
      <c r="CV160" s="13">
        <f t="shared" si="173"/>
        <v>61.438182405444294</v>
      </c>
      <c r="CW160" s="20">
        <f t="shared" si="174"/>
        <v>549.35960435614891</v>
      </c>
      <c r="CX160" s="59">
        <f t="shared" si="122"/>
        <v>842.69293768948228</v>
      </c>
      <c r="CY160" s="59">
        <f ca="1">AVERAGE(OFFSET($CX$3,0,0,'Données projet'!$E$13+1,1))-AVERAGE(OFFSET($H$3,0,0,'Données projet'!$E$13+1,1))</f>
        <v>330.14201227773452</v>
      </c>
      <c r="CZ160" s="59">
        <f t="shared" si="150"/>
        <v>307.07297894926467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10.544923237752243</v>
      </c>
      <c r="DG160" s="21">
        <f>EXP(-LN(2)/25)*DG159+(1-EXP(-LN(2)/25))/(LN(2)/25)*Calculateur!DB160*Calculateur!DD160*VLOOKUP('Données projet'!$B$13,Paramètres!$A$1:$I$89,3,0)*0.475*44/12</f>
        <v>3.6681627809277102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14.213086018679954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283.73369613548124</v>
      </c>
      <c r="T161" s="59">
        <f t="shared" si="142"/>
        <v>249.77804091581208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35.153396748715195</v>
      </c>
      <c r="AA161" s="21">
        <f>EXP(-LN(2)/25)*AA160+(1-EXP(-LN(2)/25))/(LN(2)/25)*Calculateur!V161*Calculateur!X161*VLOOKUP('Données projet'!$B$9,Paramètres!$A$1:$I$89,3,0)*0.475*44/12</f>
        <v>4.3655204222141126</v>
      </c>
      <c r="AB161" s="21">
        <f>EXP(-LN(2)/2)*AB160+(1-EXP(-LN(2)/2))/(LN(2)/2)*V161*Y161*VLOOKUP('Données projet'!$B$9,Paramètres!$A$1:$I$89,3,0)*0.475*44/12</f>
        <v>2.1232215529580644E-11</v>
      </c>
      <c r="AC161" s="22">
        <f t="shared" si="163"/>
        <v>39.518917170950537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1.5961632016114892E-13</v>
      </c>
      <c r="AK161" s="13">
        <f t="shared" si="164"/>
        <v>2.2708641912150958E-12</v>
      </c>
      <c r="AL161" s="20">
        <f t="shared" si="165"/>
        <v>4.2330868906469593E-12</v>
      </c>
      <c r="AM161" s="59">
        <f t="shared" si="113"/>
        <v>293.33333333333752</v>
      </c>
      <c r="AN161" s="59">
        <f ca="1">AVERAGE(OFFSET($AM$3,0,0,'Données projet'!$E$10+1,1))-AVERAGE(OFFSET($H$3,0,0,'Données projet'!$E$10+1,1))</f>
        <v>205.73717397588365</v>
      </c>
      <c r="AO161" s="59">
        <f t="shared" si="144"/>
        <v>190.64998698136026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61.339554319273304</v>
      </c>
      <c r="AV161" s="21">
        <f>EXP(-LN(2)/25)*AV160+(1-EXP(-LN(2)/25))/(LN(2)/25)*Calculateur!AQ161*Calculateur!AS161*VLOOKUP('Données projet'!$B$10,Paramètres!$A$1:$I$89,3,0)*0.475*44/12</f>
        <v>10.103932907666406</v>
      </c>
      <c r="AW161" s="21">
        <f>EXP(-LN(2)/2)*AW160+(1-EXP(-LN(2)/2))/(LN(2)/2)*AQ161*AT161*VLOOKUP('Données projet'!$B$10,Paramètres!$A$1:$I$89,3,0)*0.475*44/12</f>
        <v>2.3377425187071344E-7</v>
      </c>
      <c r="AX161" s="21">
        <f t="shared" si="166"/>
        <v>71.443487460713968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-3.1036506698001178E-14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159.92263609041913</v>
      </c>
      <c r="BJ161" s="59">
        <f t="shared" si="146"/>
        <v>271.78119133009307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6.5165080298332834</v>
      </c>
      <c r="BQ161" s="21">
        <f>EXP(-LN(2)/25)*BQ160+(1-EXP(-LN(2)/25))/(LN(2)/25)*Calculateur!BL161*Calculateur!BN161*VLOOKUP('Données projet'!$B$11,Paramètres!$A$1:$I$89,3,0)*0.475*44/12</f>
        <v>5.6886585176977844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12.205166547531068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5.6843418860808015E-13</v>
      </c>
      <c r="BZ161" s="13">
        <f>BY161*VLOOKUP('Données projet'!$B$12,Paramètres!$A$1:$I$89,3,0)*VLOOKUP('Données projet'!$B$12,Paramètres!$A$1:$I$89,5,0)</f>
        <v>5.1431925385259092E-13</v>
      </c>
      <c r="CA161" s="13">
        <f t="shared" si="170"/>
        <v>6.3855359115685756E-12</v>
      </c>
      <c r="CB161" s="20">
        <f t="shared" si="171"/>
        <v>1.2017247746441865E-11</v>
      </c>
      <c r="CC161" s="59">
        <f t="shared" si="119"/>
        <v>293.33333333334531</v>
      </c>
      <c r="CD161" s="59">
        <f ca="1">AVERAGE(OFFSET($CC$3,0,0,'Données projet'!$E$12+1,1))-AVERAGE(OFFSET($H$3,0,0,'Données projet'!$E$12+1,1))</f>
        <v>280.25710840677186</v>
      </c>
      <c r="CE161" s="59">
        <f t="shared" si="148"/>
        <v>209.65224013288037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100.16983453472787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100.16983453472787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243</v>
      </c>
      <c r="CU161" s="17">
        <f>CT161*VLOOKUP('Données projet'!$B$13,Paramètres!$A$1:$I$89,3,0)*VLOOKUP('Données projet'!$B$13,Paramètres!$A$1:$I$89,5,0)</f>
        <v>253.98360000000002</v>
      </c>
      <c r="CV161" s="13">
        <f t="shared" si="173"/>
        <v>61.438182405444294</v>
      </c>
      <c r="CW161" s="20">
        <f t="shared" si="174"/>
        <v>549.35960435614891</v>
      </c>
      <c r="CX161" s="59">
        <f t="shared" si="122"/>
        <v>842.69293768948228</v>
      </c>
      <c r="CY161" s="59">
        <f ca="1">AVERAGE(OFFSET($CX$3,0,0,'Données projet'!$E$13+1,1))-AVERAGE(OFFSET($H$3,0,0,'Données projet'!$E$13+1,1))</f>
        <v>330.14201227773452</v>
      </c>
      <c r="CZ161" s="59">
        <f t="shared" si="150"/>
        <v>307.07297894926467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10.338143724828013</v>
      </c>
      <c r="DG161" s="21">
        <f>EXP(-LN(2)/25)*DG160+(1-EXP(-LN(2)/25))/(LN(2)/25)*Calculateur!DB161*Calculateur!DD161*VLOOKUP('Données projet'!$B$13,Paramètres!$A$1:$I$89,3,0)*0.475*44/12</f>
        <v>3.5678566767829452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13.906000401610958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283.73369613548124</v>
      </c>
      <c r="T162" s="59">
        <f t="shared" si="142"/>
        <v>249.77804091581208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34.464060079927741</v>
      </c>
      <c r="AA162" s="21">
        <f>EXP(-LN(2)/25)*AA161+(1-EXP(-LN(2)/25))/(LN(2)/25)*Calculateur!V162*Calculateur!X162*VLOOKUP('Données projet'!$B$9,Paramètres!$A$1:$I$89,3,0)*0.475*44/12</f>
        <v>4.2461450366959266</v>
      </c>
      <c r="AB162" s="21">
        <f>EXP(-LN(2)/2)*AB161+(1-EXP(-LN(2)/2))/(LN(2)/2)*V162*Y162*VLOOKUP('Données projet'!$B$9,Paramètres!$A$1:$I$89,3,0)*0.475*44/12</f>
        <v>1.5013443580580797E-11</v>
      </c>
      <c r="AC162" s="22">
        <f t="shared" si="163"/>
        <v>38.710205116638683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1.5961632016114892E-13</v>
      </c>
      <c r="AK162" s="13">
        <f t="shared" si="164"/>
        <v>2.2708641912150958E-12</v>
      </c>
      <c r="AL162" s="20">
        <f t="shared" si="165"/>
        <v>4.2330868906469593E-12</v>
      </c>
      <c r="AM162" s="59">
        <f t="shared" si="113"/>
        <v>293.33333333333752</v>
      </c>
      <c r="AN162" s="59">
        <f ca="1">AVERAGE(OFFSET($AM$3,0,0,'Données projet'!$E$10+1,1))-AVERAGE(OFFSET($H$3,0,0,'Données projet'!$E$10+1,1))</f>
        <v>205.73717397588365</v>
      </c>
      <c r="AO162" s="59">
        <f t="shared" si="144"/>
        <v>190.64998698136026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60.136723072506221</v>
      </c>
      <c r="AV162" s="21">
        <f>EXP(-LN(2)/25)*AV161+(1-EXP(-LN(2)/25))/(LN(2)/25)*Calculateur!AQ162*Calculateur!AS162*VLOOKUP('Données projet'!$B$10,Paramètres!$A$1:$I$89,3,0)*0.475*44/12</f>
        <v>9.8276403309635292</v>
      </c>
      <c r="AW162" s="21">
        <f>EXP(-LN(2)/2)*AW161+(1-EXP(-LN(2)/2))/(LN(2)/2)*AQ162*AT162*VLOOKUP('Données projet'!$B$10,Paramètres!$A$1:$I$89,3,0)*0.475*44/12</f>
        <v>1.6530335876459344E-7</v>
      </c>
      <c r="AX162" s="21">
        <f t="shared" si="166"/>
        <v>69.964363568773109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-3.1036506698001178E-14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159.92263609041913</v>
      </c>
      <c r="BJ162" s="59">
        <f t="shared" si="146"/>
        <v>271.78119133009307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6.3887232820456843</v>
      </c>
      <c r="BQ162" s="21">
        <f>EXP(-LN(2)/25)*BQ161+(1-EXP(-LN(2)/25))/(LN(2)/25)*Calculateur!BL162*Calculateur!BN162*VLOOKUP('Données projet'!$B$11,Paramètres!$A$1:$I$89,3,0)*0.475*44/12</f>
        <v>5.533101851377789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11.921825133423473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5.6843418860808015E-13</v>
      </c>
      <c r="BZ162" s="13">
        <f>BY162*VLOOKUP('Données projet'!$B$12,Paramètres!$A$1:$I$89,3,0)*VLOOKUP('Données projet'!$B$12,Paramètres!$A$1:$I$89,5,0)</f>
        <v>5.1431925385259092E-13</v>
      </c>
      <c r="CA162" s="13">
        <f t="shared" si="170"/>
        <v>6.3855359115685756E-12</v>
      </c>
      <c r="CB162" s="20">
        <f t="shared" si="171"/>
        <v>1.2017247746441865E-11</v>
      </c>
      <c r="CC162" s="59">
        <f t="shared" si="119"/>
        <v>293.33333333334531</v>
      </c>
      <c r="CD162" s="59">
        <f ca="1">AVERAGE(OFFSET($CC$3,0,0,'Données projet'!$E$12+1,1))-AVERAGE(OFFSET($H$3,0,0,'Données projet'!$E$12+1,1))</f>
        <v>280.25710840677186</v>
      </c>
      <c r="CE162" s="59">
        <f t="shared" si="148"/>
        <v>209.65224013288037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98.205565177068038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98.205565177068038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243</v>
      </c>
      <c r="CU162" s="17">
        <f>CT162*VLOOKUP('Données projet'!$B$13,Paramètres!$A$1:$I$89,3,0)*VLOOKUP('Données projet'!$B$13,Paramètres!$A$1:$I$89,5,0)</f>
        <v>253.98360000000002</v>
      </c>
      <c r="CV162" s="13">
        <f t="shared" si="173"/>
        <v>61.438182405444294</v>
      </c>
      <c r="CW162" s="20">
        <f t="shared" si="174"/>
        <v>549.35960435614891</v>
      </c>
      <c r="CX162" s="59">
        <f t="shared" si="122"/>
        <v>842.69293768948228</v>
      </c>
      <c r="CY162" s="59">
        <f ca="1">AVERAGE(OFFSET($CX$3,0,0,'Données projet'!$E$13+1,1))-AVERAGE(OFFSET($H$3,0,0,'Données projet'!$E$13+1,1))</f>
        <v>330.14201227773452</v>
      </c>
      <c r="CZ162" s="59">
        <f t="shared" si="150"/>
        <v>307.07297894926467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10.135419032029178</v>
      </c>
      <c r="DG162" s="21">
        <f>EXP(-LN(2)/25)*DG161+(1-EXP(-LN(2)/25))/(LN(2)/25)*Calculateur!DB162*Calculateur!DD162*VLOOKUP('Données projet'!$B$13,Paramètres!$A$1:$I$89,3,0)*0.475*44/12</f>
        <v>3.4702934483308874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13.605712480360065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283.73369613548124</v>
      </c>
      <c r="T163" s="59">
        <f t="shared" si="142"/>
        <v>249.77804091581208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33.788240882761357</v>
      </c>
      <c r="AA163" s="21">
        <f>EXP(-LN(2)/25)*AA162+(1-EXP(-LN(2)/25))/(LN(2)/25)*Calculateur!V163*Calculateur!X163*VLOOKUP('Données projet'!$B$9,Paramètres!$A$1:$I$89,3,0)*0.475*44/12</f>
        <v>4.1300339773724133</v>
      </c>
      <c r="AB163" s="21">
        <f>EXP(-LN(2)/2)*AB162+(1-EXP(-LN(2)/2))/(LN(2)/2)*V163*Y163*VLOOKUP('Données projet'!$B$9,Paramètres!$A$1:$I$89,3,0)*0.475*44/12</f>
        <v>1.0616107764790322E-11</v>
      </c>
      <c r="AC163" s="22">
        <f t="shared" si="163"/>
        <v>37.918274860144386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1.5961632016114892E-13</v>
      </c>
      <c r="AK163" s="13">
        <f t="shared" si="164"/>
        <v>2.2708641912150958E-12</v>
      </c>
      <c r="AL163" s="20">
        <f t="shared" si="165"/>
        <v>4.2330868906469593E-12</v>
      </c>
      <c r="AM163" s="59">
        <f t="shared" si="113"/>
        <v>293.33333333333752</v>
      </c>
      <c r="AN163" s="59">
        <f ca="1">AVERAGE(OFFSET($AM$3,0,0,'Données projet'!$E$10+1,1))-AVERAGE(OFFSET($H$3,0,0,'Données projet'!$E$10+1,1))</f>
        <v>205.73717397588365</v>
      </c>
      <c r="AO163" s="59">
        <f t="shared" si="144"/>
        <v>190.64998698136026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58.957478612833619</v>
      </c>
      <c r="AV163" s="21">
        <f>EXP(-LN(2)/25)*AV162+(1-EXP(-LN(2)/25))/(LN(2)/25)*Calculateur!AQ163*Calculateur!AS163*VLOOKUP('Données projet'!$B$10,Paramètres!$A$1:$I$89,3,0)*0.475*44/12</f>
        <v>9.5589029893001882</v>
      </c>
      <c r="AW163" s="21">
        <f>EXP(-LN(2)/2)*AW162+(1-EXP(-LN(2)/2))/(LN(2)/2)*AQ163*AT163*VLOOKUP('Données projet'!$B$10,Paramètres!$A$1:$I$89,3,0)*0.475*44/12</f>
        <v>1.1688712593535675E-7</v>
      </c>
      <c r="AX163" s="21">
        <f t="shared" si="166"/>
        <v>68.516381719020927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-3.1036506698001178E-14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159.92263609041913</v>
      </c>
      <c r="BJ163" s="59">
        <f t="shared" si="146"/>
        <v>271.78119133009307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6.2634443152212</v>
      </c>
      <c r="BQ163" s="21">
        <f>EXP(-LN(2)/25)*BQ162+(1-EXP(-LN(2)/25))/(LN(2)/25)*Calculateur!BL163*Calculateur!BN163*VLOOKUP('Données projet'!$B$11,Paramètres!$A$1:$I$89,3,0)*0.475*44/12</f>
        <v>5.3817988902786826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11.645243205499883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5.6843418860808015E-13</v>
      </c>
      <c r="BZ163" s="13">
        <f>BY163*VLOOKUP('Données projet'!$B$12,Paramètres!$A$1:$I$89,3,0)*VLOOKUP('Données projet'!$B$12,Paramètres!$A$1:$I$89,5,0)</f>
        <v>5.1431925385259092E-13</v>
      </c>
      <c r="CA163" s="13">
        <f t="shared" si="170"/>
        <v>6.3855359115685756E-12</v>
      </c>
      <c r="CB163" s="20">
        <f t="shared" si="171"/>
        <v>1.2017247746441865E-11</v>
      </c>
      <c r="CC163" s="59">
        <f t="shared" si="119"/>
        <v>293.33333333334531</v>
      </c>
      <c r="CD163" s="59">
        <f ca="1">AVERAGE(OFFSET($CC$3,0,0,'Données projet'!$E$12+1,1))-AVERAGE(OFFSET($H$3,0,0,'Données projet'!$E$12+1,1))</f>
        <v>280.25710840677186</v>
      </c>
      <c r="CE163" s="59">
        <f t="shared" si="148"/>
        <v>209.65224013288037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96.279813943425907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96.279813943425907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243</v>
      </c>
      <c r="CU163" s="17">
        <f>CT163*VLOOKUP('Données projet'!$B$13,Paramètres!$A$1:$I$89,3,0)*VLOOKUP('Données projet'!$B$13,Paramètres!$A$1:$I$89,5,0)</f>
        <v>253.98360000000002</v>
      </c>
      <c r="CV163" s="13">
        <f t="shared" si="173"/>
        <v>61.438182405444294</v>
      </c>
      <c r="CW163" s="20">
        <f t="shared" si="174"/>
        <v>549.35960435614891</v>
      </c>
      <c r="CX163" s="59">
        <f t="shared" si="122"/>
        <v>842.69293768948228</v>
      </c>
      <c r="CY163" s="59">
        <f ca="1">AVERAGE(OFFSET($CX$3,0,0,'Données projet'!$E$13+1,1))-AVERAGE(OFFSET($H$3,0,0,'Données projet'!$E$13+1,1))</f>
        <v>330.14201227773452</v>
      </c>
      <c r="CZ163" s="59">
        <f t="shared" si="150"/>
        <v>307.07297894926467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9.9366696468062745</v>
      </c>
      <c r="DG163" s="21">
        <f>EXP(-LN(2)/25)*DG162+(1-EXP(-LN(2)/25))/(LN(2)/25)*Calculateur!DB163*Calculateur!DD163*VLOOKUP('Données projet'!$B$13,Paramètres!$A$1:$I$89,3,0)*0.475*44/12</f>
        <v>3.3753980914914781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13.312067738297753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283.73369613548124</v>
      </c>
      <c r="T164" s="59">
        <f t="shared" si="142"/>
        <v>249.77804091581208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33.125674087842398</v>
      </c>
      <c r="AA164" s="21">
        <f>EXP(-LN(2)/25)*AA163+(1-EXP(-LN(2)/25))/(LN(2)/25)*Calculateur!V164*Calculateur!X164*VLOOKUP('Données projet'!$B$9,Paramètres!$A$1:$I$89,3,0)*0.475*44/12</f>
        <v>4.0170979810721175</v>
      </c>
      <c r="AB164" s="21">
        <f>EXP(-LN(2)/2)*AB163+(1-EXP(-LN(2)/2))/(LN(2)/2)*V164*Y164*VLOOKUP('Données projet'!$B$9,Paramètres!$A$1:$I$89,3,0)*0.475*44/12</f>
        <v>7.5067217902903984E-12</v>
      </c>
      <c r="AC164" s="22">
        <f t="shared" si="163"/>
        <v>37.142772068922021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1.5961632016114892E-13</v>
      </c>
      <c r="AK164" s="13">
        <f t="shared" si="164"/>
        <v>2.2708641912150958E-12</v>
      </c>
      <c r="AL164" s="20">
        <f t="shared" si="165"/>
        <v>4.2330868906469593E-12</v>
      </c>
      <c r="AM164" s="59">
        <f t="shared" si="113"/>
        <v>293.33333333333752</v>
      </c>
      <c r="AN164" s="59">
        <f ca="1">AVERAGE(OFFSET($AM$3,0,0,'Données projet'!$E$10+1,1))-AVERAGE(OFFSET($H$3,0,0,'Données projet'!$E$10+1,1))</f>
        <v>205.73717397588365</v>
      </c>
      <c r="AO164" s="59">
        <f t="shared" si="144"/>
        <v>190.64998698136026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57.801358417747096</v>
      </c>
      <c r="AV164" s="21">
        <f>EXP(-LN(2)/25)*AV163+(1-EXP(-LN(2)/25))/(LN(2)/25)*Calculateur!AQ164*Calculateur!AS164*VLOOKUP('Données projet'!$B$10,Paramètres!$A$1:$I$89,3,0)*0.475*44/12</f>
        <v>9.2975142843769127</v>
      </c>
      <c r="AW164" s="21">
        <f>EXP(-LN(2)/2)*AW163+(1-EXP(-LN(2)/2))/(LN(2)/2)*AQ164*AT164*VLOOKUP('Données projet'!$B$10,Paramètres!$A$1:$I$89,3,0)*0.475*44/12</f>
        <v>8.2651679382296732E-8</v>
      </c>
      <c r="AX164" s="21">
        <f t="shared" si="166"/>
        <v>67.098872784775693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-3.1036506698001178E-14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159.92263609041913</v>
      </c>
      <c r="BJ164" s="59">
        <f t="shared" si="146"/>
        <v>271.78119133009307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6.1406219925235188</v>
      </c>
      <c r="BQ164" s="21">
        <f>EXP(-LN(2)/25)*BQ163+(1-EXP(-LN(2)/25))/(LN(2)/25)*Calculateur!BL164*Calculateur!BN164*VLOOKUP('Données projet'!$B$11,Paramètres!$A$1:$I$89,3,0)*0.475*44/12</f>
        <v>5.2346333166075087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11.375255309131028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5.6843418860808015E-13</v>
      </c>
      <c r="BZ164" s="13">
        <f>BY164*VLOOKUP('Données projet'!$B$12,Paramètres!$A$1:$I$89,3,0)*VLOOKUP('Données projet'!$B$12,Paramètres!$A$1:$I$89,5,0)</f>
        <v>5.1431925385259092E-13</v>
      </c>
      <c r="CA164" s="13">
        <f t="shared" si="170"/>
        <v>6.3855359115685756E-12</v>
      </c>
      <c r="CB164" s="20">
        <f t="shared" si="171"/>
        <v>1.2017247746441865E-11</v>
      </c>
      <c r="CC164" s="59">
        <f t="shared" si="119"/>
        <v>293.33333333334531</v>
      </c>
      <c r="CD164" s="59">
        <f ca="1">AVERAGE(OFFSET($CC$3,0,0,'Données projet'!$E$12+1,1))-AVERAGE(OFFSET($H$3,0,0,'Données projet'!$E$12+1,1))</f>
        <v>280.25710840677186</v>
      </c>
      <c r="CE164" s="59">
        <f t="shared" si="148"/>
        <v>209.65224013288037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94.39182551688323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94.39182551688323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243</v>
      </c>
      <c r="CU164" s="17">
        <f>CT164*VLOOKUP('Données projet'!$B$13,Paramètres!$A$1:$I$89,3,0)*VLOOKUP('Données projet'!$B$13,Paramètres!$A$1:$I$89,5,0)</f>
        <v>253.98360000000002</v>
      </c>
      <c r="CV164" s="13">
        <f t="shared" si="173"/>
        <v>61.438182405444294</v>
      </c>
      <c r="CW164" s="20">
        <f t="shared" si="174"/>
        <v>549.35960435614891</v>
      </c>
      <c r="CX164" s="59">
        <f t="shared" si="122"/>
        <v>842.69293768948228</v>
      </c>
      <c r="CY164" s="59">
        <f ca="1">AVERAGE(OFFSET($CX$3,0,0,'Données projet'!$E$13+1,1))-AVERAGE(OFFSET($H$3,0,0,'Données projet'!$E$13+1,1))</f>
        <v>330.14201227773452</v>
      </c>
      <c r="CZ164" s="59">
        <f t="shared" si="150"/>
        <v>307.07297894926467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9.7418176158024359</v>
      </c>
      <c r="DG164" s="21">
        <f>EXP(-LN(2)/25)*DG163+(1-EXP(-LN(2)/25))/(LN(2)/25)*Calculateur!DB164*Calculateur!DD164*VLOOKUP('Données projet'!$B$13,Paramètres!$A$1:$I$89,3,0)*0.475*44/12</f>
        <v>3.2830976531751723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13.024915268977608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283.73369613548124</v>
      </c>
      <c r="T165" s="59">
        <f t="shared" si="142"/>
        <v>249.77804091581208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32.47609982364596</v>
      </c>
      <c r="AA165" s="21">
        <f>EXP(-LN(2)/25)*AA164+(1-EXP(-LN(2)/25))/(LN(2)/25)*Calculateur!V165*Calculateur!X165*VLOOKUP('Données projet'!$B$9,Paramètres!$A$1:$I$89,3,0)*0.475*44/12</f>
        <v>3.9072502255296988</v>
      </c>
      <c r="AB165" s="21">
        <f>EXP(-LN(2)/2)*AB164+(1-EXP(-LN(2)/2))/(LN(2)/2)*V165*Y165*VLOOKUP('Données projet'!$B$9,Paramètres!$A$1:$I$89,3,0)*0.475*44/12</f>
        <v>5.3080538823951611E-12</v>
      </c>
      <c r="AC165" s="22">
        <f t="shared" si="163"/>
        <v>36.383350049180969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1.5961632016114892E-13</v>
      </c>
      <c r="AK165" s="13">
        <f t="shared" si="164"/>
        <v>2.2708641912150958E-12</v>
      </c>
      <c r="AL165" s="20">
        <f t="shared" si="165"/>
        <v>4.2330868906469593E-12</v>
      </c>
      <c r="AM165" s="59">
        <f t="shared" si="113"/>
        <v>293.33333333333752</v>
      </c>
      <c r="AN165" s="59">
        <f ca="1">AVERAGE(OFFSET($AM$3,0,0,'Données projet'!$E$10+1,1))-AVERAGE(OFFSET($H$3,0,0,'Données projet'!$E$10+1,1))</f>
        <v>205.73717397588365</v>
      </c>
      <c r="AO165" s="59">
        <f t="shared" si="144"/>
        <v>190.64998698136026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56.66790903452253</v>
      </c>
      <c r="AV165" s="21">
        <f>EXP(-LN(2)/25)*AV164+(1-EXP(-LN(2)/25))/(LN(2)/25)*Calculateur!AQ165*Calculateur!AS165*VLOOKUP('Données projet'!$B$10,Paramètres!$A$1:$I$89,3,0)*0.475*44/12</f>
        <v>9.0432732673356</v>
      </c>
      <c r="AW165" s="21">
        <f>EXP(-LN(2)/2)*AW164+(1-EXP(-LN(2)/2))/(LN(2)/2)*AQ165*AT165*VLOOKUP('Données projet'!$B$10,Paramètres!$A$1:$I$89,3,0)*0.475*44/12</f>
        <v>5.8443562967678381E-8</v>
      </c>
      <c r="AX165" s="21">
        <f t="shared" si="166"/>
        <v>65.711182360301692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-3.1036506698001178E-14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159.92263609041913</v>
      </c>
      <c r="BJ165" s="59">
        <f t="shared" si="146"/>
        <v>271.78119133009307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6.0202081406597197</v>
      </c>
      <c r="BQ165" s="21">
        <f>EXP(-LN(2)/25)*BQ164+(1-EXP(-LN(2)/25))/(LN(2)/25)*Calculateur!BL165*Calculateur!BN165*VLOOKUP('Données projet'!$B$11,Paramètres!$A$1:$I$89,3,0)*0.475*44/12</f>
        <v>5.091491993287474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11.111700133947194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5.6843418860808015E-13</v>
      </c>
      <c r="BZ165" s="13">
        <f>BY165*VLOOKUP('Données projet'!$B$12,Paramètres!$A$1:$I$89,3,0)*VLOOKUP('Données projet'!$B$12,Paramètres!$A$1:$I$89,5,0)</f>
        <v>5.1431925385259092E-13</v>
      </c>
      <c r="CA165" s="13">
        <f t="shared" si="170"/>
        <v>6.3855359115685756E-12</v>
      </c>
      <c r="CB165" s="20">
        <f t="shared" si="171"/>
        <v>1.2017247746441865E-11</v>
      </c>
      <c r="CC165" s="59">
        <f t="shared" si="119"/>
        <v>293.33333333334531</v>
      </c>
      <c r="CD165" s="59">
        <f ca="1">AVERAGE(OFFSET($CC$3,0,0,'Données projet'!$E$12+1,1))-AVERAGE(OFFSET($H$3,0,0,'Données projet'!$E$12+1,1))</f>
        <v>280.25710840677186</v>
      </c>
      <c r="CE165" s="59">
        <f t="shared" si="148"/>
        <v>209.65224013288037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92.540859391825819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92.540859391825819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243</v>
      </c>
      <c r="CU165" s="17">
        <f>CT165*VLOOKUP('Données projet'!$B$13,Paramètres!$A$1:$I$89,3,0)*VLOOKUP('Données projet'!$B$13,Paramètres!$A$1:$I$89,5,0)</f>
        <v>253.98360000000002</v>
      </c>
      <c r="CV165" s="13">
        <f t="shared" si="173"/>
        <v>61.438182405444294</v>
      </c>
      <c r="CW165" s="20">
        <f t="shared" si="174"/>
        <v>549.35960435614891</v>
      </c>
      <c r="CX165" s="59">
        <f t="shared" si="122"/>
        <v>842.69293768948228</v>
      </c>
      <c r="CY165" s="59">
        <f ca="1">AVERAGE(OFFSET($CX$3,0,0,'Données projet'!$E$13+1,1))-AVERAGE(OFFSET($H$3,0,0,'Données projet'!$E$13+1,1))</f>
        <v>330.14201227773452</v>
      </c>
      <c r="CZ165" s="59">
        <f t="shared" si="150"/>
        <v>307.07297894926467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9.5507865142785793</v>
      </c>
      <c r="DG165" s="21">
        <f>EXP(-LN(2)/25)*DG164+(1-EXP(-LN(2)/25))/(LN(2)/25)*Calculateur!DB165*Calculateur!DD165*VLOOKUP('Données projet'!$B$13,Paramètres!$A$1:$I$89,3,0)*0.475*44/12</f>
        <v>3.1933211751984953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12.744107689477074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283.73369613548124</v>
      </c>
      <c r="T166" s="59">
        <f t="shared" si="142"/>
        <v>249.77804091581208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31.83926331456923</v>
      </c>
      <c r="AA166" s="21">
        <f>EXP(-LN(2)/25)*AA165+(1-EXP(-LN(2)/25))/(LN(2)/25)*Calculateur!V166*Calculateur!X166*VLOOKUP('Données projet'!$B$9,Paramètres!$A$1:$I$89,3,0)*0.475*44/12</f>
        <v>3.8004062626392301</v>
      </c>
      <c r="AB166" s="21">
        <f>EXP(-LN(2)/2)*AB165+(1-EXP(-LN(2)/2))/(LN(2)/2)*V166*Y166*VLOOKUP('Données projet'!$B$9,Paramètres!$A$1:$I$89,3,0)*0.475*44/12</f>
        <v>3.7533608951451992E-12</v>
      </c>
      <c r="AC166" s="22">
        <f t="shared" si="163"/>
        <v>35.63966957721221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1.5961632016114892E-13</v>
      </c>
      <c r="AK166" s="13">
        <f t="shared" si="164"/>
        <v>2.2708641912150958E-12</v>
      </c>
      <c r="AL166" s="20">
        <f t="shared" si="165"/>
        <v>4.2330868906469593E-12</v>
      </c>
      <c r="AM166" s="59">
        <f t="shared" si="113"/>
        <v>293.33333333333752</v>
      </c>
      <c r="AN166" s="59">
        <f ca="1">AVERAGE(OFFSET($AM$3,0,0,'Données projet'!$E$10+1,1))-AVERAGE(OFFSET($H$3,0,0,'Données projet'!$E$10+1,1))</f>
        <v>205.73717397588365</v>
      </c>
      <c r="AO166" s="59">
        <f t="shared" si="144"/>
        <v>190.64998698136026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55.556685902367143</v>
      </c>
      <c r="AV166" s="21">
        <f>EXP(-LN(2)/25)*AV165+(1-EXP(-LN(2)/25))/(LN(2)/25)*Calculateur!AQ166*Calculateur!AS166*VLOOKUP('Données projet'!$B$10,Paramètres!$A$1:$I$89,3,0)*0.475*44/12</f>
        <v>8.7959844842752357</v>
      </c>
      <c r="AW166" s="21">
        <f>EXP(-LN(2)/2)*AW165+(1-EXP(-LN(2)/2))/(LN(2)/2)*AQ166*AT166*VLOOKUP('Données projet'!$B$10,Paramètres!$A$1:$I$89,3,0)*0.475*44/12</f>
        <v>4.1325839691148372E-8</v>
      </c>
      <c r="AX166" s="21">
        <f t="shared" si="166"/>
        <v>64.352670427968206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-3.1036506698001178E-14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159.92263609041913</v>
      </c>
      <c r="BJ166" s="59">
        <f t="shared" si="146"/>
        <v>271.78119133009307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5.9021555309857723</v>
      </c>
      <c r="BQ166" s="21">
        <f>EXP(-LN(2)/25)*BQ165+(1-EXP(-LN(2)/25))/(LN(2)/25)*Calculateur!BL166*Calculateur!BN166*VLOOKUP('Données projet'!$B$11,Paramètres!$A$1:$I$89,3,0)*0.475*44/12</f>
        <v>4.9522648769811006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10.854420407966874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5.6843418860808015E-13</v>
      </c>
      <c r="BZ166" s="13">
        <f>BY166*VLOOKUP('Données projet'!$B$12,Paramètres!$A$1:$I$89,3,0)*VLOOKUP('Données projet'!$B$12,Paramètres!$A$1:$I$89,5,0)</f>
        <v>5.1431925385259092E-13</v>
      </c>
      <c r="CA166" s="13">
        <f t="shared" si="170"/>
        <v>6.3855359115685756E-12</v>
      </c>
      <c r="CB166" s="20">
        <f t="shared" si="171"/>
        <v>1.2017247746441865E-11</v>
      </c>
      <c r="CC166" s="59">
        <f t="shared" si="119"/>
        <v>293.33333333334531</v>
      </c>
      <c r="CD166" s="59">
        <f ca="1">AVERAGE(OFFSET($CC$3,0,0,'Données projet'!$E$12+1,1))-AVERAGE(OFFSET($H$3,0,0,'Données projet'!$E$12+1,1))</f>
        <v>280.25710840677186</v>
      </c>
      <c r="CE166" s="59">
        <f t="shared" si="148"/>
        <v>209.65224013288037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90.726189583502929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90.726189583502929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243</v>
      </c>
      <c r="CU166" s="17">
        <f>CT166*VLOOKUP('Données projet'!$B$13,Paramètres!$A$1:$I$89,3,0)*VLOOKUP('Données projet'!$B$13,Paramètres!$A$1:$I$89,5,0)</f>
        <v>253.98360000000002</v>
      </c>
      <c r="CV166" s="13">
        <f t="shared" si="173"/>
        <v>61.438182405444294</v>
      </c>
      <c r="CW166" s="20">
        <f t="shared" si="174"/>
        <v>549.35960435614891</v>
      </c>
      <c r="CX166" s="59">
        <f t="shared" si="122"/>
        <v>842.69293768948228</v>
      </c>
      <c r="CY166" s="59">
        <f ca="1">AVERAGE(OFFSET($CX$3,0,0,'Données projet'!$E$13+1,1))-AVERAGE(OFFSET($H$3,0,0,'Données projet'!$E$13+1,1))</f>
        <v>330.14201227773452</v>
      </c>
      <c r="CZ166" s="59">
        <f t="shared" si="150"/>
        <v>307.07297894926467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9.3635014161381385</v>
      </c>
      <c r="DG166" s="21">
        <f>EXP(-LN(2)/25)*DG165+(1-EXP(-LN(2)/25))/(LN(2)/25)*Calculateur!DB166*Calculateur!DD166*VLOOKUP('Données projet'!$B$13,Paramètres!$A$1:$I$89,3,0)*0.475*44/12</f>
        <v>3.1059996397332301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12.469501055871369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283.73369613548124</v>
      </c>
      <c r="T167" s="59">
        <f t="shared" si="142"/>
        <v>249.77804091581208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31.214914781003582</v>
      </c>
      <c r="AA167" s="21">
        <f>EXP(-LN(2)/25)*AA166+(1-EXP(-LN(2)/25))/(LN(2)/25)*Calculateur!V167*Calculateur!X167*VLOOKUP('Données projet'!$B$9,Paramètres!$A$1:$I$89,3,0)*0.475*44/12</f>
        <v>3.696483953532681</v>
      </c>
      <c r="AB167" s="21">
        <f>EXP(-LN(2)/2)*AB166+(1-EXP(-LN(2)/2))/(LN(2)/2)*V167*Y167*VLOOKUP('Données projet'!$B$9,Paramètres!$A$1:$I$89,3,0)*0.475*44/12</f>
        <v>2.6540269411975805E-12</v>
      </c>
      <c r="AC167" s="22">
        <f t="shared" si="163"/>
        <v>34.911398734538921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1.5961632016114892E-13</v>
      </c>
      <c r="AK167" s="13">
        <f t="shared" si="164"/>
        <v>2.2708641912150958E-12</v>
      </c>
      <c r="AL167" s="20">
        <f t="shared" si="165"/>
        <v>4.2330868906469593E-12</v>
      </c>
      <c r="AM167" s="59">
        <f t="shared" si="113"/>
        <v>293.33333333333752</v>
      </c>
      <c r="AN167" s="59">
        <f ca="1">AVERAGE(OFFSET($AM$3,0,0,'Données projet'!$E$10+1,1))-AVERAGE(OFFSET($H$3,0,0,'Données projet'!$E$10+1,1))</f>
        <v>205.73717397588365</v>
      </c>
      <c r="AO167" s="59">
        <f t="shared" si="144"/>
        <v>190.64998698136026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54.467253178054136</v>
      </c>
      <c r="AV167" s="21">
        <f>EXP(-LN(2)/25)*AV166+(1-EXP(-LN(2)/25))/(LN(2)/25)*Calculateur!AQ167*Calculateur!AS167*VLOOKUP('Données projet'!$B$10,Paramètres!$A$1:$I$89,3,0)*0.475*44/12</f>
        <v>8.5554578259920095</v>
      </c>
      <c r="AW167" s="21">
        <f>EXP(-LN(2)/2)*AW166+(1-EXP(-LN(2)/2))/(LN(2)/2)*AQ167*AT167*VLOOKUP('Données projet'!$B$10,Paramètres!$A$1:$I$89,3,0)*0.475*44/12</f>
        <v>2.9221781483839194E-8</v>
      </c>
      <c r="AX167" s="21">
        <f t="shared" si="166"/>
        <v>63.022711033267925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-3.1036506698001178E-14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159.92263609041913</v>
      </c>
      <c r="BJ167" s="59">
        <f t="shared" si="146"/>
        <v>271.78119133009307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5.7864178609825485</v>
      </c>
      <c r="BQ167" s="21">
        <f>EXP(-LN(2)/25)*BQ166+(1-EXP(-LN(2)/25))/(LN(2)/25)*Calculateur!BL167*Calculateur!BN167*VLOOKUP('Données projet'!$B$11,Paramètres!$A$1:$I$89,3,0)*0.475*44/12</f>
        <v>4.8168449334917609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10.603262794474309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5.6843418860808015E-13</v>
      </c>
      <c r="BZ167" s="13">
        <f>BY167*VLOOKUP('Données projet'!$B$12,Paramètres!$A$1:$I$89,3,0)*VLOOKUP('Données projet'!$B$12,Paramètres!$A$1:$I$89,5,0)</f>
        <v>5.1431925385259092E-13</v>
      </c>
      <c r="CA167" s="13">
        <f t="shared" si="170"/>
        <v>6.3855359115685756E-12</v>
      </c>
      <c r="CB167" s="20">
        <f t="shared" si="171"/>
        <v>1.2017247746441865E-11</v>
      </c>
      <c r="CC167" s="59">
        <f t="shared" si="119"/>
        <v>293.33333333334531</v>
      </c>
      <c r="CD167" s="59">
        <f ca="1">AVERAGE(OFFSET($CC$3,0,0,'Données projet'!$E$12+1,1))-AVERAGE(OFFSET($H$3,0,0,'Données projet'!$E$12+1,1))</f>
        <v>280.25710840677186</v>
      </c>
      <c r="CE167" s="59">
        <f t="shared" si="148"/>
        <v>209.65224013288037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88.947104343281964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88.947104343281964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243</v>
      </c>
      <c r="CU167" s="17">
        <f>CT167*VLOOKUP('Données projet'!$B$13,Paramètres!$A$1:$I$89,3,0)*VLOOKUP('Données projet'!$B$13,Paramètres!$A$1:$I$89,5,0)</f>
        <v>253.98360000000002</v>
      </c>
      <c r="CV167" s="13">
        <f t="shared" si="173"/>
        <v>61.438182405444294</v>
      </c>
      <c r="CW167" s="20">
        <f t="shared" si="174"/>
        <v>549.35960435614891</v>
      </c>
      <c r="CX167" s="59">
        <f t="shared" si="122"/>
        <v>842.69293768948228</v>
      </c>
      <c r="CY167" s="59">
        <f ca="1">AVERAGE(OFFSET($CX$3,0,0,'Données projet'!$E$13+1,1))-AVERAGE(OFFSET($H$3,0,0,'Données projet'!$E$13+1,1))</f>
        <v>330.14201227773452</v>
      </c>
      <c r="CZ167" s="59">
        <f t="shared" si="150"/>
        <v>307.07297894926467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9.1798888645396026</v>
      </c>
      <c r="DG167" s="21">
        <f>EXP(-LN(2)/25)*DG166+(1-EXP(-LN(2)/25))/(LN(2)/25)*Calculateur!DB167*Calculateur!DD167*VLOOKUP('Données projet'!$B$13,Paramètres!$A$1:$I$89,3,0)*0.475*44/12</f>
        <v>3.0210659162473026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12.200954780786905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283.73369613548124</v>
      </c>
      <c r="T168" s="59">
        <f t="shared" si="142"/>
        <v>249.77804091581208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30.60280934136615</v>
      </c>
      <c r="AA168" s="21">
        <f>EXP(-LN(2)/25)*AA167+(1-EXP(-LN(2)/25))/(LN(2)/25)*Calculateur!V168*Calculateur!X168*VLOOKUP('Données projet'!$B$9,Paramètres!$A$1:$I$89,3,0)*0.475*44/12</f>
        <v>3.5954034054336872</v>
      </c>
      <c r="AB168" s="21">
        <f>EXP(-LN(2)/2)*AB167+(1-EXP(-LN(2)/2))/(LN(2)/2)*V168*Y168*VLOOKUP('Données projet'!$B$9,Paramètres!$A$1:$I$89,3,0)*0.475*44/12</f>
        <v>1.8766804475725996E-12</v>
      </c>
      <c r="AC168" s="22">
        <f t="shared" si="163"/>
        <v>34.198212746801715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1.5961632016114892E-13</v>
      </c>
      <c r="AK168" s="13">
        <f t="shared" si="164"/>
        <v>2.2708641912150958E-12</v>
      </c>
      <c r="AL168" s="20">
        <f t="shared" si="165"/>
        <v>4.2330868906469593E-12</v>
      </c>
      <c r="AM168" s="59">
        <f t="shared" si="113"/>
        <v>293.33333333333752</v>
      </c>
      <c r="AN168" s="59">
        <f ca="1">AVERAGE(OFFSET($AM$3,0,0,'Données projet'!$E$10+1,1))-AVERAGE(OFFSET($H$3,0,0,'Données projet'!$E$10+1,1))</f>
        <v>205.73717397588365</v>
      </c>
      <c r="AO168" s="59">
        <f t="shared" si="144"/>
        <v>190.64998698136026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53.39918356497656</v>
      </c>
      <c r="AV168" s="21">
        <f>EXP(-LN(2)/25)*AV167+(1-EXP(-LN(2)/25))/(LN(2)/25)*Calculateur!AQ168*Calculateur!AS168*VLOOKUP('Données projet'!$B$10,Paramètres!$A$1:$I$89,3,0)*0.475*44/12</f>
        <v>8.3215083818282842</v>
      </c>
      <c r="AW168" s="21">
        <f>EXP(-LN(2)/2)*AW167+(1-EXP(-LN(2)/2))/(LN(2)/2)*AQ168*AT168*VLOOKUP('Données projet'!$B$10,Paramètres!$A$1:$I$89,3,0)*0.475*44/12</f>
        <v>2.066291984557419E-8</v>
      </c>
      <c r="AX168" s="21">
        <f t="shared" si="166"/>
        <v>61.720691967467765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-3.1036506698001178E-14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159.92263609041913</v>
      </c>
      <c r="BJ168" s="59">
        <f t="shared" si="146"/>
        <v>271.78119133009307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5.67294973609508</v>
      </c>
      <c r="BQ168" s="21">
        <f>EXP(-LN(2)/25)*BQ167+(1-EXP(-LN(2)/25))/(LN(2)/25)*Calculateur!BL168*Calculateur!BN168*VLOOKUP('Données projet'!$B$11,Paramètres!$A$1:$I$89,3,0)*0.475*44/12</f>
        <v>4.6851280554785628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10.358077791573642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5.6843418860808015E-13</v>
      </c>
      <c r="BZ168" s="13">
        <f>BY168*VLOOKUP('Données projet'!$B$12,Paramètres!$A$1:$I$89,3,0)*VLOOKUP('Données projet'!$B$12,Paramètres!$A$1:$I$89,5,0)</f>
        <v>5.1431925385259092E-13</v>
      </c>
      <c r="CA168" s="13">
        <f t="shared" si="170"/>
        <v>6.3855359115685756E-12</v>
      </c>
      <c r="CB168" s="20">
        <f t="shared" si="171"/>
        <v>1.2017247746441865E-11</v>
      </c>
      <c r="CC168" s="59">
        <f t="shared" si="119"/>
        <v>293.33333333334531</v>
      </c>
      <c r="CD168" s="59">
        <f ca="1">AVERAGE(OFFSET($CC$3,0,0,'Données projet'!$E$12+1,1))-AVERAGE(OFFSET($H$3,0,0,'Données projet'!$E$12+1,1))</f>
        <v>280.25710840677186</v>
      </c>
      <c r="CE168" s="59">
        <f t="shared" si="148"/>
        <v>209.65224013288037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87.202905879486877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87.202905879486877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243</v>
      </c>
      <c r="CU168" s="17">
        <f>CT168*VLOOKUP('Données projet'!$B$13,Paramètres!$A$1:$I$89,3,0)*VLOOKUP('Données projet'!$B$13,Paramètres!$A$1:$I$89,5,0)</f>
        <v>253.98360000000002</v>
      </c>
      <c r="CV168" s="13">
        <f t="shared" si="173"/>
        <v>61.438182405444294</v>
      </c>
      <c r="CW168" s="20">
        <f t="shared" si="174"/>
        <v>549.35960435614891</v>
      </c>
      <c r="CX168" s="59">
        <f t="shared" si="122"/>
        <v>842.69293768948228</v>
      </c>
      <c r="CY168" s="59">
        <f ca="1">AVERAGE(OFFSET($CX$3,0,0,'Données projet'!$E$13+1,1))-AVERAGE(OFFSET($H$3,0,0,'Données projet'!$E$13+1,1))</f>
        <v>330.14201227773452</v>
      </c>
      <c r="CZ168" s="59">
        <f t="shared" si="150"/>
        <v>307.07297894926467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8.9998768430853158</v>
      </c>
      <c r="DG168" s="21">
        <f>EXP(-LN(2)/25)*DG167+(1-EXP(-LN(2)/25))/(LN(2)/25)*Calculateur!DB168*Calculateur!DD168*VLOOKUP('Données projet'!$B$13,Paramètres!$A$1:$I$89,3,0)*0.475*44/12</f>
        <v>2.9384547098965683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11.938331552981884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283.73369613548124</v>
      </c>
      <c r="T169" s="59">
        <f t="shared" si="142"/>
        <v>249.77804091581208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30.002706916052556</v>
      </c>
      <c r="AA169" s="21">
        <f>EXP(-LN(2)/25)*AA168+(1-EXP(-LN(2)/25))/(LN(2)/25)*Calculateur!V169*Calculateur!X169*VLOOKUP('Données projet'!$B$9,Paramètres!$A$1:$I$89,3,0)*0.475*44/12</f>
        <v>3.4970869102380555</v>
      </c>
      <c r="AB169" s="21">
        <f>EXP(-LN(2)/2)*AB168+(1-EXP(-LN(2)/2))/(LN(2)/2)*V169*Y169*VLOOKUP('Données projet'!$B$9,Paramètres!$A$1:$I$89,3,0)*0.475*44/12</f>
        <v>1.3270134705987903E-12</v>
      </c>
      <c r="AC169" s="22">
        <f t="shared" si="163"/>
        <v>33.499793826291942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1.5961632016114892E-13</v>
      </c>
      <c r="AK169" s="13">
        <f t="shared" si="164"/>
        <v>2.2708641912150958E-12</v>
      </c>
      <c r="AL169" s="20">
        <f t="shared" si="165"/>
        <v>4.2330868906469593E-12</v>
      </c>
      <c r="AM169" s="59">
        <f t="shared" si="113"/>
        <v>293.33333333333752</v>
      </c>
      <c r="AN169" s="59">
        <f ca="1">AVERAGE(OFFSET($AM$3,0,0,'Données projet'!$E$10+1,1))-AVERAGE(OFFSET($H$3,0,0,'Données projet'!$E$10+1,1))</f>
        <v>205.73717397588365</v>
      </c>
      <c r="AO169" s="59">
        <f t="shared" si="144"/>
        <v>190.64998698136026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52.352058145553293</v>
      </c>
      <c r="AV169" s="21">
        <f>EXP(-LN(2)/25)*AV168+(1-EXP(-LN(2)/25))/(LN(2)/25)*Calculateur!AQ169*Calculateur!AS169*VLOOKUP('Données projet'!$B$10,Paramètres!$A$1:$I$89,3,0)*0.475*44/12</f>
        <v>8.0939562975180834</v>
      </c>
      <c r="AW169" s="21">
        <f>EXP(-LN(2)/2)*AW168+(1-EXP(-LN(2)/2))/(LN(2)/2)*AQ169*AT169*VLOOKUP('Données projet'!$B$10,Paramètres!$A$1:$I$89,3,0)*0.475*44/12</f>
        <v>1.46108907419196E-8</v>
      </c>
      <c r="AX169" s="21">
        <f t="shared" si="166"/>
        <v>60.446014457682267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-3.1036506698001178E-14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159.92263609041913</v>
      </c>
      <c r="BJ169" s="59">
        <f t="shared" si="146"/>
        <v>271.78119133009307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5.5617066519279321</v>
      </c>
      <c r="BQ169" s="21">
        <f>EXP(-LN(2)/25)*BQ168+(1-EXP(-LN(2)/25))/(LN(2)/25)*Calculateur!BL169*Calculateur!BN169*VLOOKUP('Données projet'!$B$11,Paramètres!$A$1:$I$89,3,0)*0.475*44/12</f>
        <v>4.557012982421325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10.118719634349258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5.6843418860808015E-13</v>
      </c>
      <c r="BZ169" s="13">
        <f>BY169*VLOOKUP('Données projet'!$B$12,Paramètres!$A$1:$I$89,3,0)*VLOOKUP('Données projet'!$B$12,Paramètres!$A$1:$I$89,5,0)</f>
        <v>5.1431925385259092E-13</v>
      </c>
      <c r="CA169" s="13">
        <f t="shared" si="170"/>
        <v>6.3855359115685756E-12</v>
      </c>
      <c r="CB169" s="20">
        <f t="shared" si="171"/>
        <v>1.2017247746441865E-11</v>
      </c>
      <c r="CC169" s="59">
        <f t="shared" si="119"/>
        <v>293.33333333334531</v>
      </c>
      <c r="CD169" s="59">
        <f ca="1">AVERAGE(OFFSET($CC$3,0,0,'Données projet'!$E$12+1,1))-AVERAGE(OFFSET($H$3,0,0,'Données projet'!$E$12+1,1))</f>
        <v>280.25710840677186</v>
      </c>
      <c r="CE169" s="59">
        <f t="shared" si="148"/>
        <v>209.65224013288037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85.492910083710797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85.492910083710797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243</v>
      </c>
      <c r="CU169" s="17">
        <f>CT169*VLOOKUP('Données projet'!$B$13,Paramètres!$A$1:$I$89,3,0)*VLOOKUP('Données projet'!$B$13,Paramètres!$A$1:$I$89,5,0)</f>
        <v>253.98360000000002</v>
      </c>
      <c r="CV169" s="13">
        <f t="shared" si="173"/>
        <v>61.438182405444294</v>
      </c>
      <c r="CW169" s="20">
        <f t="shared" si="174"/>
        <v>549.35960435614891</v>
      </c>
      <c r="CX169" s="59">
        <f t="shared" si="122"/>
        <v>842.69293768948228</v>
      </c>
      <c r="CY169" s="59">
        <f ca="1">AVERAGE(OFFSET($CX$3,0,0,'Données projet'!$E$13+1,1))-AVERAGE(OFFSET($H$3,0,0,'Données projet'!$E$13+1,1))</f>
        <v>330.14201227773452</v>
      </c>
      <c r="CZ169" s="59">
        <f t="shared" si="150"/>
        <v>307.07297894926467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8.8233947475752554</v>
      </c>
      <c r="DG169" s="21">
        <f>EXP(-LN(2)/25)*DG168+(1-EXP(-LN(2)/25))/(LN(2)/25)*Calculateur!DB169*Calculateur!DD169*VLOOKUP('Données projet'!$B$13,Paramètres!$A$1:$I$89,3,0)*0.475*44/12</f>
        <v>2.8581025113278296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11.681497258903086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283.73369613548124</v>
      </c>
      <c r="T170" s="59">
        <f t="shared" si="142"/>
        <v>249.77804091581208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29.414372133273027</v>
      </c>
      <c r="AA170" s="21">
        <f>EXP(-LN(2)/25)*AA169+(1-EXP(-LN(2)/25))/(LN(2)/25)*Calculateur!V170*Calculateur!X170*VLOOKUP('Données projet'!$B$9,Paramètres!$A$1:$I$89,3,0)*0.475*44/12</f>
        <v>3.4014588847737879</v>
      </c>
      <c r="AB170" s="21">
        <f>EXP(-LN(2)/2)*AB169+(1-EXP(-LN(2)/2))/(LN(2)/2)*V170*Y170*VLOOKUP('Données projet'!$B$9,Paramètres!$A$1:$I$89,3,0)*0.475*44/12</f>
        <v>9.3834022378629981E-13</v>
      </c>
      <c r="AC170" s="22">
        <f t="shared" si="163"/>
        <v>32.815831018047753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1.5961632016114892E-13</v>
      </c>
      <c r="AK170" s="13">
        <f t="shared" si="164"/>
        <v>2.2708641912150958E-12</v>
      </c>
      <c r="AL170" s="20">
        <f t="shared" si="165"/>
        <v>4.2330868906469593E-12</v>
      </c>
      <c r="AM170" s="59">
        <f t="shared" si="113"/>
        <v>293.33333333333752</v>
      </c>
      <c r="AN170" s="59">
        <f ca="1">AVERAGE(OFFSET($AM$3,0,0,'Données projet'!$E$10+1,1))-AVERAGE(OFFSET($H$3,0,0,'Données projet'!$E$10+1,1))</f>
        <v>205.73717397588365</v>
      </c>
      <c r="AO170" s="59">
        <f t="shared" si="144"/>
        <v>190.64998698136026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51.325466216921477</v>
      </c>
      <c r="AV170" s="21">
        <f>EXP(-LN(2)/25)*AV169+(1-EXP(-LN(2)/25))/(LN(2)/25)*Calculateur!AQ170*Calculateur!AS170*VLOOKUP('Données projet'!$B$10,Paramètres!$A$1:$I$89,3,0)*0.475*44/12</f>
        <v>7.8726266369197884</v>
      </c>
      <c r="AW170" s="21">
        <f>EXP(-LN(2)/2)*AW169+(1-EXP(-LN(2)/2))/(LN(2)/2)*AQ170*AT170*VLOOKUP('Données projet'!$B$10,Paramètres!$A$1:$I$89,3,0)*0.475*44/12</f>
        <v>1.0331459922787096E-8</v>
      </c>
      <c r="AX170" s="21">
        <f t="shared" si="166"/>
        <v>59.198092864172729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-3.1036506698001178E-14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159.92263609041913</v>
      </c>
      <c r="BJ170" s="59">
        <f t="shared" si="146"/>
        <v>271.78119133009307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5.4526449767897205</v>
      </c>
      <c r="BQ170" s="21">
        <f>EXP(-LN(2)/25)*BQ169+(1-EXP(-LN(2)/25))/(LN(2)/25)*Calculateur!BL170*Calculateur!BN170*VLOOKUP('Données projet'!$B$11,Paramètres!$A$1:$I$89,3,0)*0.475*44/12</f>
        <v>4.4324012227741161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9.8850461995638366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5.6843418860808015E-13</v>
      </c>
      <c r="BZ170" s="13">
        <f>BY170*VLOOKUP('Données projet'!$B$12,Paramètres!$A$1:$I$89,3,0)*VLOOKUP('Données projet'!$B$12,Paramètres!$A$1:$I$89,5,0)</f>
        <v>5.1431925385259092E-13</v>
      </c>
      <c r="CA170" s="13">
        <f t="shared" si="170"/>
        <v>6.3855359115685756E-12</v>
      </c>
      <c r="CB170" s="20">
        <f t="shared" si="171"/>
        <v>1.2017247746441865E-11</v>
      </c>
      <c r="CC170" s="59">
        <f t="shared" si="119"/>
        <v>293.33333333334531</v>
      </c>
      <c r="CD170" s="59">
        <f ca="1">AVERAGE(OFFSET($CC$3,0,0,'Données projet'!$E$12+1,1))-AVERAGE(OFFSET($H$3,0,0,'Données projet'!$E$12+1,1))</f>
        <v>280.25710840677186</v>
      </c>
      <c r="CE170" s="59">
        <f t="shared" si="148"/>
        <v>209.65224013288037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83.816446262495433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83.816446262495433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243</v>
      </c>
      <c r="CU170" s="17">
        <f>CT170*VLOOKUP('Données projet'!$B$13,Paramètres!$A$1:$I$89,3,0)*VLOOKUP('Données projet'!$B$13,Paramètres!$A$1:$I$89,5,0)</f>
        <v>253.98360000000002</v>
      </c>
      <c r="CV170" s="13">
        <f t="shared" si="173"/>
        <v>61.438182405444294</v>
      </c>
      <c r="CW170" s="20">
        <f t="shared" si="174"/>
        <v>549.35960435614891</v>
      </c>
      <c r="CX170" s="59">
        <f t="shared" si="122"/>
        <v>842.69293768948228</v>
      </c>
      <c r="CY170" s="59">
        <f ca="1">AVERAGE(OFFSET($CX$3,0,0,'Données projet'!$E$13+1,1))-AVERAGE(OFFSET($H$3,0,0,'Données projet'!$E$13+1,1))</f>
        <v>330.14201227773452</v>
      </c>
      <c r="CZ170" s="59">
        <f t="shared" si="150"/>
        <v>307.07297894926467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8.6503733583146989</v>
      </c>
      <c r="DG170" s="21">
        <f>EXP(-LN(2)/25)*DG169+(1-EXP(-LN(2)/25))/(LN(2)/25)*Calculateur!DB170*Calculateur!DD170*VLOOKUP('Données projet'!$B$13,Paramètres!$A$1:$I$89,3,0)*0.475*44/12</f>
        <v>2.7799475478544911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11.430320906169189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283.73369613548124</v>
      </c>
      <c r="T171" s="59">
        <f t="shared" si="142"/>
        <v>249.77804091581208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28.837574236735019</v>
      </c>
      <c r="AA171" s="21">
        <f>EXP(-LN(2)/25)*AA170+(1-EXP(-LN(2)/25))/(LN(2)/25)*Calculateur!V171*Calculateur!X171*VLOOKUP('Données projet'!$B$9,Paramètres!$A$1:$I$89,3,0)*0.475*44/12</f>
        <v>3.3084458126946998</v>
      </c>
      <c r="AB171" s="21">
        <f>EXP(-LN(2)/2)*AB170+(1-EXP(-LN(2)/2))/(LN(2)/2)*V171*Y171*VLOOKUP('Données projet'!$B$9,Paramètres!$A$1:$I$89,3,0)*0.475*44/12</f>
        <v>6.6350673529939514E-13</v>
      </c>
      <c r="AC171" s="22">
        <f t="shared" si="163"/>
        <v>32.146020049430383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1.5961632016114892E-13</v>
      </c>
      <c r="AK171" s="13">
        <f t="shared" si="164"/>
        <v>2.2708641912150958E-12</v>
      </c>
      <c r="AL171" s="20">
        <f t="shared" si="165"/>
        <v>4.2330868906469593E-12</v>
      </c>
      <c r="AM171" s="59">
        <f t="shared" si="113"/>
        <v>293.33333333333752</v>
      </c>
      <c r="AN171" s="59">
        <f ca="1">AVERAGE(OFFSET($AM$3,0,0,'Données projet'!$E$10+1,1))-AVERAGE(OFFSET($H$3,0,0,'Données projet'!$E$10+1,1))</f>
        <v>205.73717397588365</v>
      </c>
      <c r="AO171" s="59">
        <f t="shared" si="144"/>
        <v>190.64998698136026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50.319005129850886</v>
      </c>
      <c r="AV171" s="21">
        <f>EXP(-LN(2)/25)*AV170+(1-EXP(-LN(2)/25))/(LN(2)/25)*Calculateur!AQ171*Calculateur!AS171*VLOOKUP('Données projet'!$B$10,Paramètres!$A$1:$I$89,3,0)*0.475*44/12</f>
        <v>7.6573492475297753</v>
      </c>
      <c r="AW171" s="21">
        <f>EXP(-LN(2)/2)*AW170+(1-EXP(-LN(2)/2))/(LN(2)/2)*AQ171*AT171*VLOOKUP('Données projet'!$B$10,Paramètres!$A$1:$I$89,3,0)*0.475*44/12</f>
        <v>7.3054453709598009E-9</v>
      </c>
      <c r="AX171" s="21">
        <f t="shared" si="166"/>
        <v>57.976354384686104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-3.1036506698001178E-14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159.92263609041913</v>
      </c>
      <c r="BJ171" s="59">
        <f t="shared" si="146"/>
        <v>271.78119133009307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5.3457219345799158</v>
      </c>
      <c r="BQ171" s="21">
        <f>EXP(-LN(2)/25)*BQ170+(1-EXP(-LN(2)/25))/(LN(2)/25)*Calculateur!BL171*Calculateur!BN171*VLOOKUP('Données projet'!$B$11,Paramètres!$A$1:$I$89,3,0)*0.475*44/12</f>
        <v>4.3111969782475077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9.6569189128274235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5.6843418860808015E-13</v>
      </c>
      <c r="BZ171" s="13">
        <f>BY171*VLOOKUP('Données projet'!$B$12,Paramètres!$A$1:$I$89,3,0)*VLOOKUP('Données projet'!$B$12,Paramètres!$A$1:$I$89,5,0)</f>
        <v>5.1431925385259092E-13</v>
      </c>
      <c r="CA171" s="13">
        <f t="shared" si="170"/>
        <v>6.3855359115685756E-12</v>
      </c>
      <c r="CB171" s="20">
        <f t="shared" si="171"/>
        <v>1.2017247746441865E-11</v>
      </c>
      <c r="CC171" s="59">
        <f t="shared" si="119"/>
        <v>293.33333333334531</v>
      </c>
      <c r="CD171" s="59">
        <f ca="1">AVERAGE(OFFSET($CC$3,0,0,'Données projet'!$E$12+1,1))-AVERAGE(OFFSET($H$3,0,0,'Données projet'!$E$12+1,1))</f>
        <v>280.25710840677186</v>
      </c>
      <c r="CE171" s="59">
        <f t="shared" si="148"/>
        <v>209.65224013288037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82.172856874272142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82.172856874272142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243</v>
      </c>
      <c r="CU171" s="17">
        <f>CT171*VLOOKUP('Données projet'!$B$13,Paramètres!$A$1:$I$89,3,0)*VLOOKUP('Données projet'!$B$13,Paramètres!$A$1:$I$89,5,0)</f>
        <v>253.98360000000002</v>
      </c>
      <c r="CV171" s="13">
        <f t="shared" si="173"/>
        <v>61.438182405444294</v>
      </c>
      <c r="CW171" s="20">
        <f t="shared" si="174"/>
        <v>549.35960435614891</v>
      </c>
      <c r="CX171" s="59">
        <f t="shared" si="122"/>
        <v>842.69293768948228</v>
      </c>
      <c r="CY171" s="59">
        <f ca="1">AVERAGE(OFFSET($CX$3,0,0,'Données projet'!$E$13+1,1))-AVERAGE(OFFSET($H$3,0,0,'Données projet'!$E$13+1,1))</f>
        <v>330.14201227773452</v>
      </c>
      <c r="CZ171" s="59">
        <f t="shared" si="150"/>
        <v>307.07297894926467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8.4807448129649146</v>
      </c>
      <c r="DG171" s="21">
        <f>EXP(-LN(2)/25)*DG170+(1-EXP(-LN(2)/25))/(LN(2)/25)*Calculateur!DB171*Calculateur!DD171*VLOOKUP('Données projet'!$B$13,Paramètres!$A$1:$I$89,3,0)*0.475*44/12</f>
        <v>2.7039297359673222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11.184674548932236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283.73369613548124</v>
      </c>
      <c r="T172" s="59">
        <f t="shared" si="142"/>
        <v>249.77804091581208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28.272086995136142</v>
      </c>
      <c r="AA172" s="21">
        <f>EXP(-LN(2)/25)*AA171+(1-EXP(-LN(2)/25))/(LN(2)/25)*Calculateur!V172*Calculateur!X172*VLOOKUP('Données projet'!$B$9,Paramètres!$A$1:$I$89,3,0)*0.475*44/12</f>
        <v>3.2179761879629596</v>
      </c>
      <c r="AB172" s="21">
        <f>EXP(-LN(2)/2)*AB171+(1-EXP(-LN(2)/2))/(LN(2)/2)*V172*Y172*VLOOKUP('Données projet'!$B$9,Paramètres!$A$1:$I$89,3,0)*0.475*44/12</f>
        <v>4.691701118931499E-13</v>
      </c>
      <c r="AC172" s="22">
        <f t="shared" si="163"/>
        <v>31.490063183099572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1.5961632016114892E-13</v>
      </c>
      <c r="AK172" s="13">
        <f t="shared" si="164"/>
        <v>2.2708641912150958E-12</v>
      </c>
      <c r="AL172" s="20">
        <f t="shared" si="165"/>
        <v>4.2330868906469593E-12</v>
      </c>
      <c r="AM172" s="59">
        <f t="shared" si="113"/>
        <v>293.33333333333752</v>
      </c>
      <c r="AN172" s="59">
        <f ca="1">AVERAGE(OFFSET($AM$3,0,0,'Données projet'!$E$10+1,1))-AVERAGE(OFFSET($H$3,0,0,'Données projet'!$E$10+1,1))</f>
        <v>205.73717397588365</v>
      </c>
      <c r="AO172" s="59">
        <f t="shared" si="144"/>
        <v>190.64998698136026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49.332280130817097</v>
      </c>
      <c r="AV172" s="21">
        <f>EXP(-LN(2)/25)*AV171+(1-EXP(-LN(2)/25))/(LN(2)/25)*Calculateur!AQ172*Calculateur!AS172*VLOOKUP('Données projet'!$B$10,Paramètres!$A$1:$I$89,3,0)*0.475*44/12</f>
        <v>7.447958629673578</v>
      </c>
      <c r="AW172" s="21">
        <f>EXP(-LN(2)/2)*AW171+(1-EXP(-LN(2)/2))/(LN(2)/2)*AQ172*AT172*VLOOKUP('Données projet'!$B$10,Paramètres!$A$1:$I$89,3,0)*0.475*44/12</f>
        <v>5.165729961393549E-9</v>
      </c>
      <c r="AX172" s="21">
        <f t="shared" si="166"/>
        <v>56.780238765656406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-3.1036506698001178E-14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159.92263609041913</v>
      </c>
      <c r="BJ172" s="59">
        <f t="shared" si="146"/>
        <v>271.78119133009307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5.2408955880112291</v>
      </c>
      <c r="BQ172" s="21">
        <f>EXP(-LN(2)/25)*BQ171+(1-EXP(-LN(2)/25))/(LN(2)/25)*Calculateur!BL172*Calculateur!BN172*VLOOKUP('Données projet'!$B$11,Paramètres!$A$1:$I$89,3,0)*0.475*44/12</f>
        <v>4.1933070701613335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9.4342026581725626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5.6843418860808015E-13</v>
      </c>
      <c r="BZ172" s="13">
        <f>BY172*VLOOKUP('Données projet'!$B$12,Paramètres!$A$1:$I$89,3,0)*VLOOKUP('Données projet'!$B$12,Paramètres!$A$1:$I$89,5,0)</f>
        <v>5.1431925385259092E-13</v>
      </c>
      <c r="CA172" s="13">
        <f t="shared" si="170"/>
        <v>6.3855359115685756E-12</v>
      </c>
      <c r="CB172" s="20">
        <f t="shared" si="171"/>
        <v>1.2017247746441865E-11</v>
      </c>
      <c r="CC172" s="59">
        <f t="shared" si="119"/>
        <v>293.33333333334531</v>
      </c>
      <c r="CD172" s="59">
        <f ca="1">AVERAGE(OFFSET($CC$3,0,0,'Données projet'!$E$12+1,1))-AVERAGE(OFFSET($H$3,0,0,'Données projet'!$E$12+1,1))</f>
        <v>280.25710840677186</v>
      </c>
      <c r="CE172" s="59">
        <f t="shared" si="148"/>
        <v>209.65224013288037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80.561497271461377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80.561497271461377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243</v>
      </c>
      <c r="CU172" s="17">
        <f>CT172*VLOOKUP('Données projet'!$B$13,Paramètres!$A$1:$I$89,3,0)*VLOOKUP('Données projet'!$B$13,Paramètres!$A$1:$I$89,5,0)</f>
        <v>253.98360000000002</v>
      </c>
      <c r="CV172" s="13">
        <f t="shared" si="173"/>
        <v>61.438182405444294</v>
      </c>
      <c r="CW172" s="20">
        <f t="shared" si="174"/>
        <v>549.35960435614891</v>
      </c>
      <c r="CX172" s="59">
        <f t="shared" si="122"/>
        <v>842.69293768948228</v>
      </c>
      <c r="CY172" s="59">
        <f ca="1">AVERAGE(OFFSET($CX$3,0,0,'Données projet'!$E$13+1,1))-AVERAGE(OFFSET($H$3,0,0,'Données projet'!$E$13+1,1))</f>
        <v>330.14201227773452</v>
      </c>
      <c r="CZ172" s="59">
        <f t="shared" si="150"/>
        <v>307.07297894926467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8.3144425799262418</v>
      </c>
      <c r="DG172" s="21">
        <f>EXP(-LN(2)/25)*DG171+(1-EXP(-LN(2)/25))/(LN(2)/25)*Calculateur!DB172*Calculateur!DD172*VLOOKUP('Données projet'!$B$13,Paramètres!$A$1:$I$89,3,0)*0.475*44/12</f>
        <v>2.6299906351438107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10.944433215070053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283.73369613548124</v>
      </c>
      <c r="T173" s="59">
        <f t="shared" si="142"/>
        <v>249.77804091581208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27.717688613431861</v>
      </c>
      <c r="AA173" s="21">
        <f>EXP(-LN(2)/25)*AA172+(1-EXP(-LN(2)/25))/(LN(2)/25)*Calculateur!V173*Calculateur!X173*VLOOKUP('Données projet'!$B$9,Paramètres!$A$1:$I$89,3,0)*0.475*44/12</f>
        <v>3.1299804598770997</v>
      </c>
      <c r="AB173" s="21">
        <f>EXP(-LN(2)/2)*AB172+(1-EXP(-LN(2)/2))/(LN(2)/2)*V173*Y173*VLOOKUP('Données projet'!$B$9,Paramètres!$A$1:$I$89,3,0)*0.475*44/12</f>
        <v>3.3175336764969757E-13</v>
      </c>
      <c r="AC173" s="22">
        <f t="shared" si="163"/>
        <v>30.847669073309291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1.5961632016114892E-13</v>
      </c>
      <c r="AK173" s="13">
        <f t="shared" si="164"/>
        <v>2.2708641912150958E-12</v>
      </c>
      <c r="AL173" s="20">
        <f t="shared" si="165"/>
        <v>4.2330868906469593E-12</v>
      </c>
      <c r="AM173" s="59">
        <f t="shared" si="113"/>
        <v>293.33333333333752</v>
      </c>
      <c r="AN173" s="59">
        <f ca="1">AVERAGE(OFFSET($AM$3,0,0,'Données projet'!$E$10+1,1))-AVERAGE(OFFSET($H$3,0,0,'Données projet'!$E$10+1,1))</f>
        <v>205.73717397588365</v>
      </c>
      <c r="AO173" s="59">
        <f t="shared" si="144"/>
        <v>190.64998698136026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48.364904207171541</v>
      </c>
      <c r="AV173" s="21">
        <f>EXP(-LN(2)/25)*AV172+(1-EXP(-LN(2)/25))/(LN(2)/25)*Calculateur!AQ173*Calculateur!AS173*VLOOKUP('Données projet'!$B$10,Paramètres!$A$1:$I$89,3,0)*0.475*44/12</f>
        <v>7.2442938092740325</v>
      </c>
      <c r="AW173" s="21">
        <f>EXP(-LN(2)/2)*AW172+(1-EXP(-LN(2)/2))/(LN(2)/2)*AQ173*AT173*VLOOKUP('Données projet'!$B$10,Paramètres!$A$1:$I$89,3,0)*0.475*44/12</f>
        <v>3.6527226854799013E-9</v>
      </c>
      <c r="AX173" s="21">
        <f t="shared" si="166"/>
        <v>55.609198020098297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-3.1036506698001178E-14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159.92263609041913</v>
      </c>
      <c r="BJ173" s="59">
        <f t="shared" si="146"/>
        <v>271.78119133009307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5.1381248221609965</v>
      </c>
      <c r="BQ173" s="21">
        <f>EXP(-LN(2)/25)*BQ172+(1-EXP(-LN(2)/25))/(LN(2)/25)*Calculateur!BL173*Calculateur!BN173*VLOOKUP('Données projet'!$B$11,Paramètres!$A$1:$I$89,3,0)*0.475*44/12</f>
        <v>4.0786408678113366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9.216765689972334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5.6843418860808015E-13</v>
      </c>
      <c r="BZ173" s="13">
        <f>BY173*VLOOKUP('Données projet'!$B$12,Paramètres!$A$1:$I$89,3,0)*VLOOKUP('Données projet'!$B$12,Paramètres!$A$1:$I$89,5,0)</f>
        <v>5.1431925385259092E-13</v>
      </c>
      <c r="CA173" s="13">
        <f t="shared" si="170"/>
        <v>6.3855359115685756E-12</v>
      </c>
      <c r="CB173" s="20">
        <f t="shared" si="171"/>
        <v>1.2017247746441865E-11</v>
      </c>
      <c r="CC173" s="59">
        <f t="shared" si="119"/>
        <v>293.33333333334531</v>
      </c>
      <c r="CD173" s="59">
        <f ca="1">AVERAGE(OFFSET($CC$3,0,0,'Données projet'!$E$12+1,1))-AVERAGE(OFFSET($H$3,0,0,'Données projet'!$E$12+1,1))</f>
        <v>280.25710840677186</v>
      </c>
      <c r="CE173" s="59">
        <f t="shared" si="148"/>
        <v>209.65224013288037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78.981735447629418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78.981735447629418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243</v>
      </c>
      <c r="CU173" s="17">
        <f>CT173*VLOOKUP('Données projet'!$B$13,Paramètres!$A$1:$I$89,3,0)*VLOOKUP('Données projet'!$B$13,Paramètres!$A$1:$I$89,5,0)</f>
        <v>253.98360000000002</v>
      </c>
      <c r="CV173" s="13">
        <f t="shared" si="173"/>
        <v>61.438182405444294</v>
      </c>
      <c r="CW173" s="20">
        <f t="shared" si="174"/>
        <v>549.35960435614891</v>
      </c>
      <c r="CX173" s="59">
        <f t="shared" si="122"/>
        <v>842.69293768948228</v>
      </c>
      <c r="CY173" s="59">
        <f ca="1">AVERAGE(OFFSET($CX$3,0,0,'Données projet'!$E$13+1,1))-AVERAGE(OFFSET($H$3,0,0,'Données projet'!$E$13+1,1))</f>
        <v>330.14201227773452</v>
      </c>
      <c r="CZ173" s="59">
        <f t="shared" si="150"/>
        <v>307.07297894926467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8.1514014322431123</v>
      </c>
      <c r="DG173" s="21">
        <f>EXP(-LN(2)/25)*DG172+(1-EXP(-LN(2)/25))/(LN(2)/25)*Calculateur!DB173*Calculateur!DD173*VLOOKUP('Données projet'!$B$13,Paramètres!$A$1:$I$89,3,0)*0.475*44/12</f>
        <v>2.5580734029206065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10.709474835163718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283.73369613548124</v>
      </c>
      <c r="T174" s="59">
        <f t="shared" si="142"/>
        <v>249.77804091581208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27.174161645843174</v>
      </c>
      <c r="AA174" s="21">
        <f>EXP(-LN(2)/25)*AA173+(1-EXP(-LN(2)/25))/(LN(2)/25)*Calculateur!V174*Calculateur!X174*VLOOKUP('Données projet'!$B$9,Paramètres!$A$1:$I$89,3,0)*0.475*44/12</f>
        <v>3.0443909796032416</v>
      </c>
      <c r="AB174" s="21">
        <f>EXP(-LN(2)/2)*AB173+(1-EXP(-LN(2)/2))/(LN(2)/2)*V174*Y174*VLOOKUP('Données projet'!$B$9,Paramètres!$A$1:$I$89,3,0)*0.475*44/12</f>
        <v>2.3458505594657495E-13</v>
      </c>
      <c r="AC174" s="22">
        <f t="shared" si="163"/>
        <v>30.218552625446652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1.5961632016114892E-13</v>
      </c>
      <c r="AK174" s="13">
        <f t="shared" si="164"/>
        <v>2.2708641912150958E-12</v>
      </c>
      <c r="AL174" s="20">
        <f t="shared" si="165"/>
        <v>4.2330868906469593E-12</v>
      </c>
      <c r="AM174" s="59">
        <f t="shared" si="113"/>
        <v>293.33333333333752</v>
      </c>
      <c r="AN174" s="59">
        <f ca="1">AVERAGE(OFFSET($AM$3,0,0,'Données projet'!$E$10+1,1))-AVERAGE(OFFSET($H$3,0,0,'Données projet'!$E$10+1,1))</f>
        <v>205.73717397588365</v>
      </c>
      <c r="AO174" s="59">
        <f t="shared" si="144"/>
        <v>190.64998698136026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47.416497935347621</v>
      </c>
      <c r="AV174" s="21">
        <f>EXP(-LN(2)/25)*AV173+(1-EXP(-LN(2)/25))/(LN(2)/25)*Calculateur!AQ174*Calculateur!AS174*VLOOKUP('Données projet'!$B$10,Paramètres!$A$1:$I$89,3,0)*0.475*44/12</f>
        <v>7.0461982140985802</v>
      </c>
      <c r="AW174" s="21">
        <f>EXP(-LN(2)/2)*AW173+(1-EXP(-LN(2)/2))/(LN(2)/2)*AQ174*AT174*VLOOKUP('Données projet'!$B$10,Paramètres!$A$1:$I$89,3,0)*0.475*44/12</f>
        <v>2.5828649806967749E-9</v>
      </c>
      <c r="AX174" s="21">
        <f t="shared" si="166"/>
        <v>54.462696152029068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-3.1036506698001178E-14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159.92263609041913</v>
      </c>
      <c r="BJ174" s="59">
        <f t="shared" si="146"/>
        <v>271.78119133009307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5.0373693283451093</v>
      </c>
      <c r="BQ174" s="21">
        <f>EXP(-LN(2)/25)*BQ173+(1-EXP(-LN(2)/25))/(LN(2)/25)*Calculateur!BL174*Calculateur!BN174*VLOOKUP('Données projet'!$B$11,Paramètres!$A$1:$I$89,3,0)*0.475*44/12</f>
        <v>3.9671102187946343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9.0044795471397432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5.6843418860808015E-13</v>
      </c>
      <c r="BZ174" s="13">
        <f>BY174*VLOOKUP('Données projet'!$B$12,Paramètres!$A$1:$I$89,3,0)*VLOOKUP('Données projet'!$B$12,Paramètres!$A$1:$I$89,5,0)</f>
        <v>5.1431925385259092E-13</v>
      </c>
      <c r="CA174" s="13">
        <f t="shared" si="170"/>
        <v>6.3855359115685756E-12</v>
      </c>
      <c r="CB174" s="20">
        <f t="shared" si="171"/>
        <v>1.2017247746441865E-11</v>
      </c>
      <c r="CC174" s="59">
        <f t="shared" si="119"/>
        <v>293.33333333334531</v>
      </c>
      <c r="CD174" s="59">
        <f ca="1">AVERAGE(OFFSET($CC$3,0,0,'Données projet'!$E$12+1,1))-AVERAGE(OFFSET($H$3,0,0,'Données projet'!$E$12+1,1))</f>
        <v>280.25710840677186</v>
      </c>
      <c r="CE174" s="59">
        <f t="shared" si="148"/>
        <v>209.65224013288037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77.432951789603237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77.432951789603237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243</v>
      </c>
      <c r="CU174" s="17">
        <f>CT174*VLOOKUP('Données projet'!$B$13,Paramètres!$A$1:$I$89,3,0)*VLOOKUP('Données projet'!$B$13,Paramètres!$A$1:$I$89,5,0)</f>
        <v>253.98360000000002</v>
      </c>
      <c r="CV174" s="13">
        <f t="shared" si="173"/>
        <v>61.438182405444294</v>
      </c>
      <c r="CW174" s="20">
        <f t="shared" si="174"/>
        <v>549.35960435614891</v>
      </c>
      <c r="CX174" s="59">
        <f t="shared" si="122"/>
        <v>842.69293768948228</v>
      </c>
      <c r="CY174" s="59">
        <f ca="1">AVERAGE(OFFSET($CX$3,0,0,'Données projet'!$E$13+1,1))-AVERAGE(OFFSET($H$3,0,0,'Données projet'!$E$13+1,1))</f>
        <v>330.14201227773452</v>
      </c>
      <c r="CZ174" s="59">
        <f t="shared" si="150"/>
        <v>307.07297894926467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7.9915574220207679</v>
      </c>
      <c r="DG174" s="21">
        <f>EXP(-LN(2)/25)*DG173+(1-EXP(-LN(2)/25))/(LN(2)/25)*Calculateur!DB174*Calculateur!DD174*VLOOKUP('Données projet'!$B$13,Paramètres!$A$1:$I$89,3,0)*0.475*44/12</f>
        <v>2.488122751194509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10.479680173215277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283.73369613548124</v>
      </c>
      <c r="T175" s="59">
        <f t="shared" si="142"/>
        <v>249.77804091581208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26.641292910570186</v>
      </c>
      <c r="AA175" s="21">
        <f>EXP(-LN(2)/25)*AA174+(1-EXP(-LN(2)/25))/(LN(2)/25)*Calculateur!V175*Calculateur!X175*VLOOKUP('Données projet'!$B$9,Paramètres!$A$1:$I$89,3,0)*0.475*44/12</f>
        <v>2.9611419481684274</v>
      </c>
      <c r="AB175" s="21">
        <f>EXP(-LN(2)/2)*AB174+(1-EXP(-LN(2)/2))/(LN(2)/2)*V175*Y175*VLOOKUP('Données projet'!$B$9,Paramètres!$A$1:$I$89,3,0)*0.475*44/12</f>
        <v>1.6587668382484878E-13</v>
      </c>
      <c r="AC175" s="22">
        <f t="shared" si="163"/>
        <v>29.602434858738782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1.5961632016114892E-13</v>
      </c>
      <c r="AK175" s="13">
        <f t="shared" si="164"/>
        <v>2.2708641912150958E-12</v>
      </c>
      <c r="AL175" s="20">
        <f t="shared" si="165"/>
        <v>4.2330868906469593E-12</v>
      </c>
      <c r="AM175" s="59">
        <f t="shared" si="113"/>
        <v>293.33333333333752</v>
      </c>
      <c r="AN175" s="59">
        <f ca="1">AVERAGE(OFFSET($AM$3,0,0,'Données projet'!$E$10+1,1))-AVERAGE(OFFSET($H$3,0,0,'Données projet'!$E$10+1,1))</f>
        <v>205.73717397588365</v>
      </c>
      <c r="AO175" s="59">
        <f t="shared" si="144"/>
        <v>190.64998698136026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46.486689332043461</v>
      </c>
      <c r="AV175" s="21">
        <f>EXP(-LN(2)/25)*AV174+(1-EXP(-LN(2)/25))/(LN(2)/25)*Calculateur!AQ175*Calculateur!AS175*VLOOKUP('Données projet'!$B$10,Paramètres!$A$1:$I$89,3,0)*0.475*44/12</f>
        <v>6.853519553390595</v>
      </c>
      <c r="AW175" s="21">
        <f>EXP(-LN(2)/2)*AW174+(1-EXP(-LN(2)/2))/(LN(2)/2)*AQ175*AT175*VLOOKUP('Données projet'!$B$10,Paramètres!$A$1:$I$89,3,0)*0.475*44/12</f>
        <v>1.8263613427399508E-9</v>
      </c>
      <c r="AX175" s="21">
        <f t="shared" si="166"/>
        <v>53.340208887260424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-3.1036506698001178E-14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159.92263609041913</v>
      </c>
      <c r="BJ175" s="59">
        <f t="shared" si="146"/>
        <v>271.78119133009307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4.9385895883081687</v>
      </c>
      <c r="BQ175" s="21">
        <f>EXP(-LN(2)/25)*BQ174+(1-EXP(-LN(2)/25))/(LN(2)/25)*Calculateur!BL175*Calculateur!BN175*VLOOKUP('Données projet'!$B$11,Paramètres!$A$1:$I$89,3,0)*0.475*44/12</f>
        <v>3.8586293812404358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8.7972189695486041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5.6843418860808015E-13</v>
      </c>
      <c r="BZ175" s="13">
        <f>BY175*VLOOKUP('Données projet'!$B$12,Paramètres!$A$1:$I$89,3,0)*VLOOKUP('Données projet'!$B$12,Paramètres!$A$1:$I$89,5,0)</f>
        <v>5.1431925385259092E-13</v>
      </c>
      <c r="CA175" s="13">
        <f t="shared" si="170"/>
        <v>6.3855359115685756E-12</v>
      </c>
      <c r="CB175" s="20">
        <f t="shared" si="171"/>
        <v>1.2017247746441865E-11</v>
      </c>
      <c r="CC175" s="59">
        <f t="shared" si="119"/>
        <v>293.33333333334531</v>
      </c>
      <c r="CD175" s="59">
        <f ca="1">AVERAGE(OFFSET($CC$3,0,0,'Données projet'!$E$12+1,1))-AVERAGE(OFFSET($H$3,0,0,'Données projet'!$E$12+1,1))</f>
        <v>280.25710840677186</v>
      </c>
      <c r="CE175" s="59">
        <f t="shared" si="148"/>
        <v>209.65224013288037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75.914538834446191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75.914538834446191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243</v>
      </c>
      <c r="CU175" s="17">
        <f>CT175*VLOOKUP('Données projet'!$B$13,Paramètres!$A$1:$I$89,3,0)*VLOOKUP('Données projet'!$B$13,Paramètres!$A$1:$I$89,5,0)</f>
        <v>253.98360000000002</v>
      </c>
      <c r="CV175" s="13">
        <f t="shared" si="173"/>
        <v>61.438182405444294</v>
      </c>
      <c r="CW175" s="20">
        <f t="shared" si="174"/>
        <v>549.35960435614891</v>
      </c>
      <c r="CX175" s="59">
        <f t="shared" si="122"/>
        <v>842.69293768948228</v>
      </c>
      <c r="CY175" s="59">
        <f ca="1">AVERAGE(OFFSET($CX$3,0,0,'Données projet'!$E$13+1,1))-AVERAGE(OFFSET($H$3,0,0,'Données projet'!$E$13+1,1))</f>
        <v>330.14201227773452</v>
      </c>
      <c r="CZ175" s="59">
        <f t="shared" si="150"/>
        <v>307.07297894926467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7.8348478553436642</v>
      </c>
      <c r="DG175" s="21">
        <f>EXP(-LN(2)/25)*DG174+(1-EXP(-LN(2)/25))/(LN(2)/25)*Calculateur!DB175*Calculateur!DD175*VLOOKUP('Données projet'!$B$13,Paramètres!$A$1:$I$89,3,0)*0.475*44/12</f>
        <v>2.4200849037184065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10.25493275906207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283.73369613548124</v>
      </c>
      <c r="T176" s="59">
        <f t="shared" si="142"/>
        <v>249.77804091581208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26.118873406178068</v>
      </c>
      <c r="AA176" s="21">
        <f>EXP(-LN(2)/25)*AA175+(1-EXP(-LN(2)/25))/(LN(2)/25)*Calculateur!V176*Calculateur!X176*VLOOKUP('Données projet'!$B$9,Paramètres!$A$1:$I$89,3,0)*0.475*44/12</f>
        <v>2.8801693658760743</v>
      </c>
      <c r="AB176" s="21">
        <f>EXP(-LN(2)/2)*AB175+(1-EXP(-LN(2)/2))/(LN(2)/2)*V176*Y176*VLOOKUP('Données projet'!$B$9,Paramètres!$A$1:$I$89,3,0)*0.475*44/12</f>
        <v>1.1729252797328748E-13</v>
      </c>
      <c r="AC176" s="22">
        <f t="shared" si="163"/>
        <v>28.99904277205426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1.5961632016114892E-13</v>
      </c>
      <c r="AK176" s="13">
        <f t="shared" si="164"/>
        <v>2.2708641912150958E-12</v>
      </c>
      <c r="AL176" s="20">
        <f t="shared" si="165"/>
        <v>4.2330868906469593E-12</v>
      </c>
      <c r="AM176" s="59">
        <f t="shared" si="113"/>
        <v>293.33333333333752</v>
      </c>
      <c r="AN176" s="59">
        <f ca="1">AVERAGE(OFFSET($AM$3,0,0,'Données projet'!$E$10+1,1))-AVERAGE(OFFSET($H$3,0,0,'Données projet'!$E$10+1,1))</f>
        <v>205.73717397588365</v>
      </c>
      <c r="AO176" s="59">
        <f t="shared" si="144"/>
        <v>190.64998698136026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45.575113708322846</v>
      </c>
      <c r="AV176" s="21">
        <f>EXP(-LN(2)/25)*AV175+(1-EXP(-LN(2)/25))/(LN(2)/25)*Calculateur!AQ176*Calculateur!AS176*VLOOKUP('Données projet'!$B$10,Paramètres!$A$1:$I$89,3,0)*0.475*44/12</f>
        <v>6.6661097007921999</v>
      </c>
      <c r="AW176" s="21">
        <f>EXP(-LN(2)/2)*AW175+(1-EXP(-LN(2)/2))/(LN(2)/2)*AQ176*AT176*VLOOKUP('Données projet'!$B$10,Paramètres!$A$1:$I$89,3,0)*0.475*44/12</f>
        <v>1.2914324903483877E-9</v>
      </c>
      <c r="AX176" s="21">
        <f t="shared" si="166"/>
        <v>52.241223410406477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-3.1036506698001178E-14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159.92263609041913</v>
      </c>
      <c r="BJ176" s="59">
        <f t="shared" si="146"/>
        <v>271.78119133009307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4.8417468587236598</v>
      </c>
      <c r="BQ176" s="21">
        <f>EXP(-LN(2)/25)*BQ175+(1-EXP(-LN(2)/25))/(LN(2)/25)*Calculateur!BL176*Calculateur!BN176*VLOOKUP('Données projet'!$B$11,Paramètres!$A$1:$I$89,3,0)*0.475*44/12</f>
        <v>3.7531149578939158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8.5948618166175752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5.6843418860808015E-13</v>
      </c>
      <c r="BZ176" s="13">
        <f>BY176*VLOOKUP('Données projet'!$B$12,Paramètres!$A$1:$I$89,3,0)*VLOOKUP('Données projet'!$B$12,Paramètres!$A$1:$I$89,5,0)</f>
        <v>5.1431925385259092E-13</v>
      </c>
      <c r="CA176" s="13">
        <f t="shared" si="170"/>
        <v>6.3855359115685756E-12</v>
      </c>
      <c r="CB176" s="20">
        <f t="shared" si="171"/>
        <v>1.2017247746441865E-11</v>
      </c>
      <c r="CC176" s="59">
        <f t="shared" si="119"/>
        <v>293.33333333334531</v>
      </c>
      <c r="CD176" s="59">
        <f ca="1">AVERAGE(OFFSET($CC$3,0,0,'Données projet'!$E$12+1,1))-AVERAGE(OFFSET($H$3,0,0,'Données projet'!$E$12+1,1))</f>
        <v>280.25710840677186</v>
      </c>
      <c r="CE176" s="59">
        <f t="shared" si="148"/>
        <v>209.65224013288037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74.425901031199317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74.425901031199317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243</v>
      </c>
      <c r="CU176" s="17">
        <f>CT176*VLOOKUP('Données projet'!$B$13,Paramètres!$A$1:$I$89,3,0)*VLOOKUP('Données projet'!$B$13,Paramètres!$A$1:$I$89,5,0)</f>
        <v>253.98360000000002</v>
      </c>
      <c r="CV176" s="13">
        <f t="shared" si="173"/>
        <v>61.438182405444294</v>
      </c>
      <c r="CW176" s="20">
        <f t="shared" si="174"/>
        <v>549.35960435614891</v>
      </c>
      <c r="CX176" s="59">
        <f t="shared" si="122"/>
        <v>842.69293768948228</v>
      </c>
      <c r="CY176" s="59">
        <f ca="1">AVERAGE(OFFSET($CX$3,0,0,'Données projet'!$E$13+1,1))-AVERAGE(OFFSET($H$3,0,0,'Données projet'!$E$13+1,1))</f>
        <v>330.14201227773452</v>
      </c>
      <c r="CZ176" s="59">
        <f t="shared" si="150"/>
        <v>307.07297894926467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7.6812112676857005</v>
      </c>
      <c r="DG176" s="21">
        <f>EXP(-LN(2)/25)*DG175+(1-EXP(-LN(2)/25))/(LN(2)/25)*Calculateur!DB176*Calculateur!DD176*VLOOKUP('Données projet'!$B$13,Paramètres!$A$1:$I$89,3,0)*0.475*44/12</f>
        <v>2.3539075547594925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10.035118822445193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283.73369613548124</v>
      </c>
      <c r="T177" s="59">
        <f t="shared" si="142"/>
        <v>249.77804091581208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25.606698229622644</v>
      </c>
      <c r="AA177" s="21">
        <f>EXP(-LN(2)/25)*AA176+(1-EXP(-LN(2)/25))/(LN(2)/25)*Calculateur!V177*Calculateur!X177*VLOOKUP('Données projet'!$B$9,Paramètres!$A$1:$I$89,3,0)*0.475*44/12</f>
        <v>2.801410983104669</v>
      </c>
      <c r="AB177" s="21">
        <f>EXP(-LN(2)/2)*AB176+(1-EXP(-LN(2)/2))/(LN(2)/2)*V177*Y177*VLOOKUP('Données projet'!$B$9,Paramètres!$A$1:$I$89,3,0)*0.475*44/12</f>
        <v>8.2938341912424392E-14</v>
      </c>
      <c r="AC177" s="22">
        <f t="shared" si="163"/>
        <v>28.408109212727396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1.5961632016114892E-13</v>
      </c>
      <c r="AK177" s="13">
        <f t="shared" si="164"/>
        <v>2.2708641912150958E-12</v>
      </c>
      <c r="AL177" s="20">
        <f t="shared" si="165"/>
        <v>4.2330868906469593E-12</v>
      </c>
      <c r="AM177" s="59">
        <f t="shared" si="113"/>
        <v>293.33333333333752</v>
      </c>
      <c r="AN177" s="59">
        <f ca="1">AVERAGE(OFFSET($AM$3,0,0,'Données projet'!$E$10+1,1))-AVERAGE(OFFSET($H$3,0,0,'Données projet'!$E$10+1,1))</f>
        <v>205.73717397588365</v>
      </c>
      <c r="AO177" s="59">
        <f t="shared" si="144"/>
        <v>190.64998698136026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44.681413526577167</v>
      </c>
      <c r="AV177" s="21">
        <f>EXP(-LN(2)/25)*AV176+(1-EXP(-LN(2)/25))/(LN(2)/25)*Calculateur!AQ177*Calculateur!AS177*VLOOKUP('Données projet'!$B$10,Paramètres!$A$1:$I$89,3,0)*0.475*44/12</f>
        <v>6.4838245804685632</v>
      </c>
      <c r="AW177" s="21">
        <f>EXP(-LN(2)/2)*AW176+(1-EXP(-LN(2)/2))/(LN(2)/2)*AQ177*AT177*VLOOKUP('Données projet'!$B$10,Paramètres!$A$1:$I$89,3,0)*0.475*44/12</f>
        <v>9.1318067136997553E-10</v>
      </c>
      <c r="AX177" s="21">
        <f t="shared" si="166"/>
        <v>51.165238107958913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-3.1036506698001178E-14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159.92263609041913</v>
      </c>
      <c r="BJ177" s="59">
        <f t="shared" si="146"/>
        <v>271.78119133009307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4.7468031559980712</v>
      </c>
      <c r="BQ177" s="21">
        <f>EXP(-LN(2)/25)*BQ176+(1-EXP(-LN(2)/25))/(LN(2)/25)*Calculateur!BL177*Calculateur!BN177*VLOOKUP('Données projet'!$B$11,Paramètres!$A$1:$I$89,3,0)*0.475*44/12</f>
        <v>3.6504858320025688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8.3972889880006392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5.6843418860808015E-13</v>
      </c>
      <c r="BZ177" s="13">
        <f>BY177*VLOOKUP('Données projet'!$B$12,Paramètres!$A$1:$I$89,3,0)*VLOOKUP('Données projet'!$B$12,Paramètres!$A$1:$I$89,5,0)</f>
        <v>5.1431925385259092E-13</v>
      </c>
      <c r="CA177" s="13">
        <f t="shared" si="170"/>
        <v>6.3855359115685756E-12</v>
      </c>
      <c r="CB177" s="20">
        <f t="shared" si="171"/>
        <v>1.2017247746441865E-11</v>
      </c>
      <c r="CC177" s="59">
        <f t="shared" si="119"/>
        <v>293.33333333334531</v>
      </c>
      <c r="CD177" s="59">
        <f ca="1">AVERAGE(OFFSET($CC$3,0,0,'Données projet'!$E$12+1,1))-AVERAGE(OFFSET($H$3,0,0,'Données projet'!$E$12+1,1))</f>
        <v>280.25710840677186</v>
      </c>
      <c r="CE177" s="59">
        <f t="shared" si="148"/>
        <v>209.65224013288037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72.966454507294713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72.966454507294713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243</v>
      </c>
      <c r="CU177" s="17">
        <f>CT177*VLOOKUP('Données projet'!$B$13,Paramètres!$A$1:$I$89,3,0)*VLOOKUP('Données projet'!$B$13,Paramètres!$A$1:$I$89,5,0)</f>
        <v>253.98360000000002</v>
      </c>
      <c r="CV177" s="13">
        <f t="shared" si="173"/>
        <v>61.438182405444294</v>
      </c>
      <c r="CW177" s="20">
        <f t="shared" si="174"/>
        <v>549.35960435614891</v>
      </c>
      <c r="CX177" s="59">
        <f t="shared" si="122"/>
        <v>842.69293768948228</v>
      </c>
      <c r="CY177" s="59">
        <f ca="1">AVERAGE(OFFSET($CX$3,0,0,'Données projet'!$E$13+1,1))-AVERAGE(OFFSET($H$3,0,0,'Données projet'!$E$13+1,1))</f>
        <v>330.14201227773452</v>
      </c>
      <c r="CZ177" s="59">
        <f t="shared" si="150"/>
        <v>307.07297894926467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7.530587399802644</v>
      </c>
      <c r="DG177" s="21">
        <f>EXP(-LN(2)/25)*DG176+(1-EXP(-LN(2)/25))/(LN(2)/25)*Calculateur!DB177*Calculateur!DD177*VLOOKUP('Données projet'!$B$13,Paramètres!$A$1:$I$89,3,0)*0.475*44/12</f>
        <v>2.289539828887976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9.8201272286906196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283.73369613548124</v>
      </c>
      <c r="T178" s="59">
        <f t="shared" si="142"/>
        <v>249.77804091581208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25.104566495883461</v>
      </c>
      <c r="AA178" s="21">
        <f>EXP(-LN(2)/25)*AA177+(1-EXP(-LN(2)/25))/(LN(2)/25)*Calculateur!V178*Calculateur!X178*VLOOKUP('Données projet'!$B$9,Paramètres!$A$1:$I$89,3,0)*0.475*44/12</f>
        <v>2.724806252451871</v>
      </c>
      <c r="AB178" s="21">
        <f>EXP(-LN(2)/2)*AB177+(1-EXP(-LN(2)/2))/(LN(2)/2)*V178*Y178*VLOOKUP('Données projet'!$B$9,Paramètres!$A$1:$I$89,3,0)*0.475*44/12</f>
        <v>5.8646263986643738E-14</v>
      </c>
      <c r="AC178" s="22">
        <f t="shared" si="163"/>
        <v>27.829372748335391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1.5961632016114892E-13</v>
      </c>
      <c r="AK178" s="13">
        <f t="shared" si="164"/>
        <v>2.2708641912150958E-12</v>
      </c>
      <c r="AL178" s="20">
        <f t="shared" si="165"/>
        <v>4.2330868906469593E-12</v>
      </c>
      <c r="AM178" s="59">
        <f t="shared" si="113"/>
        <v>293.33333333333752</v>
      </c>
      <c r="AN178" s="59">
        <f ca="1">AVERAGE(OFFSET($AM$3,0,0,'Données projet'!$E$10+1,1))-AVERAGE(OFFSET($H$3,0,0,'Données projet'!$E$10+1,1))</f>
        <v>205.73717397588365</v>
      </c>
      <c r="AO178" s="59">
        <f t="shared" si="144"/>
        <v>190.64998698136026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43.805238260292235</v>
      </c>
      <c r="AV178" s="21">
        <f>EXP(-LN(2)/25)*AV177+(1-EXP(-LN(2)/25))/(LN(2)/25)*Calculateur!AQ178*Calculateur!AS178*VLOOKUP('Données projet'!$B$10,Paramètres!$A$1:$I$89,3,0)*0.475*44/12</f>
        <v>6.3065240563461344</v>
      </c>
      <c r="AW178" s="21">
        <f>EXP(-LN(2)/2)*AW177+(1-EXP(-LN(2)/2))/(LN(2)/2)*AQ178*AT178*VLOOKUP('Données projet'!$B$10,Paramètres!$A$1:$I$89,3,0)*0.475*44/12</f>
        <v>6.4571624517419394E-10</v>
      </c>
      <c r="AX178" s="21">
        <f t="shared" si="166"/>
        <v>50.111762317284082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-3.1036506698001178E-14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159.92263609041913</v>
      </c>
      <c r="BJ178" s="59">
        <f t="shared" si="146"/>
        <v>271.78119133009307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4.6537212413729909</v>
      </c>
      <c r="BQ178" s="21">
        <f>EXP(-LN(2)/25)*BQ177+(1-EXP(-LN(2)/25))/(LN(2)/25)*Calculateur!BL178*Calculateur!BN178*VLOOKUP('Données projet'!$B$11,Paramètres!$A$1:$I$89,3,0)*0.475*44/12</f>
        <v>3.5506631049557518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8.2043843463287427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5.6843418860808015E-13</v>
      </c>
      <c r="BZ178" s="13">
        <f>BY178*VLOOKUP('Données projet'!$B$12,Paramètres!$A$1:$I$89,3,0)*VLOOKUP('Données projet'!$B$12,Paramètres!$A$1:$I$89,5,0)</f>
        <v>5.1431925385259092E-13</v>
      </c>
      <c r="CA178" s="13">
        <f t="shared" si="170"/>
        <v>6.3855359115685756E-12</v>
      </c>
      <c r="CB178" s="20">
        <f t="shared" si="171"/>
        <v>1.2017247746441865E-11</v>
      </c>
      <c r="CC178" s="59">
        <f t="shared" si="119"/>
        <v>293.33333333334531</v>
      </c>
      <c r="CD178" s="59">
        <f ca="1">AVERAGE(OFFSET($CC$3,0,0,'Données projet'!$E$12+1,1))-AVERAGE(OFFSET($H$3,0,0,'Données projet'!$E$12+1,1))</f>
        <v>280.25710840677186</v>
      </c>
      <c r="CE178" s="59">
        <f t="shared" si="148"/>
        <v>209.65224013288037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71.535626839549394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71.535626839549394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243</v>
      </c>
      <c r="CU178" s="17">
        <f>CT178*VLOOKUP('Données projet'!$B$13,Paramètres!$A$1:$I$89,3,0)*VLOOKUP('Données projet'!$B$13,Paramètres!$A$1:$I$89,5,0)</f>
        <v>253.98360000000002</v>
      </c>
      <c r="CV178" s="13">
        <f t="shared" si="173"/>
        <v>61.438182405444294</v>
      </c>
      <c r="CW178" s="20">
        <f t="shared" si="174"/>
        <v>549.35960435614891</v>
      </c>
      <c r="CX178" s="59">
        <f t="shared" si="122"/>
        <v>842.69293768948228</v>
      </c>
      <c r="CY178" s="59">
        <f ca="1">AVERAGE(OFFSET($CX$3,0,0,'Données projet'!$E$13+1,1))-AVERAGE(OFFSET($H$3,0,0,'Données projet'!$E$13+1,1))</f>
        <v>330.14201227773452</v>
      </c>
      <c r="CZ178" s="59">
        <f t="shared" si="150"/>
        <v>307.07297894926467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7.3829171740972868</v>
      </c>
      <c r="DG178" s="21">
        <f>EXP(-LN(2)/25)*DG177+(1-EXP(-LN(2)/25))/(LN(2)/25)*Calculateur!DB178*Calculateur!DD178*VLOOKUP('Données projet'!$B$13,Paramètres!$A$1:$I$89,3,0)*0.475*44/12</f>
        <v>2.2269322418653674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9.6098494159626533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283.73369613548124</v>
      </c>
      <c r="T179" s="59">
        <f t="shared" si="142"/>
        <v>249.77804091581208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24.612281259172786</v>
      </c>
      <c r="AA179" s="21">
        <f>EXP(-LN(2)/25)*AA178+(1-EXP(-LN(2)/25))/(LN(2)/25)*Calculateur!V179*Calculateur!X179*VLOOKUP('Données projet'!$B$9,Paramètres!$A$1:$I$89,3,0)*0.475*44/12</f>
        <v>2.6502962821872416</v>
      </c>
      <c r="AB179" s="21">
        <f>EXP(-LN(2)/2)*AB178+(1-EXP(-LN(2)/2))/(LN(2)/2)*V179*Y179*VLOOKUP('Données projet'!$B$9,Paramètres!$A$1:$I$89,3,0)*0.475*44/12</f>
        <v>4.1469170956212196E-14</v>
      </c>
      <c r="AC179" s="22">
        <f t="shared" si="163"/>
        <v>27.26257754136007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1.5961632016114892E-13</v>
      </c>
      <c r="AK179" s="13">
        <f t="shared" si="164"/>
        <v>2.2708641912150958E-12</v>
      </c>
      <c r="AL179" s="20">
        <f t="shared" si="165"/>
        <v>4.2330868906469593E-12</v>
      </c>
      <c r="AM179" s="59">
        <f t="shared" si="113"/>
        <v>293.33333333333752</v>
      </c>
      <c r="AN179" s="59">
        <f ca="1">AVERAGE(OFFSET($AM$3,0,0,'Données projet'!$E$10+1,1))-AVERAGE(OFFSET($H$3,0,0,'Données projet'!$E$10+1,1))</f>
        <v>205.73717397588365</v>
      </c>
      <c r="AO179" s="59">
        <f t="shared" si="144"/>
        <v>190.64998698136026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42.946244256565002</v>
      </c>
      <c r="AV179" s="21">
        <f>EXP(-LN(2)/25)*AV178+(1-EXP(-LN(2)/25))/(LN(2)/25)*Calculateur!AQ179*Calculateur!AS179*VLOOKUP('Données projet'!$B$10,Paramètres!$A$1:$I$89,3,0)*0.475*44/12</f>
        <v>6.1340718243796628</v>
      </c>
      <c r="AW179" s="21">
        <f>EXP(-LN(2)/2)*AW178+(1-EXP(-LN(2)/2))/(LN(2)/2)*AQ179*AT179*VLOOKUP('Données projet'!$B$10,Paramètres!$A$1:$I$89,3,0)*0.475*44/12</f>
        <v>4.5659033568498787E-10</v>
      </c>
      <c r="AX179" s="21">
        <f t="shared" si="166"/>
        <v>49.08031608140125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-3.1036506698001178E-14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159.92263609041913</v>
      </c>
      <c r="BJ179" s="59">
        <f t="shared" si="146"/>
        <v>271.78119133009307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4.5624646063193461</v>
      </c>
      <c r="BQ179" s="21">
        <f>EXP(-LN(2)/25)*BQ178+(1-EXP(-LN(2)/25))/(LN(2)/25)*Calculateur!BL179*Calculateur!BN179*VLOOKUP('Données projet'!$B$11,Paramètres!$A$1:$I$89,3,0)*0.475*44/12</f>
        <v>3.4535700356294794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8.016034641948826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5.6843418860808015E-13</v>
      </c>
      <c r="BZ179" s="13">
        <f>BY179*VLOOKUP('Données projet'!$B$12,Paramètres!$A$1:$I$89,3,0)*VLOOKUP('Données projet'!$B$12,Paramètres!$A$1:$I$89,5,0)</f>
        <v>5.1431925385259092E-13</v>
      </c>
      <c r="CA179" s="13">
        <f t="shared" si="170"/>
        <v>6.3855359115685756E-12</v>
      </c>
      <c r="CB179" s="20">
        <f t="shared" si="171"/>
        <v>1.2017247746441865E-11</v>
      </c>
      <c r="CC179" s="59">
        <f t="shared" si="119"/>
        <v>293.33333333334531</v>
      </c>
      <c r="CD179" s="59">
        <f ca="1">AVERAGE(OFFSET($CC$3,0,0,'Données projet'!$E$12+1,1))-AVERAGE(OFFSET($H$3,0,0,'Données projet'!$E$12+1,1))</f>
        <v>280.25710840677186</v>
      </c>
      <c r="CE179" s="59">
        <f t="shared" si="148"/>
        <v>209.65224013288037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70.132856829649853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70.132856829649853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243</v>
      </c>
      <c r="CU179" s="17">
        <f>CT179*VLOOKUP('Données projet'!$B$13,Paramètres!$A$1:$I$89,3,0)*VLOOKUP('Données projet'!$B$13,Paramètres!$A$1:$I$89,5,0)</f>
        <v>253.98360000000002</v>
      </c>
      <c r="CV179" s="13">
        <f t="shared" si="173"/>
        <v>61.438182405444294</v>
      </c>
      <c r="CW179" s="20">
        <f t="shared" si="174"/>
        <v>549.35960435614891</v>
      </c>
      <c r="CX179" s="59">
        <f t="shared" si="122"/>
        <v>842.69293768948228</v>
      </c>
      <c r="CY179" s="59">
        <f ca="1">AVERAGE(OFFSET($CX$3,0,0,'Données projet'!$E$13+1,1))-AVERAGE(OFFSET($H$3,0,0,'Données projet'!$E$13+1,1))</f>
        <v>330.14201227773452</v>
      </c>
      <c r="CZ179" s="59">
        <f t="shared" si="150"/>
        <v>307.07297894926467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7.2381426714480677</v>
      </c>
      <c r="DG179" s="21">
        <f>EXP(-LN(2)/25)*DG178+(1-EXP(-LN(2)/25))/(LN(2)/25)*Calculateur!DB179*Calculateur!DD179*VLOOKUP('Données projet'!$B$13,Paramètres!$A$1:$I$89,3,0)*0.475*44/12</f>
        <v>2.166036662602282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9.4041793340503492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283.73369613548124</v>
      </c>
      <c r="T180" s="59">
        <f t="shared" si="142"/>
        <v>249.77804091581208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24.129649435689664</v>
      </c>
      <c r="AA180" s="21">
        <f>EXP(-LN(2)/25)*AA179+(1-EXP(-LN(2)/25))/(LN(2)/25)*Calculateur!V180*Calculateur!X180*VLOOKUP('Données projet'!$B$9,Paramètres!$A$1:$I$89,3,0)*0.475*44/12</f>
        <v>2.5778237909778072</v>
      </c>
      <c r="AB180" s="21">
        <f>EXP(-LN(2)/2)*AB179+(1-EXP(-LN(2)/2))/(LN(2)/2)*V180*Y180*VLOOKUP('Données projet'!$B$9,Paramètres!$A$1:$I$89,3,0)*0.475*44/12</f>
        <v>2.9323131993321869E-14</v>
      </c>
      <c r="AC180" s="22">
        <f t="shared" si="163"/>
        <v>26.707473226667499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1.5961632016114892E-13</v>
      </c>
      <c r="AK180" s="13">
        <f t="shared" si="164"/>
        <v>2.2708641912150958E-12</v>
      </c>
      <c r="AL180" s="20">
        <f t="shared" si="165"/>
        <v>4.2330868906469593E-12</v>
      </c>
      <c r="AM180" s="59">
        <f t="shared" si="113"/>
        <v>293.33333333333752</v>
      </c>
      <c r="AN180" s="59">
        <f ca="1">AVERAGE(OFFSET($AM$3,0,0,'Données projet'!$E$10+1,1))-AVERAGE(OFFSET($H$3,0,0,'Données projet'!$E$10+1,1))</f>
        <v>205.73717397588365</v>
      </c>
      <c r="AO180" s="59">
        <f t="shared" si="144"/>
        <v>190.64998698136026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42.104094601316255</v>
      </c>
      <c r="AV180" s="21">
        <f>EXP(-LN(2)/25)*AV179+(1-EXP(-LN(2)/25))/(LN(2)/25)*Calculateur!AQ180*Calculateur!AS180*VLOOKUP('Données projet'!$B$10,Paramètres!$A$1:$I$89,3,0)*0.475*44/12</f>
        <v>5.9663353077651831</v>
      </c>
      <c r="AW180" s="21">
        <f>EXP(-LN(2)/2)*AW179+(1-EXP(-LN(2)/2))/(LN(2)/2)*AQ180*AT180*VLOOKUP('Données projet'!$B$10,Paramètres!$A$1:$I$89,3,0)*0.475*44/12</f>
        <v>3.2285812258709702E-10</v>
      </c>
      <c r="AX180" s="21">
        <f t="shared" si="166"/>
        <v>48.070429909404297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-3.1036506698001178E-14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159.92263609041913</v>
      </c>
      <c r="BJ180" s="59">
        <f t="shared" si="146"/>
        <v>271.78119133009307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4.4729974582180523</v>
      </c>
      <c r="BQ180" s="21">
        <f>EXP(-LN(2)/25)*BQ179+(1-EXP(-LN(2)/25))/(LN(2)/25)*Calculateur!BL180*Calculateur!BN180*VLOOKUP('Données projet'!$B$11,Paramètres!$A$1:$I$89,3,0)*0.475*44/12</f>
        <v>3.3591319813898362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7.832129439607888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5.6843418860808015E-13</v>
      </c>
      <c r="BZ180" s="13">
        <f>BY180*VLOOKUP('Données projet'!$B$12,Paramètres!$A$1:$I$89,3,0)*VLOOKUP('Données projet'!$B$12,Paramètres!$A$1:$I$89,5,0)</f>
        <v>5.1431925385259092E-13</v>
      </c>
      <c r="CA180" s="13">
        <f t="shared" si="170"/>
        <v>6.3855359115685756E-12</v>
      </c>
      <c r="CB180" s="20">
        <f t="shared" si="171"/>
        <v>1.2017247746441865E-11</v>
      </c>
      <c r="CC180" s="59">
        <f t="shared" si="119"/>
        <v>293.33333333334531</v>
      </c>
      <c r="CD180" s="59">
        <f ca="1">AVERAGE(OFFSET($CC$3,0,0,'Données projet'!$E$12+1,1))-AVERAGE(OFFSET($H$3,0,0,'Données projet'!$E$12+1,1))</f>
        <v>280.25710840677186</v>
      </c>
      <c r="CE180" s="59">
        <f t="shared" si="148"/>
        <v>209.65224013288037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68.757594284039229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68.757594284039229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243</v>
      </c>
      <c r="CU180" s="17">
        <f>CT180*VLOOKUP('Données projet'!$B$13,Paramètres!$A$1:$I$89,3,0)*VLOOKUP('Données projet'!$B$13,Paramètres!$A$1:$I$89,5,0)</f>
        <v>253.98360000000002</v>
      </c>
      <c r="CV180" s="13">
        <f t="shared" si="173"/>
        <v>61.438182405444294</v>
      </c>
      <c r="CW180" s="20">
        <f t="shared" si="174"/>
        <v>549.35960435614891</v>
      </c>
      <c r="CX180" s="59">
        <f t="shared" si="122"/>
        <v>842.69293768948228</v>
      </c>
      <c r="CY180" s="59">
        <f ca="1">AVERAGE(OFFSET($CX$3,0,0,'Données projet'!$E$13+1,1))-AVERAGE(OFFSET($H$3,0,0,'Données projet'!$E$13+1,1))</f>
        <v>330.14201227773452</v>
      </c>
      <c r="CZ180" s="59">
        <f t="shared" si="150"/>
        <v>307.07297894926467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7.0962071084920719</v>
      </c>
      <c r="DG180" s="21">
        <f>EXP(-LN(2)/25)*DG179+(1-EXP(-LN(2)/25))/(LN(2)/25)*Calculateur!DB180*Calculateur!DD180*VLOOKUP('Données projet'!$B$13,Paramètres!$A$1:$I$89,3,0)*0.475*44/12</f>
        <v>2.106806276156505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9.2030133846485764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283.73369613548124</v>
      </c>
      <c r="T181" s="59">
        <f t="shared" si="142"/>
        <v>249.77804091581208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23.6564817278887</v>
      </c>
      <c r="AA181" s="21">
        <f>EXP(-LN(2)/25)*AA180+(1-EXP(-LN(2)/25))/(LN(2)/25)*Calculateur!V181*Calculateur!X181*VLOOKUP('Données projet'!$B$9,Paramètres!$A$1:$I$89,3,0)*0.475*44/12</f>
        <v>2.5073330638516578</v>
      </c>
      <c r="AB181" s="21">
        <f>EXP(-LN(2)/2)*AB180+(1-EXP(-LN(2)/2))/(LN(2)/2)*V181*Y181*VLOOKUP('Données projet'!$B$9,Paramètres!$A$1:$I$89,3,0)*0.475*44/12</f>
        <v>2.0734585478106098E-14</v>
      </c>
      <c r="AC181" s="22">
        <f t="shared" si="163"/>
        <v>26.163814791740378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1.5961632016114892E-13</v>
      </c>
      <c r="AK181" s="13">
        <f t="shared" si="164"/>
        <v>2.2708641912150958E-12</v>
      </c>
      <c r="AL181" s="20">
        <f t="shared" si="165"/>
        <v>4.2330868906469593E-12</v>
      </c>
      <c r="AM181" s="59">
        <f t="shared" si="113"/>
        <v>293.33333333333752</v>
      </c>
      <c r="AN181" s="59">
        <f ca="1">AVERAGE(OFFSET($AM$3,0,0,'Données projet'!$E$10+1,1))-AVERAGE(OFFSET($H$3,0,0,'Données projet'!$E$10+1,1))</f>
        <v>205.73717397588365</v>
      </c>
      <c r="AO181" s="59">
        <f t="shared" si="144"/>
        <v>190.64998698136026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41.278458987146365</v>
      </c>
      <c r="AV181" s="21">
        <f>EXP(-LN(2)/25)*AV180+(1-EXP(-LN(2)/25))/(LN(2)/25)*Calculateur!AQ181*Calculateur!AS181*VLOOKUP('Données projet'!$B$10,Paramètres!$A$1:$I$89,3,0)*0.475*44/12</f>
        <v>5.8031855550184064</v>
      </c>
      <c r="AW181" s="21">
        <f>EXP(-LN(2)/2)*AW180+(1-EXP(-LN(2)/2))/(LN(2)/2)*AQ181*AT181*VLOOKUP('Données projet'!$B$10,Paramètres!$A$1:$I$89,3,0)*0.475*44/12</f>
        <v>2.2829516784249396E-10</v>
      </c>
      <c r="AX181" s="21">
        <f t="shared" si="166"/>
        <v>47.081644542393072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-3.1036506698001178E-14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159.92263609041913</v>
      </c>
      <c r="BJ181" s="59">
        <f t="shared" si="146"/>
        <v>271.78119133009307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4.3852847063214524</v>
      </c>
      <c r="BQ181" s="21">
        <f>EXP(-LN(2)/25)*BQ180+(1-EXP(-LN(2)/25))/(LN(2)/25)*Calculateur!BL181*Calculateur!BN181*VLOOKUP('Données projet'!$B$11,Paramètres!$A$1:$I$89,3,0)*0.475*44/12</f>
        <v>3.2672763407096577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7.6525610470311101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5.6843418860808015E-13</v>
      </c>
      <c r="BZ181" s="13">
        <f>BY181*VLOOKUP('Données projet'!$B$12,Paramètres!$A$1:$I$89,3,0)*VLOOKUP('Données projet'!$B$12,Paramètres!$A$1:$I$89,5,0)</f>
        <v>5.1431925385259092E-13</v>
      </c>
      <c r="CA181" s="13">
        <f t="shared" si="170"/>
        <v>6.3855359115685756E-12</v>
      </c>
      <c r="CB181" s="20">
        <f t="shared" si="171"/>
        <v>1.2017247746441865E-11</v>
      </c>
      <c r="CC181" s="59">
        <f t="shared" si="119"/>
        <v>293.33333333334531</v>
      </c>
      <c r="CD181" s="59">
        <f ca="1">AVERAGE(OFFSET($CC$3,0,0,'Données projet'!$E$12+1,1))-AVERAGE(OFFSET($H$3,0,0,'Données projet'!$E$12+1,1))</f>
        <v>280.25710840677186</v>
      </c>
      <c r="CE181" s="59">
        <f t="shared" si="148"/>
        <v>209.65224013288037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67.409299798120699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67.409299798120699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243</v>
      </c>
      <c r="CU181" s="17">
        <f>CT181*VLOOKUP('Données projet'!$B$13,Paramètres!$A$1:$I$89,3,0)*VLOOKUP('Données projet'!$B$13,Paramètres!$A$1:$I$89,5,0)</f>
        <v>253.98360000000002</v>
      </c>
      <c r="CV181" s="13">
        <f t="shared" si="173"/>
        <v>61.438182405444294</v>
      </c>
      <c r="CW181" s="20">
        <f t="shared" si="174"/>
        <v>549.35960435614891</v>
      </c>
      <c r="CX181" s="59">
        <f t="shared" si="122"/>
        <v>842.69293768948228</v>
      </c>
      <c r="CY181" s="59">
        <f ca="1">AVERAGE(OFFSET($CX$3,0,0,'Données projet'!$E$13+1,1))-AVERAGE(OFFSET($H$3,0,0,'Données projet'!$E$13+1,1))</f>
        <v>330.14201227773452</v>
      </c>
      <c r="CZ181" s="59">
        <f t="shared" si="150"/>
        <v>307.07297894926467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6.9570548153534988</v>
      </c>
      <c r="DG181" s="21">
        <f>EXP(-LN(2)/25)*DG180+(1-EXP(-LN(2)/25))/(LN(2)/25)*Calculateur!DB181*Calculateur!DD181*VLOOKUP('Données projet'!$B$13,Paramètres!$A$1:$I$89,3,0)*0.475*44/12</f>
        <v>2.0491955477428783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9.0062503630963775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283.73369613548124</v>
      </c>
      <c r="T182" s="59">
        <f t="shared" si="142"/>
        <v>249.77804091581208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23.192592550233908</v>
      </c>
      <c r="AA182" s="21">
        <f>EXP(-LN(2)/25)*AA181+(1-EXP(-LN(2)/25))/(LN(2)/25)*Calculateur!V182*Calculateur!X182*VLOOKUP('Données projet'!$B$9,Paramètres!$A$1:$I$89,3,0)*0.475*44/12</f>
        <v>2.4387699093657189</v>
      </c>
      <c r="AB182" s="21">
        <f>EXP(-LN(2)/2)*AB181+(1-EXP(-LN(2)/2))/(LN(2)/2)*V182*Y182*VLOOKUP('Données projet'!$B$9,Paramètres!$A$1:$I$89,3,0)*0.475*44/12</f>
        <v>1.4661565996660934E-14</v>
      </c>
      <c r="AC182" s="22">
        <f t="shared" si="163"/>
        <v>25.631362459599639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1.5961632016114892E-13</v>
      </c>
      <c r="AK182" s="13">
        <f t="shared" si="164"/>
        <v>2.2708641912150958E-12</v>
      </c>
      <c r="AL182" s="20">
        <f t="shared" si="165"/>
        <v>4.2330868906469593E-12</v>
      </c>
      <c r="AM182" s="59">
        <f t="shared" si="113"/>
        <v>293.33333333333752</v>
      </c>
      <c r="AN182" s="59">
        <f ca="1">AVERAGE(OFFSET($AM$3,0,0,'Données projet'!$E$10+1,1))-AVERAGE(OFFSET($H$3,0,0,'Données projet'!$E$10+1,1))</f>
        <v>205.73717397588365</v>
      </c>
      <c r="AO182" s="59">
        <f t="shared" si="144"/>
        <v>190.64998698136026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40.469013583782349</v>
      </c>
      <c r="AV182" s="21">
        <f>EXP(-LN(2)/25)*AV181+(1-EXP(-LN(2)/25))/(LN(2)/25)*Calculateur!AQ182*Calculateur!AS182*VLOOKUP('Données projet'!$B$10,Paramètres!$A$1:$I$89,3,0)*0.475*44/12</f>
        <v>5.644497140840163</v>
      </c>
      <c r="AW182" s="21">
        <f>EXP(-LN(2)/2)*AW181+(1-EXP(-LN(2)/2))/(LN(2)/2)*AQ182*AT182*VLOOKUP('Données projet'!$B$10,Paramètres!$A$1:$I$89,3,0)*0.475*44/12</f>
        <v>1.6142906129354854E-10</v>
      </c>
      <c r="AX182" s="21">
        <f t="shared" si="166"/>
        <v>46.113510724783943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-3.1036506698001178E-14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159.92263609041913</v>
      </c>
      <c r="BJ182" s="59">
        <f t="shared" si="146"/>
        <v>271.78119133009307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4.2992919479900493</v>
      </c>
      <c r="BQ182" s="21">
        <f>EXP(-LN(2)/25)*BQ181+(1-EXP(-LN(2)/25))/(LN(2)/25)*Calculateur!BL182*Calculateur!BN182*VLOOKUP('Données projet'!$B$11,Paramètres!$A$1:$I$89,3,0)*0.475*44/12</f>
        <v>3.1779324973543566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7.4772244453444063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5.6843418860808015E-13</v>
      </c>
      <c r="BZ182" s="13">
        <f>BY182*VLOOKUP('Données projet'!$B$12,Paramètres!$A$1:$I$89,3,0)*VLOOKUP('Données projet'!$B$12,Paramètres!$A$1:$I$89,5,0)</f>
        <v>5.1431925385259092E-13</v>
      </c>
      <c r="CA182" s="13">
        <f t="shared" si="170"/>
        <v>6.3855359115685756E-12</v>
      </c>
      <c r="CB182" s="20">
        <f t="shared" si="171"/>
        <v>1.2017247746441865E-11</v>
      </c>
      <c r="CC182" s="59">
        <f t="shared" si="119"/>
        <v>293.33333333334531</v>
      </c>
      <c r="CD182" s="59">
        <f ca="1">AVERAGE(OFFSET($CC$3,0,0,'Données projet'!$E$12+1,1))-AVERAGE(OFFSET($H$3,0,0,'Données projet'!$E$12+1,1))</f>
        <v>280.25710840677186</v>
      </c>
      <c r="CE182" s="59">
        <f t="shared" si="148"/>
        <v>209.65224013288037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66.087444544692602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66.087444544692602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243</v>
      </c>
      <c r="CU182" s="17">
        <f>CT182*VLOOKUP('Données projet'!$B$13,Paramètres!$A$1:$I$89,3,0)*VLOOKUP('Données projet'!$B$13,Paramètres!$A$1:$I$89,5,0)</f>
        <v>253.98360000000002</v>
      </c>
      <c r="CV182" s="13">
        <f t="shared" si="173"/>
        <v>61.438182405444294</v>
      </c>
      <c r="CW182" s="20">
        <f t="shared" si="174"/>
        <v>549.35960435614891</v>
      </c>
      <c r="CX182" s="59">
        <f t="shared" si="122"/>
        <v>842.69293768948228</v>
      </c>
      <c r="CY182" s="59">
        <f ca="1">AVERAGE(OFFSET($CX$3,0,0,'Données projet'!$E$13+1,1))-AVERAGE(OFFSET($H$3,0,0,'Données projet'!$E$13+1,1))</f>
        <v>330.14201227773452</v>
      </c>
      <c r="CZ182" s="59">
        <f t="shared" si="150"/>
        <v>307.07297894926467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6.8206312138088547</v>
      </c>
      <c r="DG182" s="21">
        <f>EXP(-LN(2)/25)*DG181+(1-EXP(-LN(2)/25))/(LN(2)/25)*Calculateur!DB182*Calculateur!DD182*VLOOKUP('Données projet'!$B$13,Paramètres!$A$1:$I$89,3,0)*0.475*44/12</f>
        <v>1.9931601877273388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8.8137914015361929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283.73369613548124</v>
      </c>
      <c r="T183" s="59">
        <f t="shared" si="142"/>
        <v>249.77804091581208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22.737799956408466</v>
      </c>
      <c r="AA183" s="21">
        <f>EXP(-LN(2)/25)*AA182+(1-EXP(-LN(2)/25))/(LN(2)/25)*Calculateur!V183*Calculateur!X183*VLOOKUP('Données projet'!$B$9,Paramètres!$A$1:$I$89,3,0)*0.475*44/12</f>
        <v>2.3720816179447777</v>
      </c>
      <c r="AB183" s="21">
        <f>EXP(-LN(2)/2)*AB182+(1-EXP(-LN(2)/2))/(LN(2)/2)*V183*Y183*VLOOKUP('Données projet'!$B$9,Paramètres!$A$1:$I$89,3,0)*0.475*44/12</f>
        <v>1.0367292739053049E-14</v>
      </c>
      <c r="AC183" s="22">
        <f t="shared" si="163"/>
        <v>25.109881574353256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1.5961632016114892E-13</v>
      </c>
      <c r="AK183" s="13">
        <f t="shared" si="164"/>
        <v>2.2708641912150958E-12</v>
      </c>
      <c r="AL183" s="20">
        <f t="shared" si="165"/>
        <v>4.2330868906469593E-12</v>
      </c>
      <c r="AM183" s="59">
        <f t="shared" si="113"/>
        <v>293.33333333333752</v>
      </c>
      <c r="AN183" s="59">
        <f ca="1">AVERAGE(OFFSET($AM$3,0,0,'Données projet'!$E$10+1,1))-AVERAGE(OFFSET($H$3,0,0,'Données projet'!$E$10+1,1))</f>
        <v>205.73717397588365</v>
      </c>
      <c r="AO183" s="59">
        <f t="shared" si="144"/>
        <v>190.64998698136026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39.675440911065351</v>
      </c>
      <c r="AV183" s="21">
        <f>EXP(-LN(2)/25)*AV182+(1-EXP(-LN(2)/25))/(LN(2)/25)*Calculateur!AQ183*Calculateur!AS183*VLOOKUP('Données projet'!$B$10,Paramètres!$A$1:$I$89,3,0)*0.475*44/12</f>
        <v>5.490148069692685</v>
      </c>
      <c r="AW183" s="21">
        <f>EXP(-LN(2)/2)*AW182+(1-EXP(-LN(2)/2))/(LN(2)/2)*AQ183*AT183*VLOOKUP('Données projet'!$B$10,Paramètres!$A$1:$I$89,3,0)*0.475*44/12</f>
        <v>1.1414758392124701E-10</v>
      </c>
      <c r="AX183" s="21">
        <f t="shared" si="166"/>
        <v>45.165588980872187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-3.1036506698001178E-14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159.92263609041913</v>
      </c>
      <c r="BJ183" s="59">
        <f t="shared" si="146"/>
        <v>271.78119133009307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4.2149854551991215</v>
      </c>
      <c r="BQ183" s="21">
        <f>EXP(-LN(2)/25)*BQ182+(1-EXP(-LN(2)/25))/(LN(2)/25)*Calculateur!BL183*Calculateur!BN183*VLOOKUP('Données projet'!$B$11,Paramètres!$A$1:$I$89,3,0)*0.475*44/12</f>
        <v>3.091031766093995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7.306017221293116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5.6843418860808015E-13</v>
      </c>
      <c r="BZ183" s="13">
        <f>BY183*VLOOKUP('Données projet'!$B$12,Paramètres!$A$1:$I$89,3,0)*VLOOKUP('Données projet'!$B$12,Paramètres!$A$1:$I$89,5,0)</f>
        <v>5.1431925385259092E-13</v>
      </c>
      <c r="CA183" s="13">
        <f t="shared" si="170"/>
        <v>6.3855359115685756E-12</v>
      </c>
      <c r="CB183" s="20">
        <f t="shared" si="171"/>
        <v>1.2017247746441865E-11</v>
      </c>
      <c r="CC183" s="59">
        <f t="shared" si="119"/>
        <v>293.33333333334531</v>
      </c>
      <c r="CD183" s="59">
        <f ca="1">AVERAGE(OFFSET($CC$3,0,0,'Données projet'!$E$12+1,1))-AVERAGE(OFFSET($H$3,0,0,'Données projet'!$E$12+1,1))</f>
        <v>280.25710840677186</v>
      </c>
      <c r="CE183" s="59">
        <f t="shared" si="148"/>
        <v>209.65224013288037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64.79151006653214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64.79151006653214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243</v>
      </c>
      <c r="CU183" s="17">
        <f>CT183*VLOOKUP('Données projet'!$B$13,Paramètres!$A$1:$I$89,3,0)*VLOOKUP('Données projet'!$B$13,Paramètres!$A$1:$I$89,5,0)</f>
        <v>253.98360000000002</v>
      </c>
      <c r="CV183" s="13">
        <f t="shared" si="173"/>
        <v>61.438182405444294</v>
      </c>
      <c r="CW183" s="20">
        <f t="shared" si="174"/>
        <v>549.35960435614891</v>
      </c>
      <c r="CX183" s="59">
        <f t="shared" si="122"/>
        <v>842.69293768948228</v>
      </c>
      <c r="CY183" s="59">
        <f ca="1">AVERAGE(OFFSET($CX$3,0,0,'Données projet'!$E$13+1,1))-AVERAGE(OFFSET($H$3,0,0,'Données projet'!$E$13+1,1))</f>
        <v>330.14201227773452</v>
      </c>
      <c r="CZ183" s="59">
        <f t="shared" si="150"/>
        <v>307.07297894926467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6.6868827958803205</v>
      </c>
      <c r="DG183" s="21">
        <f>EXP(-LN(2)/25)*DG182+(1-EXP(-LN(2)/25))/(LN(2)/25)*Calculateur!DB183*Calculateur!DD183*VLOOKUP('Données projet'!$B$13,Paramètres!$A$1:$I$89,3,0)*0.475*44/12</f>
        <v>1.9386571175781959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8.6255399134585158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283.73369613548124</v>
      </c>
      <c r="T184" s="59">
        <f t="shared" si="142"/>
        <v>249.77804091581208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22.29192556795185</v>
      </c>
      <c r="AA184" s="21">
        <f>EXP(-LN(2)/25)*AA183+(1-EXP(-LN(2)/25))/(LN(2)/25)*Calculateur!V184*Calculateur!X184*VLOOKUP('Données projet'!$B$9,Paramètres!$A$1:$I$89,3,0)*0.475*44/12</f>
        <v>2.3072169213597271</v>
      </c>
      <c r="AB184" s="21">
        <f>EXP(-LN(2)/2)*AB183+(1-EXP(-LN(2)/2))/(LN(2)/2)*V184*Y184*VLOOKUP('Données projet'!$B$9,Paramètres!$A$1:$I$89,3,0)*0.475*44/12</f>
        <v>7.3307829983304672E-15</v>
      </c>
      <c r="AC184" s="22">
        <f t="shared" si="163"/>
        <v>24.599142489311586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1.5961632016114892E-13</v>
      </c>
      <c r="AK184" s="13">
        <f t="shared" si="164"/>
        <v>2.2708641912150958E-12</v>
      </c>
      <c r="AL184" s="20">
        <f t="shared" si="165"/>
        <v>4.2330868906469593E-12</v>
      </c>
      <c r="AM184" s="59">
        <f t="shared" si="113"/>
        <v>293.33333333333752</v>
      </c>
      <c r="AN184" s="59">
        <f ca="1">AVERAGE(OFFSET($AM$3,0,0,'Données projet'!$E$10+1,1))-AVERAGE(OFFSET($H$3,0,0,'Données projet'!$E$10+1,1))</f>
        <v>205.73717397588365</v>
      </c>
      <c r="AO184" s="59">
        <f t="shared" si="144"/>
        <v>190.64998698136026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38.897429714428803</v>
      </c>
      <c r="AV184" s="21">
        <f>EXP(-LN(2)/25)*AV183+(1-EXP(-LN(2)/25))/(LN(2)/25)*Calculateur!AQ184*Calculateur!AS184*VLOOKUP('Données projet'!$B$10,Paramètres!$A$1:$I$89,3,0)*0.475*44/12</f>
        <v>5.3400196820125991</v>
      </c>
      <c r="AW184" s="21">
        <f>EXP(-LN(2)/2)*AW183+(1-EXP(-LN(2)/2))/(LN(2)/2)*AQ184*AT184*VLOOKUP('Données projet'!$B$10,Paramètres!$A$1:$I$89,3,0)*0.475*44/12</f>
        <v>8.0714530646774281E-11</v>
      </c>
      <c r="AX184" s="21">
        <f t="shared" si="166"/>
        <v>44.237449396522123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-3.1036506698001178E-14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159.92263609041913</v>
      </c>
      <c r="BJ184" s="59">
        <f t="shared" si="146"/>
        <v>271.78119133009307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4.1323321613099404</v>
      </c>
      <c r="BQ184" s="21">
        <f>EXP(-LN(2)/25)*BQ183+(1-EXP(-LN(2)/25))/(LN(2)/25)*Calculateur!BL184*Calculateur!BN184*VLOOKUP('Données projet'!$B$11,Paramètres!$A$1:$I$89,3,0)*0.475*44/12</f>
        <v>3.006507339899859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7.1388395012097998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5.6843418860808015E-13</v>
      </c>
      <c r="BZ184" s="13">
        <f>BY184*VLOOKUP('Données projet'!$B$12,Paramètres!$A$1:$I$89,3,0)*VLOOKUP('Données projet'!$B$12,Paramètres!$A$1:$I$89,5,0)</f>
        <v>5.1431925385259092E-13</v>
      </c>
      <c r="CA184" s="13">
        <f t="shared" si="170"/>
        <v>6.3855359115685756E-12</v>
      </c>
      <c r="CB184" s="20">
        <f t="shared" si="171"/>
        <v>1.2017247746441865E-11</v>
      </c>
      <c r="CC184" s="59">
        <f t="shared" si="119"/>
        <v>293.33333333334531</v>
      </c>
      <c r="CD184" s="59">
        <f ca="1">AVERAGE(OFFSET($CC$3,0,0,'Données projet'!$E$12+1,1))-AVERAGE(OFFSET($H$3,0,0,'Données projet'!$E$12+1,1))</f>
        <v>280.25710840677186</v>
      </c>
      <c r="CE184" s="59">
        <f t="shared" si="148"/>
        <v>209.65224013288037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63.520988073046418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63.520988073046418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243</v>
      </c>
      <c r="CU184" s="17">
        <f>CT184*VLOOKUP('Données projet'!$B$13,Paramètres!$A$1:$I$89,3,0)*VLOOKUP('Données projet'!$B$13,Paramètres!$A$1:$I$89,5,0)</f>
        <v>253.98360000000002</v>
      </c>
      <c r="CV184" s="13">
        <f t="shared" si="173"/>
        <v>61.438182405444294</v>
      </c>
      <c r="CW184" s="20">
        <f t="shared" si="174"/>
        <v>549.35960435614891</v>
      </c>
      <c r="CX184" s="59">
        <f t="shared" si="122"/>
        <v>842.69293768948228</v>
      </c>
      <c r="CY184" s="59">
        <f ca="1">AVERAGE(OFFSET($CX$3,0,0,'Données projet'!$E$13+1,1))-AVERAGE(OFFSET($H$3,0,0,'Données projet'!$E$13+1,1))</f>
        <v>330.14201227773452</v>
      </c>
      <c r="CZ184" s="59">
        <f t="shared" si="150"/>
        <v>307.07297894926467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6.5557571028488848</v>
      </c>
      <c r="DG184" s="21">
        <f>EXP(-LN(2)/25)*DG183+(1-EXP(-LN(2)/25))/(LN(2)/25)*Calculateur!DB184*Calculateur!DD184*VLOOKUP('Données projet'!$B$13,Paramètres!$A$1:$I$89,3,0)*0.475*44/12</f>
        <v>1.8856444367484733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8.4414015395973578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283.73369613548124</v>
      </c>
      <c r="T185" s="59">
        <f t="shared" si="142"/>
        <v>249.77804091581208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21.854794504296343</v>
      </c>
      <c r="AA185" s="21">
        <f>EXP(-LN(2)/25)*AA184+(1-EXP(-LN(2)/25))/(LN(2)/25)*Calculateur!V185*Calculateur!X185*VLOOKUP('Données projet'!$B$9,Paramètres!$A$1:$I$89,3,0)*0.475*44/12</f>
        <v>2.2441259533138807</v>
      </c>
      <c r="AB185" s="21">
        <f>EXP(-LN(2)/2)*AB184+(1-EXP(-LN(2)/2))/(LN(2)/2)*V185*Y185*VLOOKUP('Données projet'!$B$9,Paramètres!$A$1:$I$89,3,0)*0.475*44/12</f>
        <v>5.1836463695265245E-15</v>
      </c>
      <c r="AC185" s="22">
        <f t="shared" si="163"/>
        <v>24.098920457610227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1.5961632016114892E-13</v>
      </c>
      <c r="AK185" s="13">
        <f t="shared" si="164"/>
        <v>2.2708641912150958E-12</v>
      </c>
      <c r="AL185" s="20">
        <f t="shared" si="165"/>
        <v>4.2330868906469593E-12</v>
      </c>
      <c r="AM185" s="59">
        <f t="shared" si="113"/>
        <v>293.33333333333752</v>
      </c>
      <c r="AN185" s="59">
        <f ca="1">AVERAGE(OFFSET($AM$3,0,0,'Données projet'!$E$10+1,1))-AVERAGE(OFFSET($H$3,0,0,'Données projet'!$E$10+1,1))</f>
        <v>205.73717397588365</v>
      </c>
      <c r="AO185" s="59">
        <f t="shared" si="144"/>
        <v>190.64998698136026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38.13467484281832</v>
      </c>
      <c r="AV185" s="21">
        <f>EXP(-LN(2)/25)*AV184+(1-EXP(-LN(2)/25))/(LN(2)/25)*Calculateur!AQ185*Calculateur!AS185*VLOOKUP('Données projet'!$B$10,Paramètres!$A$1:$I$89,3,0)*0.475*44/12</f>
        <v>5.1939965629885343</v>
      </c>
      <c r="AW185" s="21">
        <f>EXP(-LN(2)/2)*AW184+(1-EXP(-LN(2)/2))/(LN(2)/2)*AQ185*AT185*VLOOKUP('Données projet'!$B$10,Paramètres!$A$1:$I$89,3,0)*0.475*44/12</f>
        <v>5.7073791960623509E-11</v>
      </c>
      <c r="AX185" s="21">
        <f t="shared" si="166"/>
        <v>43.328671405863929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-3.1036506698001178E-14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159.92263609041913</v>
      </c>
      <c r="BJ185" s="59">
        <f t="shared" si="146"/>
        <v>271.78119133009307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4.0512996481003949</v>
      </c>
      <c r="BQ185" s="21">
        <f>EXP(-LN(2)/25)*BQ184+(1-EXP(-LN(2)/25))/(LN(2)/25)*Calculateur!BL185*Calculateur!BN185*VLOOKUP('Données projet'!$B$11,Paramètres!$A$1:$I$89,3,0)*0.475*44/12</f>
        <v>2.924294238584948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6.9755938866853429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5.6843418860808015E-13</v>
      </c>
      <c r="BZ185" s="13">
        <f>BY185*VLOOKUP('Données projet'!$B$12,Paramètres!$A$1:$I$89,3,0)*VLOOKUP('Données projet'!$B$12,Paramètres!$A$1:$I$89,5,0)</f>
        <v>5.1431925385259092E-13</v>
      </c>
      <c r="CA185" s="13">
        <f t="shared" si="170"/>
        <v>6.3855359115685756E-12</v>
      </c>
      <c r="CB185" s="20">
        <f t="shared" si="171"/>
        <v>1.2017247746441865E-11</v>
      </c>
      <c r="CC185" s="59">
        <f t="shared" si="119"/>
        <v>293.33333333334531</v>
      </c>
      <c r="CD185" s="59">
        <f ca="1">AVERAGE(OFFSET($CC$3,0,0,'Données projet'!$E$12+1,1))-AVERAGE(OFFSET($H$3,0,0,'Données projet'!$E$12+1,1))</f>
        <v>280.25710840677186</v>
      </c>
      <c r="CE185" s="59">
        <f t="shared" si="148"/>
        <v>209.65224013288037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62.275380240911055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62.275380240911055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243</v>
      </c>
      <c r="CU185" s="17">
        <f>CT185*VLOOKUP('Données projet'!$B$13,Paramètres!$A$1:$I$89,3,0)*VLOOKUP('Données projet'!$B$13,Paramètres!$A$1:$I$89,5,0)</f>
        <v>253.98360000000002</v>
      </c>
      <c r="CV185" s="13">
        <f t="shared" si="173"/>
        <v>61.438182405444294</v>
      </c>
      <c r="CW185" s="20">
        <f t="shared" si="174"/>
        <v>549.35960435614891</v>
      </c>
      <c r="CX185" s="59">
        <f t="shared" si="122"/>
        <v>842.69293768948228</v>
      </c>
      <c r="CY185" s="59">
        <f ca="1">AVERAGE(OFFSET($CX$3,0,0,'Données projet'!$E$13+1,1))-AVERAGE(OFFSET($H$3,0,0,'Données projet'!$E$13+1,1))</f>
        <v>330.14201227773452</v>
      </c>
      <c r="CZ185" s="59">
        <f t="shared" si="150"/>
        <v>307.07297894926467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6.4272027046790203</v>
      </c>
      <c r="DG185" s="21">
        <f>EXP(-LN(2)/25)*DG184+(1-EXP(-LN(2)/25))/(LN(2)/25)*Calculateur!DB185*Calculateur!DD185*VLOOKUP('Données projet'!$B$13,Paramètres!$A$1:$I$89,3,0)*0.475*44/12</f>
        <v>1.8340813904638551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8.2612840951428748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283.73369613548124</v>
      </c>
      <c r="T186" s="59">
        <f t="shared" si="142"/>
        <v>249.77804091581208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21.4262353141755</v>
      </c>
      <c r="AA186" s="21">
        <f>EXP(-LN(2)/25)*AA185+(1-EXP(-LN(2)/25))/(LN(2)/25)*Calculateur!V186*Calculateur!X186*VLOOKUP('Données projet'!$B$9,Paramètres!$A$1:$I$89,3,0)*0.475*44/12</f>
        <v>2.1827602111070576</v>
      </c>
      <c r="AB186" s="21">
        <f>EXP(-LN(2)/2)*AB185+(1-EXP(-LN(2)/2))/(LN(2)/2)*V186*Y186*VLOOKUP('Données projet'!$B$9,Paramètres!$A$1:$I$89,3,0)*0.475*44/12</f>
        <v>3.6653914991652336E-15</v>
      </c>
      <c r="AC186" s="22">
        <f t="shared" si="163"/>
        <v>23.608995525282563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1.5961632016114892E-13</v>
      </c>
      <c r="AK186" s="13">
        <f t="shared" si="164"/>
        <v>2.2708641912150958E-12</v>
      </c>
      <c r="AL186" s="20">
        <f t="shared" si="165"/>
        <v>4.2330868906469593E-12</v>
      </c>
      <c r="AM186" s="59">
        <f t="shared" si="113"/>
        <v>293.33333333333752</v>
      </c>
      <c r="AN186" s="59">
        <f ca="1">AVERAGE(OFFSET($AM$3,0,0,'Données projet'!$E$10+1,1))-AVERAGE(OFFSET($H$3,0,0,'Données projet'!$E$10+1,1))</f>
        <v>205.73717397588365</v>
      </c>
      <c r="AO186" s="59">
        <f t="shared" si="144"/>
        <v>190.64998698136026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37.38687712900559</v>
      </c>
      <c r="AV186" s="21">
        <f>EXP(-LN(2)/25)*AV185+(1-EXP(-LN(2)/25))/(LN(2)/25)*Calculateur!AQ186*Calculateur!AS186*VLOOKUP('Données projet'!$B$10,Paramètres!$A$1:$I$89,3,0)*0.475*44/12</f>
        <v>5.051966453833205</v>
      </c>
      <c r="AW186" s="21">
        <f>EXP(-LN(2)/2)*AW185+(1-EXP(-LN(2)/2))/(LN(2)/2)*AQ186*AT186*VLOOKUP('Données projet'!$B$10,Paramètres!$A$1:$I$89,3,0)*0.475*44/12</f>
        <v>4.0357265323387147E-11</v>
      </c>
      <c r="AX186" s="21">
        <f t="shared" si="166"/>
        <v>42.438843582879151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-3.1036506698001178E-14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159.92263609041913</v>
      </c>
      <c r="BJ186" s="59">
        <f t="shared" si="146"/>
        <v>271.78119133009307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3.9718561330499358</v>
      </c>
      <c r="BQ186" s="21">
        <f>EXP(-LN(2)/25)*BQ185+(1-EXP(-LN(2)/25))/(LN(2)/25)*Calculateur!BL186*Calculateur!BN186*VLOOKUP('Données projet'!$B$11,Paramètres!$A$1:$I$89,3,0)*0.475*44/12</f>
        <v>2.8443292588488922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6.816185391898828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5.6843418860808015E-13</v>
      </c>
      <c r="BZ186" s="13">
        <f>BY186*VLOOKUP('Données projet'!$B$12,Paramètres!$A$1:$I$89,3,0)*VLOOKUP('Données projet'!$B$12,Paramètres!$A$1:$I$89,5,0)</f>
        <v>5.1431925385259092E-13</v>
      </c>
      <c r="CA186" s="13">
        <f t="shared" si="170"/>
        <v>6.3855359115685756E-12</v>
      </c>
      <c r="CB186" s="20">
        <f t="shared" si="171"/>
        <v>1.2017247746441865E-11</v>
      </c>
      <c r="CC186" s="59">
        <f t="shared" si="119"/>
        <v>293.33333333334531</v>
      </c>
      <c r="CD186" s="59">
        <f ca="1">AVERAGE(OFFSET($CC$3,0,0,'Données projet'!$E$12+1,1))-AVERAGE(OFFSET($H$3,0,0,'Données projet'!$E$12+1,1))</f>
        <v>280.25710840677186</v>
      </c>
      <c r="CE186" s="59">
        <f t="shared" si="148"/>
        <v>209.65224013288037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61.054198018618102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61.054198018618102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243</v>
      </c>
      <c r="CU186" s="17">
        <f>CT186*VLOOKUP('Données projet'!$B$13,Paramètres!$A$1:$I$89,3,0)*VLOOKUP('Données projet'!$B$13,Paramètres!$A$1:$I$89,5,0)</f>
        <v>253.98360000000002</v>
      </c>
      <c r="CV186" s="13">
        <f t="shared" si="173"/>
        <v>61.438182405444294</v>
      </c>
      <c r="CW186" s="20">
        <f t="shared" si="174"/>
        <v>549.35960435614891</v>
      </c>
      <c r="CX186" s="59">
        <f t="shared" si="122"/>
        <v>842.69293768948228</v>
      </c>
      <c r="CY186" s="59">
        <f ca="1">AVERAGE(OFFSET($CX$3,0,0,'Données projet'!$E$13+1,1))-AVERAGE(OFFSET($H$3,0,0,'Données projet'!$E$13+1,1))</f>
        <v>330.14201227773452</v>
      </c>
      <c r="CZ186" s="59">
        <f t="shared" si="150"/>
        <v>307.07297894926467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6.3011691798468261</v>
      </c>
      <c r="DG186" s="21">
        <f>EXP(-LN(2)/25)*DG185+(1-EXP(-LN(2)/25))/(LN(2)/25)*Calculateur!DB186*Calculateur!DD186*VLOOKUP('Données projet'!$B$13,Paramètres!$A$1:$I$89,3,0)*0.475*44/12</f>
        <v>1.7839283383914726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8.0850975182382996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283.73369613548124</v>
      </c>
      <c r="T187" s="59">
        <f t="shared" si="142"/>
        <v>249.77804091581208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21.006079908377632</v>
      </c>
      <c r="AA187" s="21">
        <f>EXP(-LN(2)/25)*AA186+(1-EXP(-LN(2)/25))/(LN(2)/25)*Calculateur!V187*Calculateur!X187*VLOOKUP('Données projet'!$B$9,Paramètres!$A$1:$I$89,3,0)*0.475*44/12</f>
        <v>2.1230725183479646</v>
      </c>
      <c r="AB187" s="21">
        <f>EXP(-LN(2)/2)*AB186+(1-EXP(-LN(2)/2))/(LN(2)/2)*V187*Y187*VLOOKUP('Données projet'!$B$9,Paramètres!$A$1:$I$89,3,0)*0.475*44/12</f>
        <v>2.5918231847632622E-15</v>
      </c>
      <c r="AC187" s="22">
        <f t="shared" si="163"/>
        <v>23.1291524267256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1.5961632016114892E-13</v>
      </c>
      <c r="AK187" s="13">
        <f t="shared" si="164"/>
        <v>2.2708641912150958E-12</v>
      </c>
      <c r="AL187" s="20">
        <f t="shared" si="165"/>
        <v>4.2330868906469593E-12</v>
      </c>
      <c r="AM187" s="59">
        <f t="shared" si="113"/>
        <v>293.33333333333752</v>
      </c>
      <c r="AN187" s="59">
        <f ca="1">AVERAGE(OFFSET($AM$3,0,0,'Données projet'!$E$10+1,1))-AVERAGE(OFFSET($H$3,0,0,'Données projet'!$E$10+1,1))</f>
        <v>205.73717397588365</v>
      </c>
      <c r="AO187" s="59">
        <f t="shared" si="144"/>
        <v>190.64998698136026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36.653743272249159</v>
      </c>
      <c r="AV187" s="21">
        <f>EXP(-LN(2)/25)*AV186+(1-EXP(-LN(2)/25))/(LN(2)/25)*Calculateur!AQ187*Calculateur!AS187*VLOOKUP('Données projet'!$B$10,Paramètres!$A$1:$I$89,3,0)*0.475*44/12</f>
        <v>4.9138201654817664</v>
      </c>
      <c r="AW187" s="21">
        <f>EXP(-LN(2)/2)*AW186+(1-EXP(-LN(2)/2))/(LN(2)/2)*AQ187*AT187*VLOOKUP('Données projet'!$B$10,Paramètres!$A$1:$I$89,3,0)*0.475*44/12</f>
        <v>2.8536895980311761E-11</v>
      </c>
      <c r="AX187" s="21">
        <f t="shared" si="166"/>
        <v>41.56756343775946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-3.1036506698001178E-14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159.92263609041913</v>
      </c>
      <c r="BJ187" s="59">
        <f t="shared" si="146"/>
        <v>271.78119133009307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3.8939704568738565</v>
      </c>
      <c r="BQ187" s="21">
        <f>EXP(-LN(2)/25)*BQ186+(1-EXP(-LN(2)/25))/(LN(2)/25)*Calculateur!BL187*Calculateur!BN187*VLOOKUP('Données projet'!$B$11,Paramètres!$A$1:$I$89,3,0)*0.475*44/12</f>
        <v>2.7665509256888945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6.6605213825627505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5.6843418860808015E-13</v>
      </c>
      <c r="BZ187" s="13">
        <f>BY187*VLOOKUP('Données projet'!$B$12,Paramètres!$A$1:$I$89,3,0)*VLOOKUP('Données projet'!$B$12,Paramètres!$A$1:$I$89,5,0)</f>
        <v>5.1431925385259092E-13</v>
      </c>
      <c r="CA187" s="13">
        <f t="shared" si="170"/>
        <v>6.3855359115685756E-12</v>
      </c>
      <c r="CB187" s="20">
        <f t="shared" si="171"/>
        <v>1.2017247746441865E-11</v>
      </c>
      <c r="CC187" s="59">
        <f t="shared" si="119"/>
        <v>293.33333333334531</v>
      </c>
      <c r="CD187" s="59">
        <f ca="1">AVERAGE(OFFSET($CC$3,0,0,'Données projet'!$E$12+1,1))-AVERAGE(OFFSET($H$3,0,0,'Données projet'!$E$12+1,1))</f>
        <v>280.25710840677186</v>
      </c>
      <c r="CE187" s="59">
        <f t="shared" si="148"/>
        <v>209.65224013288037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59.856962434856712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59.856962434856712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243</v>
      </c>
      <c r="CU187" s="17">
        <f>CT187*VLOOKUP('Données projet'!$B$13,Paramètres!$A$1:$I$89,3,0)*VLOOKUP('Données projet'!$B$13,Paramètres!$A$1:$I$89,5,0)</f>
        <v>253.98360000000002</v>
      </c>
      <c r="CV187" s="13">
        <f t="shared" si="173"/>
        <v>61.438182405444294</v>
      </c>
      <c r="CW187" s="20">
        <f t="shared" si="174"/>
        <v>549.35960435614891</v>
      </c>
      <c r="CX187" s="59">
        <f t="shared" si="122"/>
        <v>842.69293768948228</v>
      </c>
      <c r="CY187" s="59">
        <f ca="1">AVERAGE(OFFSET($CX$3,0,0,'Données projet'!$E$13+1,1))-AVERAGE(OFFSET($H$3,0,0,'Données projet'!$E$13+1,1))</f>
        <v>330.14201227773452</v>
      </c>
      <c r="CZ187" s="59">
        <f t="shared" si="150"/>
        <v>307.07297894926467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6.1776070955637321</v>
      </c>
      <c r="DG187" s="21">
        <f>EXP(-LN(2)/25)*DG186+(1-EXP(-LN(2)/25))/(LN(2)/25)*Calculateur!DB187*Calculateur!DD187*VLOOKUP('Données projet'!$B$13,Paramètres!$A$1:$I$89,3,0)*0.475*44/12</f>
        <v>1.7351467241654437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7.9127538197291756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283.73369613548124</v>
      </c>
      <c r="T188" s="59">
        <f t="shared" si="142"/>
        <v>249.77804091581208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20.594163493817966</v>
      </c>
      <c r="AA188" s="21">
        <f>EXP(-LN(2)/25)*AA187+(1-EXP(-LN(2)/25))/(LN(2)/25)*Calculateur!V188*Calculateur!X188*VLOOKUP('Données projet'!$B$9,Paramètres!$A$1:$I$89,3,0)*0.475*44/12</f>
        <v>2.065016988686208</v>
      </c>
      <c r="AB188" s="21">
        <f>EXP(-LN(2)/2)*AB187+(1-EXP(-LN(2)/2))/(LN(2)/2)*V188*Y188*VLOOKUP('Données projet'!$B$9,Paramètres!$A$1:$I$89,3,0)*0.475*44/12</f>
        <v>1.8326957495826168E-15</v>
      </c>
      <c r="AC188" s="22">
        <f t="shared" si="163"/>
        <v>22.659180482504176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1.5961632016114892E-13</v>
      </c>
      <c r="AK188" s="13">
        <f t="shared" si="164"/>
        <v>2.2708641912150958E-12</v>
      </c>
      <c r="AL188" s="20">
        <f t="shared" si="165"/>
        <v>4.2330868906469593E-12</v>
      </c>
      <c r="AM188" s="59">
        <f t="shared" si="113"/>
        <v>293.33333333333752</v>
      </c>
      <c r="AN188" s="59">
        <f ca="1">AVERAGE(OFFSET($AM$3,0,0,'Données projet'!$E$10+1,1))-AVERAGE(OFFSET($H$3,0,0,'Données projet'!$E$10+1,1))</f>
        <v>205.73717397588365</v>
      </c>
      <c r="AO188" s="59">
        <f t="shared" si="144"/>
        <v>190.64998698136026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35.934985723256219</v>
      </c>
      <c r="AV188" s="21">
        <f>EXP(-LN(2)/25)*AV187+(1-EXP(-LN(2)/25))/(LN(2)/25)*Calculateur!AQ188*Calculateur!AS188*VLOOKUP('Données projet'!$B$10,Paramètres!$A$1:$I$89,3,0)*0.475*44/12</f>
        <v>4.7794514946500959</v>
      </c>
      <c r="AW188" s="21">
        <f>EXP(-LN(2)/2)*AW187+(1-EXP(-LN(2)/2))/(LN(2)/2)*AQ188*AT188*VLOOKUP('Données projet'!$B$10,Paramètres!$A$1:$I$89,3,0)*0.475*44/12</f>
        <v>2.0178632661693577E-11</v>
      </c>
      <c r="AX188" s="21">
        <f t="shared" si="166"/>
        <v>40.714437217926495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-3.1036506698001178E-14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159.92263609041913</v>
      </c>
      <c r="BJ188" s="59">
        <f t="shared" si="146"/>
        <v>271.78119133009307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3.8176120713020185</v>
      </c>
      <c r="BQ188" s="21">
        <f>EXP(-LN(2)/25)*BQ187+(1-EXP(-LN(2)/25))/(LN(2)/25)*Calculateur!BL188*Calculateur!BN188*VLOOKUP('Données projet'!$B$11,Paramètres!$A$1:$I$89,3,0)*0.475*44/12</f>
        <v>2.6908994451393413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6.5085115164413594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5.6843418860808015E-13</v>
      </c>
      <c r="BZ188" s="13">
        <f>BY188*VLOOKUP('Données projet'!$B$12,Paramètres!$A$1:$I$89,3,0)*VLOOKUP('Données projet'!$B$12,Paramètres!$A$1:$I$89,5,0)</f>
        <v>5.1431925385259092E-13</v>
      </c>
      <c r="CA188" s="13">
        <f t="shared" si="170"/>
        <v>6.3855359115685756E-12</v>
      </c>
      <c r="CB188" s="20">
        <f t="shared" si="171"/>
        <v>1.2017247746441865E-11</v>
      </c>
      <c r="CC188" s="59">
        <f t="shared" si="119"/>
        <v>293.33333333334531</v>
      </c>
      <c r="CD188" s="59">
        <f ca="1">AVERAGE(OFFSET($CC$3,0,0,'Données projet'!$E$12+1,1))-AVERAGE(OFFSET($H$3,0,0,'Données projet'!$E$12+1,1))</f>
        <v>280.25710840677186</v>
      </c>
      <c r="CE188" s="59">
        <f t="shared" si="148"/>
        <v>209.65224013288037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58.68320391065128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58.68320391065128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243</v>
      </c>
      <c r="CU188" s="17">
        <f>CT188*VLOOKUP('Données projet'!$B$13,Paramètres!$A$1:$I$89,3,0)*VLOOKUP('Données projet'!$B$13,Paramètres!$A$1:$I$89,5,0)</f>
        <v>253.98360000000002</v>
      </c>
      <c r="CV188" s="13">
        <f t="shared" si="173"/>
        <v>61.438182405444294</v>
      </c>
      <c r="CW188" s="20">
        <f t="shared" si="174"/>
        <v>549.35960435614891</v>
      </c>
      <c r="CX188" s="59">
        <f t="shared" si="122"/>
        <v>842.69293768948228</v>
      </c>
      <c r="CY188" s="59">
        <f ca="1">AVERAGE(OFFSET($CX$3,0,0,'Données projet'!$E$13+1,1))-AVERAGE(OFFSET($H$3,0,0,'Données projet'!$E$13+1,1))</f>
        <v>330.14201227773452</v>
      </c>
      <c r="CZ188" s="59">
        <f t="shared" si="150"/>
        <v>307.07297894926467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6.0564679883879995</v>
      </c>
      <c r="DG188" s="21">
        <f>EXP(-LN(2)/25)*DG187+(1-EXP(-LN(2)/25))/(LN(2)/25)*Calculateur!DB188*Calculateur!DD188*VLOOKUP('Données projet'!$B$13,Paramètres!$A$1:$I$89,3,0)*0.475*44/12</f>
        <v>1.687699045745739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7.7441670341337385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283.73369613548124</v>
      </c>
      <c r="T189" s="59">
        <f t="shared" si="142"/>
        <v>249.77804091581208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20.190324508903611</v>
      </c>
      <c r="AA189" s="21">
        <f>EXP(-LN(2)/25)*AA188+(1-EXP(-LN(2)/25))/(LN(2)/25)*Calculateur!V189*Calculateur!X189*VLOOKUP('Données projet'!$B$9,Paramètres!$A$1:$I$89,3,0)*0.475*44/12</f>
        <v>2.0085489905360601</v>
      </c>
      <c r="AB189" s="21">
        <f>EXP(-LN(2)/2)*AB188+(1-EXP(-LN(2)/2))/(LN(2)/2)*V189*Y189*VLOOKUP('Données projet'!$B$9,Paramètres!$A$1:$I$89,3,0)*0.475*44/12</f>
        <v>1.2959115923816311E-15</v>
      </c>
      <c r="AC189" s="22">
        <f t="shared" si="163"/>
        <v>22.198873499439671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1.5961632016114892E-13</v>
      </c>
      <c r="AK189" s="13">
        <f t="shared" si="164"/>
        <v>2.2708641912150958E-12</v>
      </c>
      <c r="AL189" s="20">
        <f t="shared" si="165"/>
        <v>4.2330868906469593E-12</v>
      </c>
      <c r="AM189" s="59">
        <f t="shared" si="113"/>
        <v>293.33333333333752</v>
      </c>
      <c r="AN189" s="59">
        <f ca="1">AVERAGE(OFFSET($AM$3,0,0,'Données projet'!$E$10+1,1))-AVERAGE(OFFSET($H$3,0,0,'Données projet'!$E$10+1,1))</f>
        <v>205.73717397588365</v>
      </c>
      <c r="AO189" s="59">
        <f t="shared" si="144"/>
        <v>190.64998698136026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35.230322571400215</v>
      </c>
      <c r="AV189" s="21">
        <f>EXP(-LN(2)/25)*AV188+(1-EXP(-LN(2)/25))/(LN(2)/25)*Calculateur!AQ189*Calculateur!AS189*VLOOKUP('Données projet'!$B$10,Paramètres!$A$1:$I$89,3,0)*0.475*44/12</f>
        <v>4.6487571421884581</v>
      </c>
      <c r="AW189" s="21">
        <f>EXP(-LN(2)/2)*AW188+(1-EXP(-LN(2)/2))/(LN(2)/2)*AQ189*AT189*VLOOKUP('Données projet'!$B$10,Paramètres!$A$1:$I$89,3,0)*0.475*44/12</f>
        <v>1.4268447990155882E-11</v>
      </c>
      <c r="AX189" s="21">
        <f t="shared" si="166"/>
        <v>39.879079713602941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-3.1036506698001178E-14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159.92263609041913</v>
      </c>
      <c r="BJ189" s="59">
        <f t="shared" si="146"/>
        <v>271.78119133009307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3.7427510270972277</v>
      </c>
      <c r="BQ189" s="21">
        <f>EXP(-LN(2)/25)*BQ188+(1-EXP(-LN(2)/25))/(LN(2)/25)*Calculateur!BL189*Calculateur!BN189*VLOOKUP('Données projet'!$B$11,Paramètres!$A$1:$I$89,3,0)*0.475*44/12</f>
        <v>2.6173166583037544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6.3600676854009821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5.6843418860808015E-13</v>
      </c>
      <c r="BZ189" s="13">
        <f>BY189*VLOOKUP('Données projet'!$B$12,Paramètres!$A$1:$I$89,3,0)*VLOOKUP('Données projet'!$B$12,Paramètres!$A$1:$I$89,5,0)</f>
        <v>5.1431925385259092E-13</v>
      </c>
      <c r="CA189" s="13">
        <f t="shared" si="170"/>
        <v>6.3855359115685756E-12</v>
      </c>
      <c r="CB189" s="20">
        <f t="shared" si="171"/>
        <v>1.2017247746441865E-11</v>
      </c>
      <c r="CC189" s="59">
        <f t="shared" si="119"/>
        <v>293.33333333334531</v>
      </c>
      <c r="CD189" s="59">
        <f ca="1">AVERAGE(OFFSET($CC$3,0,0,'Données projet'!$E$12+1,1))-AVERAGE(OFFSET($H$3,0,0,'Données projet'!$E$12+1,1))</f>
        <v>280.25710840677186</v>
      </c>
      <c r="CE189" s="59">
        <f t="shared" si="148"/>
        <v>209.65224013288037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57.53246207518351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57.53246207518351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243</v>
      </c>
      <c r="CU189" s="17">
        <f>CT189*VLOOKUP('Données projet'!$B$13,Paramètres!$A$1:$I$89,3,0)*VLOOKUP('Données projet'!$B$13,Paramètres!$A$1:$I$89,5,0)</f>
        <v>253.98360000000002</v>
      </c>
      <c r="CV189" s="13">
        <f t="shared" si="173"/>
        <v>61.438182405444294</v>
      </c>
      <c r="CW189" s="20">
        <f t="shared" si="174"/>
        <v>549.35960435614891</v>
      </c>
      <c r="CX189" s="59">
        <f t="shared" si="122"/>
        <v>842.69293768948228</v>
      </c>
      <c r="CY189" s="59">
        <f ca="1">AVERAGE(OFFSET($CX$3,0,0,'Données projet'!$E$13+1,1))-AVERAGE(OFFSET($H$3,0,0,'Données projet'!$E$13+1,1))</f>
        <v>330.14201227773452</v>
      </c>
      <c r="CZ189" s="59">
        <f t="shared" si="150"/>
        <v>307.07297894926467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5.9377043452164235</v>
      </c>
      <c r="DG189" s="21">
        <f>EXP(-LN(2)/25)*DG188+(1-EXP(-LN(2)/25))/(LN(2)/25)*Calculateur!DB189*Calculateur!DD189*VLOOKUP('Données projet'!$B$13,Paramètres!$A$1:$I$89,3,0)*0.475*44/12</f>
        <v>1.6415488265875862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7.5792531718040097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283.73369613548124</v>
      </c>
      <c r="T190" s="59">
        <f t="shared" si="142"/>
        <v>249.77804091581208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19.794404560165969</v>
      </c>
      <c r="AA190" s="21">
        <f>EXP(-LN(2)/25)*AA189+(1-EXP(-LN(2)/25))/(LN(2)/25)*Calculateur!V190*Calculateur!X190*VLOOKUP('Données projet'!$B$9,Paramètres!$A$1:$I$89,3,0)*0.475*44/12</f>
        <v>1.9536251127648507</v>
      </c>
      <c r="AB190" s="21">
        <f>EXP(-LN(2)/2)*AB189+(1-EXP(-LN(2)/2))/(LN(2)/2)*V190*Y190*VLOOKUP('Données projet'!$B$9,Paramètres!$A$1:$I$89,3,0)*0.475*44/12</f>
        <v>9.163478747913084E-16</v>
      </c>
      <c r="AC190" s="22">
        <f t="shared" si="163"/>
        <v>21.748029672930819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1.5961632016114892E-13</v>
      </c>
      <c r="AK190" s="13">
        <f t="shared" si="164"/>
        <v>2.2708641912150958E-12</v>
      </c>
      <c r="AL190" s="20">
        <f t="shared" si="165"/>
        <v>4.2330868906469593E-12</v>
      </c>
      <c r="AM190" s="59">
        <f t="shared" si="113"/>
        <v>293.33333333333752</v>
      </c>
      <c r="AN190" s="59">
        <f ca="1">AVERAGE(OFFSET($AM$3,0,0,'Données projet'!$E$10+1,1))-AVERAGE(OFFSET($H$3,0,0,'Données projet'!$E$10+1,1))</f>
        <v>205.73717397588365</v>
      </c>
      <c r="AO190" s="59">
        <f t="shared" si="144"/>
        <v>190.64998698136026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34.539477434150022</v>
      </c>
      <c r="AV190" s="21">
        <f>EXP(-LN(2)/25)*AV189+(1-EXP(-LN(2)/25))/(LN(2)/25)*Calculateur!AQ190*Calculateur!AS190*VLOOKUP('Données projet'!$B$10,Paramètres!$A$1:$I$89,3,0)*0.475*44/12</f>
        <v>4.5216366336678018</v>
      </c>
      <c r="AW190" s="21">
        <f>EXP(-LN(2)/2)*AW189+(1-EXP(-LN(2)/2))/(LN(2)/2)*AQ190*AT190*VLOOKUP('Données projet'!$B$10,Paramètres!$A$1:$I$89,3,0)*0.475*44/12</f>
        <v>1.008931633084679E-11</v>
      </c>
      <c r="AX190" s="21">
        <f t="shared" si="166"/>
        <v>39.061114067827916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-3.1036506698001178E-14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159.92263609041913</v>
      </c>
      <c r="BJ190" s="59">
        <f t="shared" si="146"/>
        <v>271.78119133009307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3.6693579623085646</v>
      </c>
      <c r="BQ190" s="21">
        <f>EXP(-LN(2)/25)*BQ189+(1-EXP(-LN(2)/25))/(LN(2)/25)*Calculateur!BL190*Calculateur!BN190*VLOOKUP('Données projet'!$B$11,Paramètres!$A$1:$I$89,3,0)*0.475*44/12</f>
        <v>2.545745996643737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6.2151039589523016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5.6843418860808015E-13</v>
      </c>
      <c r="BZ190" s="13">
        <f>BY190*VLOOKUP('Données projet'!$B$12,Paramètres!$A$1:$I$89,3,0)*VLOOKUP('Données projet'!$B$12,Paramètres!$A$1:$I$89,5,0)</f>
        <v>5.1431925385259092E-13</v>
      </c>
      <c r="CA190" s="13">
        <f t="shared" si="170"/>
        <v>6.3855359115685756E-12</v>
      </c>
      <c r="CB190" s="20">
        <f t="shared" si="171"/>
        <v>1.2017247746441865E-11</v>
      </c>
      <c r="CC190" s="59">
        <f t="shared" si="119"/>
        <v>293.33333333334531</v>
      </c>
      <c r="CD190" s="59">
        <f ca="1">AVERAGE(OFFSET($CC$3,0,0,'Données projet'!$E$12+1,1))-AVERAGE(OFFSET($H$3,0,0,'Données projet'!$E$12+1,1))</f>
        <v>280.25710840677186</v>
      </c>
      <c r="CE190" s="59">
        <f t="shared" si="148"/>
        <v>209.65224013288037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56.404285585226049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56.404285585226049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243</v>
      </c>
      <c r="CU190" s="17">
        <f>CT190*VLOOKUP('Données projet'!$B$13,Paramètres!$A$1:$I$89,3,0)*VLOOKUP('Données projet'!$B$13,Paramètres!$A$1:$I$89,5,0)</f>
        <v>253.98360000000002</v>
      </c>
      <c r="CV190" s="13">
        <f t="shared" si="173"/>
        <v>61.438182405444294</v>
      </c>
      <c r="CW190" s="20">
        <f t="shared" si="174"/>
        <v>549.35960435614891</v>
      </c>
      <c r="CX190" s="59">
        <f t="shared" si="122"/>
        <v>842.69293768948228</v>
      </c>
      <c r="CY190" s="59">
        <f ca="1">AVERAGE(OFFSET($CX$3,0,0,'Données projet'!$E$13+1,1))-AVERAGE(OFFSET($H$3,0,0,'Données projet'!$E$13+1,1))</f>
        <v>330.14201227773452</v>
      </c>
      <c r="CZ190" s="59">
        <f t="shared" si="150"/>
        <v>307.07297894926467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5.821269584648773</v>
      </c>
      <c r="DG190" s="21">
        <f>EXP(-LN(2)/25)*DG189+(1-EXP(-LN(2)/25))/(LN(2)/25)*Calculateur!DB190*Calculateur!DD190*VLOOKUP('Données projet'!$B$13,Paramètres!$A$1:$I$89,3,0)*0.475*44/12</f>
        <v>1.5966605875992477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7.4179301722480204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283.73369613548124</v>
      </c>
      <c r="T191" s="59">
        <f t="shared" si="142"/>
        <v>249.77804091581208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19.406248360135748</v>
      </c>
      <c r="AA191" s="21">
        <f>EXP(-LN(2)/25)*AA190+(1-EXP(-LN(2)/25))/(LN(2)/25)*Calculateur!V191*Calculateur!X191*VLOOKUP('Données projet'!$B$9,Paramètres!$A$1:$I$89,3,0)*0.475*44/12</f>
        <v>1.9002031313196164</v>
      </c>
      <c r="AB191" s="21">
        <f>EXP(-LN(2)/2)*AB190+(1-EXP(-LN(2)/2))/(LN(2)/2)*V191*Y191*VLOOKUP('Données projet'!$B$9,Paramètres!$A$1:$I$89,3,0)*0.475*44/12</f>
        <v>6.4795579619081556E-16</v>
      </c>
      <c r="AC191" s="22">
        <f t="shared" si="163"/>
        <v>21.306451491455366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1.5961632016114892E-13</v>
      </c>
      <c r="AK191" s="13">
        <f t="shared" si="164"/>
        <v>2.2708641912150958E-12</v>
      </c>
      <c r="AL191" s="20">
        <f t="shared" si="165"/>
        <v>4.2330868906469593E-12</v>
      </c>
      <c r="AM191" s="59">
        <f t="shared" si="113"/>
        <v>293.33333333333752</v>
      </c>
      <c r="AN191" s="59">
        <f ca="1">AVERAGE(OFFSET($AM$3,0,0,'Données projet'!$E$10+1,1))-AVERAGE(OFFSET($H$3,0,0,'Données projet'!$E$10+1,1))</f>
        <v>205.73717397588365</v>
      </c>
      <c r="AO191" s="59">
        <f t="shared" si="144"/>
        <v>190.64998698136026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33.862179348667382</v>
      </c>
      <c r="AV191" s="21">
        <f>EXP(-LN(2)/25)*AV190+(1-EXP(-LN(2)/25))/(LN(2)/25)*Calculateur!AQ191*Calculateur!AS191*VLOOKUP('Données projet'!$B$10,Paramètres!$A$1:$I$89,3,0)*0.475*44/12</f>
        <v>4.3979922421376196</v>
      </c>
      <c r="AW191" s="21">
        <f>EXP(-LN(2)/2)*AW190+(1-EXP(-LN(2)/2))/(LN(2)/2)*AQ191*AT191*VLOOKUP('Données projet'!$B$10,Paramètres!$A$1:$I$89,3,0)*0.475*44/12</f>
        <v>7.1342239950779419E-12</v>
      </c>
      <c r="AX191" s="21">
        <f t="shared" si="166"/>
        <v>38.260171590812135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-3.1036506698001178E-14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159.92263609041913</v>
      </c>
      <c r="BJ191" s="59">
        <f t="shared" si="146"/>
        <v>271.78119133009307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3.5974040907550577</v>
      </c>
      <c r="BQ191" s="21">
        <f>EXP(-LN(2)/25)*BQ190+(1-EXP(-LN(2)/25))/(LN(2)/25)*Calculateur!BL191*Calculateur!BN191*VLOOKUP('Données projet'!$B$11,Paramètres!$A$1:$I$89,3,0)*0.475*44/12</f>
        <v>2.4761324384905503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6.0735365292456081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5.6843418860808015E-13</v>
      </c>
      <c r="BZ191" s="13">
        <f>BY191*VLOOKUP('Données projet'!$B$12,Paramètres!$A$1:$I$89,3,0)*VLOOKUP('Données projet'!$B$12,Paramètres!$A$1:$I$89,5,0)</f>
        <v>5.1431925385259092E-13</v>
      </c>
      <c r="CA191" s="13">
        <f t="shared" si="170"/>
        <v>6.3855359115685756E-12</v>
      </c>
      <c r="CB191" s="20">
        <f t="shared" si="171"/>
        <v>1.2017247746441865E-11</v>
      </c>
      <c r="CC191" s="59">
        <f t="shared" si="119"/>
        <v>293.33333333334531</v>
      </c>
      <c r="CD191" s="59">
        <f ca="1">AVERAGE(OFFSET($CC$3,0,0,'Données projet'!$E$12+1,1))-AVERAGE(OFFSET($H$3,0,0,'Données projet'!$E$12+1,1))</f>
        <v>280.25710840677186</v>
      </c>
      <c r="CE191" s="59">
        <f t="shared" si="148"/>
        <v>209.65224013288037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55.298231948116936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55.298231948116936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243</v>
      </c>
      <c r="CU191" s="17">
        <f>CT191*VLOOKUP('Données projet'!$B$13,Paramètres!$A$1:$I$89,3,0)*VLOOKUP('Données projet'!$B$13,Paramètres!$A$1:$I$89,5,0)</f>
        <v>253.98360000000002</v>
      </c>
      <c r="CV191" s="13">
        <f t="shared" si="173"/>
        <v>61.438182405444294</v>
      </c>
      <c r="CW191" s="20">
        <f t="shared" si="174"/>
        <v>549.35960435614891</v>
      </c>
      <c r="CX191" s="59">
        <f t="shared" si="122"/>
        <v>842.69293768948228</v>
      </c>
      <c r="CY191" s="59">
        <f ca="1">AVERAGE(OFFSET($CX$3,0,0,'Données projet'!$E$13+1,1))-AVERAGE(OFFSET($H$3,0,0,'Données projet'!$E$13+1,1))</f>
        <v>330.14201227773452</v>
      </c>
      <c r="CZ191" s="59">
        <f t="shared" si="150"/>
        <v>307.07297894926467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5.7071180387176623</v>
      </c>
      <c r="DG191" s="21">
        <f>EXP(-LN(2)/25)*DG190+(1-EXP(-LN(2)/25))/(LN(2)/25)*Calculateur!DB191*Calculateur!DD191*VLOOKUP('Données projet'!$B$13,Paramètres!$A$1:$I$89,3,0)*0.475*44/12</f>
        <v>1.5529998198666151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7.2601178585842776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283.73369613548124</v>
      </c>
      <c r="T192" s="59">
        <f t="shared" si="142"/>
        <v>249.77804091581208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19.025703666436215</v>
      </c>
      <c r="AA192" s="21">
        <f>EXP(-LN(2)/25)*AA191+(1-EXP(-LN(2)/25))/(LN(2)/25)*Calculateur!V192*Calculateur!X192*VLOOKUP('Données projet'!$B$9,Paramètres!$A$1:$I$89,3,0)*0.475*44/12</f>
        <v>1.8482419767663418</v>
      </c>
      <c r="AB192" s="21">
        <f>EXP(-LN(2)/2)*AB191+(1-EXP(-LN(2)/2))/(LN(2)/2)*V192*Y192*VLOOKUP('Données projet'!$B$9,Paramètres!$A$1:$I$89,3,0)*0.475*44/12</f>
        <v>4.581739373956542E-16</v>
      </c>
      <c r="AC192" s="22">
        <f t="shared" si="163"/>
        <v>20.873945643202557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1.5961632016114892E-13</v>
      </c>
      <c r="AK192" s="13">
        <f t="shared" si="164"/>
        <v>2.2708641912150958E-12</v>
      </c>
      <c r="AL192" s="20">
        <f t="shared" si="165"/>
        <v>4.2330868906469593E-12</v>
      </c>
      <c r="AM192" s="59">
        <f t="shared" si="113"/>
        <v>293.33333333333752</v>
      </c>
      <c r="AN192" s="59">
        <f ca="1">AVERAGE(OFFSET($AM$3,0,0,'Données projet'!$E$10+1,1))-AVERAGE(OFFSET($H$3,0,0,'Données projet'!$E$10+1,1))</f>
        <v>205.73717397588365</v>
      </c>
      <c r="AO192" s="59">
        <f t="shared" si="144"/>
        <v>190.64998698136026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33.198162665530013</v>
      </c>
      <c r="AV192" s="21">
        <f>EXP(-LN(2)/25)*AV191+(1-EXP(-LN(2)/25))/(LN(2)/25)*Calculateur!AQ192*Calculateur!AS192*VLOOKUP('Données projet'!$B$10,Paramètres!$A$1:$I$89,3,0)*0.475*44/12</f>
        <v>4.2777289129960065</v>
      </c>
      <c r="AW192" s="21">
        <f>EXP(-LN(2)/2)*AW191+(1-EXP(-LN(2)/2))/(LN(2)/2)*AQ192*AT192*VLOOKUP('Données projet'!$B$10,Paramètres!$A$1:$I$89,3,0)*0.475*44/12</f>
        <v>5.0446581654233958E-12</v>
      </c>
      <c r="AX192" s="21">
        <f t="shared" si="166"/>
        <v>37.475891578531062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-3.1036506698001178E-14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159.92263609041913</v>
      </c>
      <c r="BJ192" s="59">
        <f t="shared" si="146"/>
        <v>271.78119133009307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3.526861190735187</v>
      </c>
      <c r="BQ192" s="21">
        <f>EXP(-LN(2)/25)*BQ191+(1-EXP(-LN(2)/25))/(LN(2)/25)*Calculateur!BL192*Calculateur!BN192*VLOOKUP('Données projet'!$B$11,Paramètres!$A$1:$I$89,3,0)*0.475*44/12</f>
        <v>2.4084224667458805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5.935283657481067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5.6843418860808015E-13</v>
      </c>
      <c r="BZ192" s="13">
        <f>BY192*VLOOKUP('Données projet'!$B$12,Paramètres!$A$1:$I$89,3,0)*VLOOKUP('Données projet'!$B$12,Paramètres!$A$1:$I$89,5,0)</f>
        <v>5.1431925385259092E-13</v>
      </c>
      <c r="CA192" s="13">
        <f t="shared" si="170"/>
        <v>6.3855359115685756E-12</v>
      </c>
      <c r="CB192" s="20">
        <f t="shared" si="171"/>
        <v>1.2017247746441865E-11</v>
      </c>
      <c r="CC192" s="59">
        <f t="shared" si="119"/>
        <v>293.33333333334531</v>
      </c>
      <c r="CD192" s="59">
        <f ca="1">AVERAGE(OFFSET($CC$3,0,0,'Données projet'!$E$12+1,1))-AVERAGE(OFFSET($H$3,0,0,'Données projet'!$E$12+1,1))</f>
        <v>280.25710840677186</v>
      </c>
      <c r="CE192" s="59">
        <f t="shared" si="148"/>
        <v>209.65224013288037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54.213867348205426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54.213867348205426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243</v>
      </c>
      <c r="CU192" s="17">
        <f>CT192*VLOOKUP('Données projet'!$B$13,Paramètres!$A$1:$I$89,3,0)*VLOOKUP('Données projet'!$B$13,Paramètres!$A$1:$I$89,5,0)</f>
        <v>253.98360000000002</v>
      </c>
      <c r="CV192" s="13">
        <f t="shared" si="173"/>
        <v>61.438182405444294</v>
      </c>
      <c r="CW192" s="20">
        <f t="shared" si="174"/>
        <v>549.35960435614891</v>
      </c>
      <c r="CX192" s="59">
        <f t="shared" si="122"/>
        <v>842.69293768948228</v>
      </c>
      <c r="CY192" s="59">
        <f ca="1">AVERAGE(OFFSET($CX$3,0,0,'Données projet'!$E$13+1,1))-AVERAGE(OFFSET($H$3,0,0,'Données projet'!$E$13+1,1))</f>
        <v>330.14201227773452</v>
      </c>
      <c r="CZ192" s="59">
        <f t="shared" si="150"/>
        <v>307.07297894926467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5.5952049349766924</v>
      </c>
      <c r="DG192" s="21">
        <f>EXP(-LN(2)/25)*DG191+(1-EXP(-LN(2)/25))/(LN(2)/25)*Calculateur!DB192*Calculateur!DD192*VLOOKUP('Données projet'!$B$13,Paramètres!$A$1:$I$89,3,0)*0.475*44/12</f>
        <v>1.5105329581236513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7.1057378931003434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283.73369613548124</v>
      </c>
      <c r="T193" s="59">
        <f t="shared" si="142"/>
        <v>249.77804091581208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18.652621222070785</v>
      </c>
      <c r="AA193" s="21">
        <f>EXP(-LN(2)/25)*AA192+(1-EXP(-LN(2)/25))/(LN(2)/25)*Calculateur!V193*Calculateur!X193*VLOOKUP('Données projet'!$B$9,Paramètres!$A$1:$I$89,3,0)*0.475*44/12</f>
        <v>1.7977017027168449</v>
      </c>
      <c r="AB193" s="21">
        <f>EXP(-LN(2)/2)*AB192+(1-EXP(-LN(2)/2))/(LN(2)/2)*V193*Y193*VLOOKUP('Données projet'!$B$9,Paramètres!$A$1:$I$89,3,0)*0.475*44/12</f>
        <v>3.2397789809540778E-16</v>
      </c>
      <c r="AC193" s="22">
        <f t="shared" si="163"/>
        <v>20.450322924787631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1.5961632016114892E-13</v>
      </c>
      <c r="AK193" s="13">
        <f t="shared" si="164"/>
        <v>2.2708641912150958E-12</v>
      </c>
      <c r="AL193" s="20">
        <f t="shared" si="165"/>
        <v>4.2330868906469593E-12</v>
      </c>
      <c r="AM193" s="59">
        <f t="shared" si="113"/>
        <v>293.33333333333752</v>
      </c>
      <c r="AN193" s="59">
        <f ca="1">AVERAGE(OFFSET($AM$3,0,0,'Données projet'!$E$10+1,1))-AVERAGE(OFFSET($H$3,0,0,'Données projet'!$E$10+1,1))</f>
        <v>205.73717397588365</v>
      </c>
      <c r="AO193" s="59">
        <f t="shared" si="144"/>
        <v>190.64998698136026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32.547166944538787</v>
      </c>
      <c r="AV193" s="21">
        <f>EXP(-LN(2)/25)*AV192+(1-EXP(-LN(2)/25))/(LN(2)/25)*Calculateur!AQ193*Calculateur!AS193*VLOOKUP('Données projet'!$B$10,Paramètres!$A$1:$I$89,3,0)*0.475*44/12</f>
        <v>4.1607541909141439</v>
      </c>
      <c r="AW193" s="21">
        <f>EXP(-LN(2)/2)*AW192+(1-EXP(-LN(2)/2))/(LN(2)/2)*AQ193*AT193*VLOOKUP('Données projet'!$B$10,Paramètres!$A$1:$I$89,3,0)*0.475*44/12</f>
        <v>3.5671119975389718E-12</v>
      </c>
      <c r="AX193" s="21">
        <f t="shared" si="166"/>
        <v>36.707921135456502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-3.1036506698001178E-14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159.92263609041913</v>
      </c>
      <c r="BJ193" s="59">
        <f t="shared" si="146"/>
        <v>271.78119133009307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3.4577015939577858</v>
      </c>
      <c r="BQ193" s="21">
        <f>EXP(-LN(2)/25)*BQ192+(1-EXP(-LN(2)/25))/(LN(2)/25)*Calculateur!BL193*Calculateur!BN193*VLOOKUP('Données projet'!$B$11,Paramètres!$A$1:$I$89,3,0)*0.475*44/12</f>
        <v>2.3425640277392814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5.8002656216970667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5.6843418860808015E-13</v>
      </c>
      <c r="BZ193" s="13">
        <f>BY193*VLOOKUP('Données projet'!$B$12,Paramètres!$A$1:$I$89,3,0)*VLOOKUP('Données projet'!$B$12,Paramètres!$A$1:$I$89,5,0)</f>
        <v>5.1431925385259092E-13</v>
      </c>
      <c r="CA193" s="13">
        <f t="shared" si="170"/>
        <v>6.3855359115685756E-12</v>
      </c>
      <c r="CB193" s="20">
        <f t="shared" si="171"/>
        <v>1.2017247746441865E-11</v>
      </c>
      <c r="CC193" s="59">
        <f t="shared" si="119"/>
        <v>293.33333333334531</v>
      </c>
      <c r="CD193" s="59">
        <f ca="1">AVERAGE(OFFSET($CC$3,0,0,'Données projet'!$E$12+1,1))-AVERAGE(OFFSET($H$3,0,0,'Données projet'!$E$12+1,1))</f>
        <v>280.25710840677186</v>
      </c>
      <c r="CE193" s="59">
        <f t="shared" si="148"/>
        <v>209.65224013288037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53.150766476701087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53.150766476701087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243</v>
      </c>
      <c r="CU193" s="17">
        <f>CT193*VLOOKUP('Données projet'!$B$13,Paramètres!$A$1:$I$89,3,0)*VLOOKUP('Données projet'!$B$13,Paramètres!$A$1:$I$89,5,0)</f>
        <v>253.98360000000002</v>
      </c>
      <c r="CV193" s="13">
        <f t="shared" si="173"/>
        <v>61.438182405444294</v>
      </c>
      <c r="CW193" s="20">
        <f t="shared" si="174"/>
        <v>549.35960435614891</v>
      </c>
      <c r="CX193" s="59">
        <f t="shared" si="122"/>
        <v>842.69293768948228</v>
      </c>
      <c r="CY193" s="59">
        <f ca="1">AVERAGE(OFFSET($CX$3,0,0,'Données projet'!$E$13+1,1))-AVERAGE(OFFSET($H$3,0,0,'Données projet'!$E$13+1,1))</f>
        <v>330.14201227773452</v>
      </c>
      <c r="CZ193" s="59">
        <f t="shared" si="150"/>
        <v>307.07297894926467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5.4854863789398296</v>
      </c>
      <c r="DG193" s="21">
        <f>EXP(-LN(2)/25)*DG192+(1-EXP(-LN(2)/25))/(LN(2)/25)*Calculateur!DB193*Calculateur!DD193*VLOOKUP('Données projet'!$B$13,Paramètres!$A$1:$I$89,3,0)*0.475*44/12</f>
        <v>1.4692273549482842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6.9547137338881138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283.73369613548124</v>
      </c>
      <c r="T194" s="59">
        <f t="shared" si="142"/>
        <v>249.77804091581208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18.286854696881541</v>
      </c>
      <c r="AA194" s="21">
        <f>EXP(-LN(2)/25)*AA193+(1-EXP(-LN(2)/25))/(LN(2)/25)*Calculateur!V194*Calculateur!X194*VLOOKUP('Données projet'!$B$9,Paramètres!$A$1:$I$89,3,0)*0.475*44/12</f>
        <v>1.7485434551190289</v>
      </c>
      <c r="AB194" s="21">
        <f>EXP(-LN(2)/2)*AB193+(1-EXP(-LN(2)/2))/(LN(2)/2)*V194*Y194*VLOOKUP('Données projet'!$B$9,Paramètres!$A$1:$I$89,3,0)*0.475*44/12</f>
        <v>2.290869686978271E-16</v>
      </c>
      <c r="AC194" s="22">
        <f t="shared" si="163"/>
        <v>20.035398152000571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1.5961632016114892E-13</v>
      </c>
      <c r="AK194" s="13">
        <f t="shared" si="164"/>
        <v>2.2708641912150958E-12</v>
      </c>
      <c r="AL194" s="20">
        <f t="shared" si="165"/>
        <v>4.2330868906469593E-12</v>
      </c>
      <c r="AM194" s="59">
        <f t="shared" si="113"/>
        <v>293.33333333333752</v>
      </c>
      <c r="AN194" s="59">
        <f ca="1">AVERAGE(OFFSET($AM$3,0,0,'Données projet'!$E$10+1,1))-AVERAGE(OFFSET($H$3,0,0,'Données projet'!$E$10+1,1))</f>
        <v>205.73717397588365</v>
      </c>
      <c r="AO194" s="59">
        <f t="shared" si="144"/>
        <v>190.64998698136026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31.908936852568015</v>
      </c>
      <c r="AV194" s="21">
        <f>EXP(-LN(2)/25)*AV193+(1-EXP(-LN(2)/25))/(LN(2)/25)*Calculateur!AQ194*Calculateur!AS194*VLOOKUP('Données projet'!$B$10,Paramètres!$A$1:$I$89,3,0)*0.475*44/12</f>
        <v>4.0469781487590435</v>
      </c>
      <c r="AW194" s="21">
        <f>EXP(-LN(2)/2)*AW193+(1-EXP(-LN(2)/2))/(LN(2)/2)*AQ194*AT194*VLOOKUP('Données projet'!$B$10,Paramètres!$A$1:$I$89,3,0)*0.475*44/12</f>
        <v>2.5223290827116983E-12</v>
      </c>
      <c r="AX194" s="21">
        <f t="shared" si="166"/>
        <v>35.955915001329579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-3.1036506698001178E-14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159.92263609041913</v>
      </c>
      <c r="BJ194" s="59">
        <f t="shared" si="146"/>
        <v>271.78119133009307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3.3898981746900003</v>
      </c>
      <c r="BQ194" s="21">
        <f>EXP(-LN(2)/25)*BQ193+(1-EXP(-LN(2)/25))/(LN(2)/25)*Calculateur!BL194*Calculateur!BN194*VLOOKUP('Données projet'!$B$11,Paramètres!$A$1:$I$89,3,0)*0.475*44/12</f>
        <v>2.2785064912106625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5.6684046659006633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5.6843418860808015E-13</v>
      </c>
      <c r="BZ194" s="13">
        <f>BY194*VLOOKUP('Données projet'!$B$12,Paramètres!$A$1:$I$89,3,0)*VLOOKUP('Données projet'!$B$12,Paramètres!$A$1:$I$89,5,0)</f>
        <v>5.1431925385259092E-13</v>
      </c>
      <c r="CA194" s="13">
        <f t="shared" si="170"/>
        <v>6.3855359115685756E-12</v>
      </c>
      <c r="CB194" s="20">
        <f t="shared" si="171"/>
        <v>1.2017247746441865E-11</v>
      </c>
      <c r="CC194" s="59">
        <f t="shared" si="119"/>
        <v>293.33333333334531</v>
      </c>
      <c r="CD194" s="59">
        <f ca="1">AVERAGE(OFFSET($CC$3,0,0,'Données projet'!$E$12+1,1))-AVERAGE(OFFSET($H$3,0,0,'Données projet'!$E$12+1,1))</f>
        <v>280.25710840677186</v>
      </c>
      <c r="CE194" s="59">
        <f t="shared" si="148"/>
        <v>209.65224013288037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52.108512364859443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52.108512364859443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243</v>
      </c>
      <c r="CU194" s="17">
        <f>CT194*VLOOKUP('Données projet'!$B$13,Paramètres!$A$1:$I$89,3,0)*VLOOKUP('Données projet'!$B$13,Paramètres!$A$1:$I$89,5,0)</f>
        <v>253.98360000000002</v>
      </c>
      <c r="CV194" s="13">
        <f t="shared" si="173"/>
        <v>61.438182405444294</v>
      </c>
      <c r="CW194" s="20">
        <f t="shared" si="174"/>
        <v>549.35960435614891</v>
      </c>
      <c r="CX194" s="59">
        <f t="shared" si="122"/>
        <v>842.69293768948228</v>
      </c>
      <c r="CY194" s="59">
        <f ca="1">AVERAGE(OFFSET($CX$3,0,0,'Données projet'!$E$13+1,1))-AVERAGE(OFFSET($H$3,0,0,'Données projet'!$E$13+1,1))</f>
        <v>330.14201227773452</v>
      </c>
      <c r="CZ194" s="59">
        <f t="shared" si="150"/>
        <v>307.07297894926467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5.3779193368651388</v>
      </c>
      <c r="DG194" s="21">
        <f>EXP(-LN(2)/25)*DG193+(1-EXP(-LN(2)/25))/(LN(2)/25)*Calculateur!DB194*Calculateur!DD194*VLOOKUP('Données projet'!$B$13,Paramètres!$A$1:$I$89,3,0)*0.475*44/12</f>
        <v>1.4290512556639148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6.8069705925290531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283.73369613548124</v>
      </c>
      <c r="T195" s="59">
        <f t="shared" si="142"/>
        <v>249.77804091581208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17.928260630155705</v>
      </c>
      <c r="AA195" s="21">
        <f>EXP(-LN(2)/25)*AA194+(1-EXP(-LN(2)/25))/(LN(2)/25)*Calculateur!V195*Calculateur!X195*VLOOKUP('Données projet'!$B$9,Paramètres!$A$1:$I$89,3,0)*0.475*44/12</f>
        <v>1.7007294423868951</v>
      </c>
      <c r="AB195" s="21">
        <f>EXP(-LN(2)/2)*AB194+(1-EXP(-LN(2)/2))/(LN(2)/2)*V195*Y195*VLOOKUP('Données projet'!$B$9,Paramètres!$A$1:$I$89,3,0)*0.475*44/12</f>
        <v>1.6198894904770389E-16</v>
      </c>
      <c r="AC195" s="22">
        <f t="shared" si="163"/>
        <v>19.628990072542599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1.5961632016114892E-13</v>
      </c>
      <c r="AK195" s="13">
        <f t="shared" si="164"/>
        <v>2.2708641912150958E-12</v>
      </c>
      <c r="AL195" s="20">
        <f t="shared" si="165"/>
        <v>4.2330868906469593E-12</v>
      </c>
      <c r="AM195" s="59">
        <f t="shared" si="113"/>
        <v>293.33333333333752</v>
      </c>
      <c r="AN195" s="59">
        <f ca="1">AVERAGE(OFFSET($AM$3,0,0,'Données projet'!$E$10+1,1))-AVERAGE(OFFSET($H$3,0,0,'Données projet'!$E$10+1,1))</f>
        <v>205.73717397588365</v>
      </c>
      <c r="AO195" s="59">
        <f t="shared" si="144"/>
        <v>190.64998698136026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31.283222063418872</v>
      </c>
      <c r="AV195" s="21">
        <f>EXP(-LN(2)/25)*AV194+(1-EXP(-LN(2)/25))/(LN(2)/25)*Calculateur!AQ195*Calculateur!AS195*VLOOKUP('Données projet'!$B$10,Paramètres!$A$1:$I$89,3,0)*0.475*44/12</f>
        <v>3.936313318459896</v>
      </c>
      <c r="AW195" s="21">
        <f>EXP(-LN(2)/2)*AW194+(1-EXP(-LN(2)/2))/(LN(2)/2)*AQ195*AT195*VLOOKUP('Données projet'!$B$10,Paramètres!$A$1:$I$89,3,0)*0.475*44/12</f>
        <v>1.7835559987694861E-12</v>
      </c>
      <c r="AX195" s="21">
        <f t="shared" si="166"/>
        <v>35.219535381880554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-3.1036506698001178E-14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159.92263609041913</v>
      </c>
      <c r="BJ195" s="59">
        <f t="shared" si="146"/>
        <v>271.78119133009307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3.3234243391180542</v>
      </c>
      <c r="BQ195" s="21">
        <f>EXP(-LN(2)/25)*BQ194+(1-EXP(-LN(2)/25))/(LN(2)/25)*Calculateur!BL195*Calculateur!BN195*VLOOKUP('Données projet'!$B$11,Paramètres!$A$1:$I$89,3,0)*0.475*44/12</f>
        <v>2.216200611387058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5.5396249505051127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5.6843418860808015E-13</v>
      </c>
      <c r="BZ195" s="13">
        <f>BY195*VLOOKUP('Données projet'!$B$12,Paramètres!$A$1:$I$89,3,0)*VLOOKUP('Données projet'!$B$12,Paramètres!$A$1:$I$89,5,0)</f>
        <v>5.1431925385259092E-13</v>
      </c>
      <c r="CA195" s="13">
        <f t="shared" si="170"/>
        <v>6.3855359115685756E-12</v>
      </c>
      <c r="CB195" s="20">
        <f t="shared" si="171"/>
        <v>1.2017247746441865E-11</v>
      </c>
      <c r="CC195" s="59">
        <f t="shared" si="119"/>
        <v>293.33333333334531</v>
      </c>
      <c r="CD195" s="59">
        <f ca="1">AVERAGE(OFFSET($CC$3,0,0,'Données projet'!$E$12+1,1))-AVERAGE(OFFSET($H$3,0,0,'Données projet'!$E$12+1,1))</f>
        <v>280.25710840677186</v>
      </c>
      <c r="CE195" s="59">
        <f t="shared" si="148"/>
        <v>209.65224013288037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51.086696220438775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51.086696220438775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243</v>
      </c>
      <c r="CU195" s="17">
        <f>CT195*VLOOKUP('Données projet'!$B$13,Paramètres!$A$1:$I$89,3,0)*VLOOKUP('Données projet'!$B$13,Paramètres!$A$1:$I$89,5,0)</f>
        <v>253.98360000000002</v>
      </c>
      <c r="CV195" s="13">
        <f t="shared" si="173"/>
        <v>61.438182405444294</v>
      </c>
      <c r="CW195" s="20">
        <f t="shared" si="174"/>
        <v>549.35960435614891</v>
      </c>
      <c r="CX195" s="59">
        <f t="shared" si="122"/>
        <v>842.69293768948228</v>
      </c>
      <c r="CY195" s="59">
        <f ca="1">AVERAGE(OFFSET($CX$3,0,0,'Données projet'!$E$13+1,1))-AVERAGE(OFFSET($H$3,0,0,'Données projet'!$E$13+1,1))</f>
        <v>330.14201227773452</v>
      </c>
      <c r="CZ195" s="59">
        <f t="shared" si="150"/>
        <v>307.07297894926467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5.2724616188761155</v>
      </c>
      <c r="DG195" s="21">
        <f>EXP(-LN(2)/25)*DG194+(1-EXP(-LN(2)/25))/(LN(2)/25)*Calculateur!DB195*Calculateur!DD195*VLOOKUP('Données projet'!$B$13,Paramètres!$A$1:$I$89,3,0)*0.475*44/12</f>
        <v>1.3899737739272455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6.6624353928033608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283.73369613548124</v>
      </c>
      <c r="T196" s="59">
        <f t="shared" si="142"/>
        <v>249.77804091581208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17.57669837435758</v>
      </c>
      <c r="AA196" s="21">
        <f>EXP(-LN(2)/25)*AA195+(1-EXP(-LN(2)/25))/(LN(2)/25)*Calculateur!V196*Calculateur!X196*VLOOKUP('Données projet'!$B$9,Paramètres!$A$1:$I$89,3,0)*0.475*44/12</f>
        <v>1.654222906347351</v>
      </c>
      <c r="AB196" s="21">
        <f>EXP(-LN(2)/2)*AB195+(1-EXP(-LN(2)/2))/(LN(2)/2)*V196*Y196*VLOOKUP('Données projet'!$B$9,Paramètres!$A$1:$I$89,3,0)*0.475*44/12</f>
        <v>1.1454348434891355E-16</v>
      </c>
      <c r="AC196" s="22">
        <f t="shared" si="163"/>
        <v>19.23092128070493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1.5961632016114892E-13</v>
      </c>
      <c r="AK196" s="13">
        <f t="shared" si="164"/>
        <v>2.2708641912150958E-12</v>
      </c>
      <c r="AL196" s="20">
        <f t="shared" si="165"/>
        <v>4.2330868906469593E-12</v>
      </c>
      <c r="AM196" s="59">
        <f t="shared" ref="AM196:AM203" si="193">AL196+(AD196+AE196)*44/12</f>
        <v>293.33333333333752</v>
      </c>
      <c r="AN196" s="59">
        <f ca="1">AVERAGE(OFFSET($AM$3,0,0,'Données projet'!$E$10+1,1))-AVERAGE(OFFSET($H$3,0,0,'Données projet'!$E$10+1,1))</f>
        <v>205.73717397588365</v>
      </c>
      <c r="AO196" s="59">
        <f t="shared" si="144"/>
        <v>190.64998698136026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30.669777159636606</v>
      </c>
      <c r="AV196" s="21">
        <f>EXP(-LN(2)/25)*AV195+(1-EXP(-LN(2)/25))/(LN(2)/25)*Calculateur!AQ196*Calculateur!AS196*VLOOKUP('Données projet'!$B$10,Paramètres!$A$1:$I$89,3,0)*0.475*44/12</f>
        <v>3.8286746237648894</v>
      </c>
      <c r="AW196" s="21">
        <f>EXP(-LN(2)/2)*AW195+(1-EXP(-LN(2)/2))/(LN(2)/2)*AQ196*AT196*VLOOKUP('Données projet'!$B$10,Paramètres!$A$1:$I$89,3,0)*0.475*44/12</f>
        <v>1.2611645413558494E-12</v>
      </c>
      <c r="AX196" s="21">
        <f t="shared" si="166"/>
        <v>34.49845178340275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-3.1036506698001178E-14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159.92263609041913</v>
      </c>
      <c r="BJ196" s="59">
        <f t="shared" si="146"/>
        <v>271.78119133009307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3.2582540149166377</v>
      </c>
      <c r="BQ196" s="21">
        <f>EXP(-LN(2)/25)*BQ195+(1-EXP(-LN(2)/25))/(LN(2)/25)*Calculateur!BL196*Calculateur!BN196*VLOOKUP('Données projet'!$B$11,Paramètres!$A$1:$I$89,3,0)*0.475*44/12</f>
        <v>2.1555984891237538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5.413852504040392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5.6843418860808015E-13</v>
      </c>
      <c r="BZ196" s="13">
        <f>BY196*VLOOKUP('Données projet'!$B$12,Paramètres!$A$1:$I$89,3,0)*VLOOKUP('Données projet'!$B$12,Paramètres!$A$1:$I$89,5,0)</f>
        <v>5.1431925385259092E-13</v>
      </c>
      <c r="CA196" s="13">
        <f t="shared" si="170"/>
        <v>6.3855359115685756E-12</v>
      </c>
      <c r="CB196" s="20">
        <f t="shared" si="171"/>
        <v>1.2017247746441865E-11</v>
      </c>
      <c r="CC196" s="59">
        <f t="shared" ref="CC196:CC203" si="195">CB196+(BT196+BU196)*44/12</f>
        <v>293.33333333334531</v>
      </c>
      <c r="CD196" s="59">
        <f ca="1">AVERAGE(OFFSET($CC$3,0,0,'Données projet'!$E$12+1,1))-AVERAGE(OFFSET($H$3,0,0,'Données projet'!$E$12+1,1))</f>
        <v>280.25710840677186</v>
      </c>
      <c r="CE196" s="59">
        <f t="shared" si="148"/>
        <v>209.65224013288037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50.084917267363892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50.084917267363892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243</v>
      </c>
      <c r="CU196" s="17">
        <f>CT196*VLOOKUP('Données projet'!$B$13,Paramètres!$A$1:$I$89,3,0)*VLOOKUP('Données projet'!$B$13,Paramètres!$A$1:$I$89,5,0)</f>
        <v>253.98360000000002</v>
      </c>
      <c r="CV196" s="13">
        <f t="shared" si="173"/>
        <v>61.438182405444294</v>
      </c>
      <c r="CW196" s="20">
        <f t="shared" si="174"/>
        <v>549.35960435614891</v>
      </c>
      <c r="CX196" s="59">
        <f t="shared" ref="CX196:CX203" si="196">CW196+(CO196+CP196)*44/12</f>
        <v>842.69293768948228</v>
      </c>
      <c r="CY196" s="59">
        <f ca="1">AVERAGE(OFFSET($CX$3,0,0,'Données projet'!$E$13+1,1))-AVERAGE(OFFSET($H$3,0,0,'Données projet'!$E$13+1,1))</f>
        <v>330.14201227773452</v>
      </c>
      <c r="CZ196" s="59">
        <f t="shared" si="150"/>
        <v>307.07297894926467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5.1690718624140004</v>
      </c>
      <c r="DG196" s="21">
        <f>EXP(-LN(2)/25)*DG195+(1-EXP(-LN(2)/25))/(LN(2)/25)*Calculateur!DB196*Calculateur!DD196*VLOOKUP('Données projet'!$B$13,Paramètres!$A$1:$I$89,3,0)*0.475*44/12</f>
        <v>1.3519648679836611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6.5210367303976611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283.73369613548124</v>
      </c>
      <c r="T197" s="59">
        <f t="shared" ref="T197:T203" si="204">$T$3</f>
        <v>249.77804091581208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17.232030039963853</v>
      </c>
      <c r="AA197" s="21">
        <f>EXP(-LN(2)/25)*AA196+(1-EXP(-LN(2)/25))/(LN(2)/25)*Calculateur!V197*Calculateur!X197*VLOOKUP('Données projet'!$B$9,Paramètres!$A$1:$I$89,3,0)*0.475*44/12</f>
        <v>1.6089880939814809</v>
      </c>
      <c r="AB197" s="21">
        <f>EXP(-LN(2)/2)*AB196+(1-EXP(-LN(2)/2))/(LN(2)/2)*V197*Y197*VLOOKUP('Données projet'!$B$9,Paramètres!$A$1:$I$89,3,0)*0.475*44/12</f>
        <v>8.0994474523851945E-17</v>
      </c>
      <c r="AC197" s="22">
        <f t="shared" si="163"/>
        <v>18.841018133945333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1.5961632016114892E-13</v>
      </c>
      <c r="AK197" s="13">
        <f t="shared" si="164"/>
        <v>2.2708641912150958E-12</v>
      </c>
      <c r="AL197" s="20">
        <f t="shared" si="165"/>
        <v>4.2330868906469593E-12</v>
      </c>
      <c r="AM197" s="59">
        <f t="shared" si="193"/>
        <v>293.33333333333752</v>
      </c>
      <c r="AN197" s="59">
        <f ca="1">AVERAGE(OFFSET($AM$3,0,0,'Données projet'!$E$10+1,1))-AVERAGE(OFFSET($H$3,0,0,'Données projet'!$E$10+1,1))</f>
        <v>205.73717397588365</v>
      </c>
      <c r="AO197" s="59">
        <f t="shared" ref="AO197:AO203" si="205">$AO$3</f>
        <v>190.64998698136026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30.068361536253065</v>
      </c>
      <c r="AV197" s="21">
        <f>EXP(-LN(2)/25)*AV196+(1-EXP(-LN(2)/25))/(LN(2)/25)*Calculateur!AQ197*Calculateur!AS197*VLOOKUP('Données projet'!$B$10,Paramètres!$A$1:$I$89,3,0)*0.475*44/12</f>
        <v>3.7239793148367908</v>
      </c>
      <c r="AW197" s="21">
        <f>EXP(-LN(2)/2)*AW196+(1-EXP(-LN(2)/2))/(LN(2)/2)*AQ197*AT197*VLOOKUP('Données projet'!$B$10,Paramètres!$A$1:$I$89,3,0)*0.475*44/12</f>
        <v>8.9177799938474324E-13</v>
      </c>
      <c r="AX197" s="21">
        <f t="shared" si="166"/>
        <v>33.792340851090749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-3.1036506698001178E-14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159.92263609041913</v>
      </c>
      <c r="BJ197" s="59">
        <f t="shared" ref="BJ197:BJ203" si="206">$BJ$3</f>
        <v>271.78119133009307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3.1943616410228381</v>
      </c>
      <c r="BQ197" s="21">
        <f>EXP(-LN(2)/25)*BQ196+(1-EXP(-LN(2)/25))/(LN(2)/25)*Calculateur!BL197*Calculateur!BN197*VLOOKUP('Données projet'!$B$11,Paramètres!$A$1:$I$89,3,0)*0.475*44/12</f>
        <v>2.0966535350806668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5.2910151761035049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5.6843418860808015E-13</v>
      </c>
      <c r="BZ197" s="13">
        <f>BY197*VLOOKUP('Données projet'!$B$12,Paramètres!$A$1:$I$89,3,0)*VLOOKUP('Données projet'!$B$12,Paramètres!$A$1:$I$89,5,0)</f>
        <v>5.1431925385259092E-13</v>
      </c>
      <c r="CA197" s="13">
        <f t="shared" si="170"/>
        <v>6.3855359115685756E-12</v>
      </c>
      <c r="CB197" s="20">
        <f t="shared" si="171"/>
        <v>1.2017247746441865E-11</v>
      </c>
      <c r="CC197" s="59">
        <f t="shared" si="195"/>
        <v>293.33333333334531</v>
      </c>
      <c r="CD197" s="59">
        <f ca="1">AVERAGE(OFFSET($CC$3,0,0,'Données projet'!$E$12+1,1))-AVERAGE(OFFSET($H$3,0,0,'Données projet'!$E$12+1,1))</f>
        <v>280.25710840677186</v>
      </c>
      <c r="CE197" s="59">
        <f t="shared" ref="CE197:CE203" si="207">$CE$3</f>
        <v>209.65224013288037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49.102782588533977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49.102782588533977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243</v>
      </c>
      <c r="CU197" s="17">
        <f>CT197*VLOOKUP('Données projet'!$B$13,Paramètres!$A$1:$I$89,3,0)*VLOOKUP('Données projet'!$B$13,Paramètres!$A$1:$I$89,5,0)</f>
        <v>253.98360000000002</v>
      </c>
      <c r="CV197" s="13">
        <f t="shared" si="173"/>
        <v>61.438182405444294</v>
      </c>
      <c r="CW197" s="20">
        <f t="shared" si="174"/>
        <v>549.35960435614891</v>
      </c>
      <c r="CX197" s="59">
        <f t="shared" si="196"/>
        <v>842.69293768948228</v>
      </c>
      <c r="CY197" s="59">
        <f ca="1">AVERAGE(OFFSET($CX$3,0,0,'Données projet'!$E$13+1,1))-AVERAGE(OFFSET($H$3,0,0,'Données projet'!$E$13+1,1))</f>
        <v>330.14201227773452</v>
      </c>
      <c r="CZ197" s="59">
        <f t="shared" ref="CZ197:CZ203" si="208">$CZ$3</f>
        <v>307.07297894926467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5.0677095160145829</v>
      </c>
      <c r="DG197" s="21">
        <f>EXP(-LN(2)/25)*DG196+(1-EXP(-LN(2)/25))/(LN(2)/25)*Calculateur!DB197*Calculateur!DD197*VLOOKUP('Données projet'!$B$13,Paramètres!$A$1:$I$89,3,0)*0.475*44/12</f>
        <v>1.3149953175719054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6.3827048335864882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283.73369613548124</v>
      </c>
      <c r="T198" s="59">
        <f t="shared" si="204"/>
        <v>249.77804091581208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16.894120441380661</v>
      </c>
      <c r="AA198" s="21">
        <f>EXP(-LN(2)/25)*AA197+(1-EXP(-LN(2)/25))/(LN(2)/25)*Calculateur!V198*Calculateur!X198*VLOOKUP('Données projet'!$B$9,Paramètres!$A$1:$I$89,3,0)*0.475*44/12</f>
        <v>1.5649902299385507</v>
      </c>
      <c r="AB198" s="21">
        <f>EXP(-LN(2)/2)*AB197+(1-EXP(-LN(2)/2))/(LN(2)/2)*V198*Y198*VLOOKUP('Données projet'!$B$9,Paramètres!$A$1:$I$89,3,0)*0.475*44/12</f>
        <v>5.7271742174456775E-17</v>
      </c>
      <c r="AC198" s="22">
        <f t="shared" si="163"/>
        <v>18.459110671319213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1.5961632016114892E-13</v>
      </c>
      <c r="AK198" s="13">
        <f t="shared" si="164"/>
        <v>2.2708641912150958E-12</v>
      </c>
      <c r="AL198" s="20">
        <f t="shared" si="165"/>
        <v>4.2330868906469593E-12</v>
      </c>
      <c r="AM198" s="59">
        <f t="shared" si="193"/>
        <v>293.33333333333752</v>
      </c>
      <c r="AN198" s="59">
        <f ca="1">AVERAGE(OFFSET($AM$3,0,0,'Données projet'!$E$10+1,1))-AVERAGE(OFFSET($H$3,0,0,'Données projet'!$E$10+1,1))</f>
        <v>205.73717397588365</v>
      </c>
      <c r="AO198" s="59">
        <f t="shared" si="205"/>
        <v>190.64998698136026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29.478739306416767</v>
      </c>
      <c r="AV198" s="21">
        <f>EXP(-LN(2)/25)*AV197+(1-EXP(-LN(2)/25))/(LN(2)/25)*Calculateur!AQ198*Calculateur!AS198*VLOOKUP('Données projet'!$B$10,Paramètres!$A$1:$I$89,3,0)*0.475*44/12</f>
        <v>3.6221469046370181</v>
      </c>
      <c r="AW198" s="21">
        <f>EXP(-LN(2)/2)*AW197+(1-EXP(-LN(2)/2))/(LN(2)/2)*AQ198*AT198*VLOOKUP('Données projet'!$B$10,Paramètres!$A$1:$I$89,3,0)*0.475*44/12</f>
        <v>6.3058227067792478E-13</v>
      </c>
      <c r="AX198" s="21">
        <f t="shared" si="166"/>
        <v>33.100886211054416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-3.1036506698001178E-14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159.92263609041913</v>
      </c>
      <c r="BJ198" s="59">
        <f t="shared" si="206"/>
        <v>271.78119133009307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3.131722157610596</v>
      </c>
      <c r="BQ198" s="21">
        <f>EXP(-LN(2)/25)*BQ197+(1-EXP(-LN(2)/25))/(LN(2)/25)*Calculateur!BL198*Calculateur!BN198*VLOOKUP('Données projet'!$B$11,Paramètres!$A$1:$I$89,3,0)*0.475*44/12</f>
        <v>2.0393204339056683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5.1710425915162643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5.6843418860808015E-13</v>
      </c>
      <c r="BZ198" s="13">
        <f>BY198*VLOOKUP('Données projet'!$B$12,Paramètres!$A$1:$I$89,3,0)*VLOOKUP('Données projet'!$B$12,Paramètres!$A$1:$I$89,5,0)</f>
        <v>5.1431925385259092E-13</v>
      </c>
      <c r="CA198" s="13">
        <f t="shared" si="170"/>
        <v>6.3855359115685756E-12</v>
      </c>
      <c r="CB198" s="20">
        <f t="shared" si="171"/>
        <v>1.2017247746441865E-11</v>
      </c>
      <c r="CC198" s="59">
        <f t="shared" si="195"/>
        <v>293.33333333334531</v>
      </c>
      <c r="CD198" s="59">
        <f ca="1">AVERAGE(OFFSET($CC$3,0,0,'Données projet'!$E$12+1,1))-AVERAGE(OFFSET($H$3,0,0,'Données projet'!$E$12+1,1))</f>
        <v>280.25710840677186</v>
      </c>
      <c r="CE198" s="59">
        <f t="shared" si="207"/>
        <v>209.65224013288037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48.139906971712911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48.139906971712911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243</v>
      </c>
      <c r="CU198" s="17">
        <f>CT198*VLOOKUP('Données projet'!$B$13,Paramètres!$A$1:$I$89,3,0)*VLOOKUP('Données projet'!$B$13,Paramètres!$A$1:$I$89,5,0)</f>
        <v>253.98360000000002</v>
      </c>
      <c r="CV198" s="13">
        <f t="shared" si="173"/>
        <v>61.438182405444294</v>
      </c>
      <c r="CW198" s="20">
        <f t="shared" si="174"/>
        <v>549.35960435614891</v>
      </c>
      <c r="CX198" s="59">
        <f t="shared" si="196"/>
        <v>842.69293768948228</v>
      </c>
      <c r="CY198" s="59">
        <f ca="1">AVERAGE(OFFSET($CX$3,0,0,'Données projet'!$E$13+1,1))-AVERAGE(OFFSET($H$3,0,0,'Données projet'!$E$13+1,1))</f>
        <v>330.14201227773452</v>
      </c>
      <c r="CZ198" s="59">
        <f t="shared" si="208"/>
        <v>307.07297894926467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4.968334823403131</v>
      </c>
      <c r="DG198" s="21">
        <f>EXP(-LN(2)/25)*DG197+(1-EXP(-LN(2)/25))/(LN(2)/25)*Calculateur!DB198*Calculateur!DD198*VLOOKUP('Données projet'!$B$13,Paramètres!$A$1:$I$89,3,0)*0.475*44/12</f>
        <v>1.2790367014603032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6.2473715248634338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283.73369613548124</v>
      </c>
      <c r="T199" s="59">
        <f t="shared" si="204"/>
        <v>249.77804091581208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16.562837043921181</v>
      </c>
      <c r="AA199" s="21">
        <f>EXP(-LN(2)/25)*AA198+(1-EXP(-LN(2)/25))/(LN(2)/25)*Calculateur!V199*Calculateur!X199*VLOOKUP('Données projet'!$B$9,Paramètres!$A$1:$I$89,3,0)*0.475*44/12</f>
        <v>1.5221954898016217</v>
      </c>
      <c r="AB199" s="21">
        <f>EXP(-LN(2)/2)*AB198+(1-EXP(-LN(2)/2))/(LN(2)/2)*V199*Y199*VLOOKUP('Données projet'!$B$9,Paramètres!$A$1:$I$89,3,0)*0.475*44/12</f>
        <v>4.0497237261925973E-17</v>
      </c>
      <c r="AC199" s="22">
        <f t="shared" si="163"/>
        <v>18.085032533722803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1.5961632016114892E-13</v>
      </c>
      <c r="AK199" s="13">
        <f t="shared" si="164"/>
        <v>2.2708641912150958E-12</v>
      </c>
      <c r="AL199" s="20">
        <f t="shared" si="165"/>
        <v>4.2330868906469593E-12</v>
      </c>
      <c r="AM199" s="59">
        <f t="shared" si="193"/>
        <v>293.33333333333752</v>
      </c>
      <c r="AN199" s="59">
        <f ca="1">AVERAGE(OFFSET($AM$3,0,0,'Données projet'!$E$10+1,1))-AVERAGE(OFFSET($H$3,0,0,'Données projet'!$E$10+1,1))</f>
        <v>205.73717397588365</v>
      </c>
      <c r="AO199" s="59">
        <f t="shared" si="205"/>
        <v>190.64998698136026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28.900679208873509</v>
      </c>
      <c r="AV199" s="21">
        <f>EXP(-LN(2)/25)*AV198+(1-EXP(-LN(2)/25))/(LN(2)/25)*Calculateur!AQ199*Calculateur!AS199*VLOOKUP('Données projet'!$B$10,Paramètres!$A$1:$I$89,3,0)*0.475*44/12</f>
        <v>3.5230991070492914</v>
      </c>
      <c r="AW199" s="21">
        <f>EXP(-LN(2)/2)*AW198+(1-EXP(-LN(2)/2))/(LN(2)/2)*AQ199*AT199*VLOOKUP('Données projet'!$B$10,Paramètres!$A$1:$I$89,3,0)*0.475*44/12</f>
        <v>4.4588899969237167E-13</v>
      </c>
      <c r="AX199" s="21">
        <f t="shared" si="166"/>
        <v>32.423778315923251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-3.1036506698001178E-14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159.92263609041913</v>
      </c>
      <c r="BJ199" s="59">
        <f t="shared" si="206"/>
        <v>271.78119133009307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3.0703109962617554</v>
      </c>
      <c r="BQ199" s="21">
        <f>EXP(-LN(2)/25)*BQ198+(1-EXP(-LN(2)/25))/(LN(2)/25)*Calculateur!BL199*Calculateur!BN199*VLOOKUP('Données projet'!$B$11,Paramètres!$A$1:$I$89,3,0)*0.475*44/12</f>
        <v>1.9835551093973172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5.0538661056590728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5.6843418860808015E-13</v>
      </c>
      <c r="BZ199" s="13">
        <f>BY199*VLOOKUP('Données projet'!$B$12,Paramètres!$A$1:$I$89,3,0)*VLOOKUP('Données projet'!$B$12,Paramètres!$A$1:$I$89,5,0)</f>
        <v>5.1431925385259092E-13</v>
      </c>
      <c r="CA199" s="13">
        <f t="shared" si="170"/>
        <v>6.3855359115685756E-12</v>
      </c>
      <c r="CB199" s="20">
        <f t="shared" si="171"/>
        <v>1.2017247746441865E-11</v>
      </c>
      <c r="CC199" s="59">
        <f t="shared" si="195"/>
        <v>293.33333333334531</v>
      </c>
      <c r="CD199" s="59">
        <f ca="1">AVERAGE(OFFSET($CC$3,0,0,'Données projet'!$E$12+1,1))-AVERAGE(OFFSET($H$3,0,0,'Données projet'!$E$12+1,1))</f>
        <v>280.25710840677186</v>
      </c>
      <c r="CE199" s="59">
        <f t="shared" si="207"/>
        <v>209.65224013288037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47.195912758441573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47.195912758441573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243</v>
      </c>
      <c r="CU199" s="17">
        <f>CT199*VLOOKUP('Données projet'!$B$13,Paramètres!$A$1:$I$89,3,0)*VLOOKUP('Données projet'!$B$13,Paramètres!$A$1:$I$89,5,0)</f>
        <v>253.98360000000002</v>
      </c>
      <c r="CV199" s="13">
        <f t="shared" si="173"/>
        <v>61.438182405444294</v>
      </c>
      <c r="CW199" s="20">
        <f t="shared" si="174"/>
        <v>549.35960435614891</v>
      </c>
      <c r="CX199" s="59">
        <f t="shared" si="196"/>
        <v>842.69293768948228</v>
      </c>
      <c r="CY199" s="59">
        <f ca="1">AVERAGE(OFFSET($CX$3,0,0,'Données projet'!$E$13+1,1))-AVERAGE(OFFSET($H$3,0,0,'Données projet'!$E$13+1,1))</f>
        <v>330.14201227773452</v>
      </c>
      <c r="CZ199" s="59">
        <f t="shared" si="208"/>
        <v>307.07297894926467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4.8709088079012126</v>
      </c>
      <c r="DG199" s="21">
        <f>EXP(-LN(2)/25)*DG198+(1-EXP(-LN(2)/25))/(LN(2)/25)*Calculateur!DB199*Calculateur!DD199*VLOOKUP('Données projet'!$B$13,Paramètres!$A$1:$I$89,3,0)*0.475*44/12</f>
        <v>1.2440613755972545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6.1149701834984675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283.73369613548124</v>
      </c>
      <c r="T200" s="59">
        <f t="shared" si="204"/>
        <v>249.77804091581208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16.238049911822962</v>
      </c>
      <c r="AA200" s="21">
        <f>EXP(-LN(2)/25)*AA199+(1-EXP(-LN(2)/25))/(LN(2)/25)*Calculateur!V200*Calculateur!X200*VLOOKUP('Données projet'!$B$9,Paramètres!$A$1:$I$89,3,0)*0.475*44/12</f>
        <v>1.4805709740842146</v>
      </c>
      <c r="AB200" s="21">
        <f>EXP(-LN(2)/2)*AB199+(1-EXP(-LN(2)/2))/(LN(2)/2)*V200*Y200*VLOOKUP('Données projet'!$B$9,Paramètres!$A$1:$I$89,3,0)*0.475*44/12</f>
        <v>2.8635871087228388E-17</v>
      </c>
      <c r="AC200" s="22">
        <f t="shared" si="163"/>
        <v>17.718620885907178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1.5961632016114892E-13</v>
      </c>
      <c r="AK200" s="13">
        <f t="shared" si="164"/>
        <v>2.2708641912150958E-12</v>
      </c>
      <c r="AL200" s="20">
        <f t="shared" si="165"/>
        <v>4.2330868906469593E-12</v>
      </c>
      <c r="AM200" s="59">
        <f t="shared" si="193"/>
        <v>293.33333333333752</v>
      </c>
      <c r="AN200" s="59">
        <f ca="1">AVERAGE(OFFSET($AM$3,0,0,'Données projet'!$E$10+1,1))-AVERAGE(OFFSET($H$3,0,0,'Données projet'!$E$10+1,1))</f>
        <v>205.73717397588365</v>
      </c>
      <c r="AO200" s="59">
        <f t="shared" si="205"/>
        <v>190.64998698136026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28.33395451726123</v>
      </c>
      <c r="AV200" s="21">
        <f>EXP(-LN(2)/25)*AV199+(1-EXP(-LN(2)/25))/(LN(2)/25)*Calculateur!AQ200*Calculateur!AS200*VLOOKUP('Données projet'!$B$10,Paramètres!$A$1:$I$89,3,0)*0.475*44/12</f>
        <v>3.4267597766952989</v>
      </c>
      <c r="AW200" s="21">
        <f>EXP(-LN(2)/2)*AW199+(1-EXP(-LN(2)/2))/(LN(2)/2)*AQ200*AT200*VLOOKUP('Données projet'!$B$10,Paramètres!$A$1:$I$89,3,0)*0.475*44/12</f>
        <v>3.1529113533896244E-13</v>
      </c>
      <c r="AX200" s="21">
        <f t="shared" si="166"/>
        <v>31.760714293956845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-3.1036506698001178E-14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159.92263609041913</v>
      </c>
      <c r="BJ200" s="59">
        <f t="shared" si="206"/>
        <v>271.78119133009307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3.0101040703298558</v>
      </c>
      <c r="BQ200" s="21">
        <f>EXP(-LN(2)/25)*BQ199+(1-EXP(-LN(2)/25))/(LN(2)/25)*Calculateur!BL200*Calculateur!BN200*VLOOKUP('Données projet'!$B$11,Paramètres!$A$1:$I$89,3,0)*0.475*44/12</f>
        <v>1.9293146906202179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4.9394187609500735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5.6843418860808015E-13</v>
      </c>
      <c r="BZ200" s="13">
        <f>BY200*VLOOKUP('Données projet'!$B$12,Paramètres!$A$1:$I$89,3,0)*VLOOKUP('Données projet'!$B$12,Paramètres!$A$1:$I$89,5,0)</f>
        <v>5.1431925385259092E-13</v>
      </c>
      <c r="CA200" s="13">
        <f t="shared" si="170"/>
        <v>6.3855359115685756E-12</v>
      </c>
      <c r="CB200" s="20">
        <f t="shared" si="171"/>
        <v>1.2017247746441865E-11</v>
      </c>
      <c r="CC200" s="59">
        <f t="shared" si="195"/>
        <v>293.33333333334531</v>
      </c>
      <c r="CD200" s="59">
        <f ca="1">AVERAGE(OFFSET($CC$3,0,0,'Données projet'!$E$12+1,1))-AVERAGE(OFFSET($H$3,0,0,'Données projet'!$E$12+1,1))</f>
        <v>280.25710840677186</v>
      </c>
      <c r="CE200" s="59">
        <f t="shared" si="207"/>
        <v>209.65224013288037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46.270429695912867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46.270429695912867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243</v>
      </c>
      <c r="CU200" s="17">
        <f>CT200*VLOOKUP('Données projet'!$B$13,Paramètres!$A$1:$I$89,3,0)*VLOOKUP('Données projet'!$B$13,Paramètres!$A$1:$I$89,5,0)</f>
        <v>253.98360000000002</v>
      </c>
      <c r="CV200" s="13">
        <f t="shared" si="173"/>
        <v>61.438182405444294</v>
      </c>
      <c r="CW200" s="20">
        <f t="shared" si="174"/>
        <v>549.35960435614891</v>
      </c>
      <c r="CX200" s="59">
        <f t="shared" si="196"/>
        <v>842.69293768948228</v>
      </c>
      <c r="CY200" s="59">
        <f ca="1">AVERAGE(OFFSET($CX$3,0,0,'Données projet'!$E$13+1,1))-AVERAGE(OFFSET($H$3,0,0,'Données projet'!$E$13+1,1))</f>
        <v>330.14201227773452</v>
      </c>
      <c r="CZ200" s="59">
        <f t="shared" si="208"/>
        <v>307.07297894926467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4.7753932571392843</v>
      </c>
      <c r="DG200" s="21">
        <f>EXP(-LN(2)/25)*DG199+(1-EXP(-LN(2)/25))/(LN(2)/25)*Calculateur!DB200*Calculateur!DD200*VLOOKUP('Données projet'!$B$13,Paramètres!$A$1:$I$89,3,0)*0.475*44/12</f>
        <v>1.2100424518592032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5.9854357089984873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283.73369613548124</v>
      </c>
      <c r="T201" s="59">
        <f t="shared" si="204"/>
        <v>249.77804091581208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15.919631657284599</v>
      </c>
      <c r="AA201" s="21">
        <f>EXP(-LN(2)/25)*AA200+(1-EXP(-LN(2)/25))/(LN(2)/25)*Calculateur!V201*Calculateur!X201*VLOOKUP('Données projet'!$B$9,Paramètres!$A$1:$I$89,3,0)*0.475*44/12</f>
        <v>1.440084682938038</v>
      </c>
      <c r="AB201" s="21">
        <f>EXP(-LN(2)/2)*AB200+(1-EXP(-LN(2)/2))/(LN(2)/2)*V201*Y201*VLOOKUP('Données projet'!$B$9,Paramètres!$A$1:$I$89,3,0)*0.475*44/12</f>
        <v>2.0248618630962986E-17</v>
      </c>
      <c r="AC201" s="22">
        <f t="shared" si="163"/>
        <v>17.359716340222636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1.5961632016114892E-13</v>
      </c>
      <c r="AK201" s="13">
        <f t="shared" si="164"/>
        <v>2.2708641912150958E-12</v>
      </c>
      <c r="AL201" s="20">
        <f t="shared" si="165"/>
        <v>4.2330868906469593E-12</v>
      </c>
      <c r="AM201" s="59">
        <f t="shared" si="193"/>
        <v>293.33333333333752</v>
      </c>
      <c r="AN201" s="59">
        <f ca="1">AVERAGE(OFFSET($AM$3,0,0,'Données projet'!$E$10+1,1))-AVERAGE(OFFSET($H$3,0,0,'Données projet'!$E$10+1,1))</f>
        <v>205.73717397588365</v>
      </c>
      <c r="AO201" s="59">
        <f t="shared" si="205"/>
        <v>190.64998698136026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27.778342951183536</v>
      </c>
      <c r="AV201" s="21">
        <f>EXP(-LN(2)/25)*AV200+(1-EXP(-LN(2)/25))/(LN(2)/25)*Calculateur!AQ201*Calculateur!AS201*VLOOKUP('Données projet'!$B$10,Paramètres!$A$1:$I$89,3,0)*0.475*44/12</f>
        <v>3.3330548503961013</v>
      </c>
      <c r="AW201" s="21">
        <f>EXP(-LN(2)/2)*AW200+(1-EXP(-LN(2)/2))/(LN(2)/2)*AQ201*AT201*VLOOKUP('Données projet'!$B$10,Paramètres!$A$1:$I$89,3,0)*0.475*44/12</f>
        <v>2.2294449984618586E-13</v>
      </c>
      <c r="AX201" s="21">
        <f t="shared" si="166"/>
        <v>31.111397801579862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-3.1036506698001178E-14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159.92263609041913</v>
      </c>
      <c r="BJ201" s="59">
        <f t="shared" si="206"/>
        <v>271.78119133009307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2.9510777654928821</v>
      </c>
      <c r="BQ201" s="21">
        <f>EXP(-LN(2)/25)*BQ200+(1-EXP(-LN(2)/25))/(LN(2)/25)*Calculateur!BL201*Calculateur!BN201*VLOOKUP('Données projet'!$B$11,Paramètres!$A$1:$I$89,3,0)*0.475*44/12</f>
        <v>1.8765574789469579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4.8276352444398398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5.6843418860808015E-13</v>
      </c>
      <c r="BZ201" s="13">
        <f>BY201*VLOOKUP('Données projet'!$B$12,Paramètres!$A$1:$I$89,3,0)*VLOOKUP('Données projet'!$B$12,Paramètres!$A$1:$I$89,5,0)</f>
        <v>5.1431925385259092E-13</v>
      </c>
      <c r="CA201" s="13">
        <f t="shared" si="170"/>
        <v>6.3855359115685756E-12</v>
      </c>
      <c r="CB201" s="20">
        <f t="shared" si="171"/>
        <v>1.2017247746441865E-11</v>
      </c>
      <c r="CC201" s="59">
        <f t="shared" si="195"/>
        <v>293.33333333334531</v>
      </c>
      <c r="CD201" s="59">
        <f ca="1">AVERAGE(OFFSET($CC$3,0,0,'Données projet'!$E$12+1,1))-AVERAGE(OFFSET($H$3,0,0,'Données projet'!$E$12+1,1))</f>
        <v>280.25710840677186</v>
      </c>
      <c r="CE201" s="59">
        <f t="shared" si="207"/>
        <v>209.65224013288037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45.363094791751422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45.363094791751422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243</v>
      </c>
      <c r="CU201" s="17">
        <f>CT201*VLOOKUP('Données projet'!$B$13,Paramètres!$A$1:$I$89,3,0)*VLOOKUP('Données projet'!$B$13,Paramètres!$A$1:$I$89,5,0)</f>
        <v>253.98360000000002</v>
      </c>
      <c r="CV201" s="13">
        <f t="shared" si="173"/>
        <v>61.438182405444294</v>
      </c>
      <c r="CW201" s="20">
        <f t="shared" si="174"/>
        <v>549.35960435614891</v>
      </c>
      <c r="CX201" s="59">
        <f t="shared" si="196"/>
        <v>842.69293768948228</v>
      </c>
      <c r="CY201" s="59">
        <f ca="1">AVERAGE(OFFSET($CX$3,0,0,'Données projet'!$E$13+1,1))-AVERAGE(OFFSET($H$3,0,0,'Données projet'!$E$13+1,1))</f>
        <v>330.14201227773452</v>
      </c>
      <c r="CZ201" s="59">
        <f t="shared" si="208"/>
        <v>307.07297894926467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4.6817507080690639</v>
      </c>
      <c r="DG201" s="21">
        <f>EXP(-LN(2)/25)*DG200+(1-EXP(-LN(2)/25))/(LN(2)/25)*Calculateur!DB201*Calculateur!DD201*VLOOKUP('Données projet'!$B$13,Paramètres!$A$1:$I$89,3,0)*0.475*44/12</f>
        <v>1.1769537773797463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5.8587044854488104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283.73369613548124</v>
      </c>
      <c r="T202" s="59">
        <f t="shared" si="204"/>
        <v>249.77804091581208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15.607457390501775</v>
      </c>
      <c r="AA202" s="21">
        <f>EXP(-LN(2)/25)*AA201+(1-EXP(-LN(2)/25))/(LN(2)/25)*Calculateur!V202*Calculateur!X202*VLOOKUP('Données projet'!$B$9,Paramètres!$A$1:$I$89,3,0)*0.475*44/12</f>
        <v>1.4007054915523354</v>
      </c>
      <c r="AB202" s="21">
        <f>EXP(-LN(2)/2)*AB201+(1-EXP(-LN(2)/2))/(LN(2)/2)*V202*Y202*VLOOKUP('Données projet'!$B$9,Paramètres!$A$1:$I$89,3,0)*0.475*44/12</f>
        <v>1.4317935543614194E-17</v>
      </c>
      <c r="AC202" s="22">
        <f t="shared" si="163"/>
        <v>17.008162882054112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1.5961632016114892E-13</v>
      </c>
      <c r="AK202" s="13">
        <f t="shared" si="164"/>
        <v>2.2708641912150958E-12</v>
      </c>
      <c r="AL202" s="20">
        <f t="shared" si="165"/>
        <v>4.2330868906469593E-12</v>
      </c>
      <c r="AM202" s="59">
        <f t="shared" si="193"/>
        <v>293.33333333333752</v>
      </c>
      <c r="AN202" s="59">
        <f ca="1">AVERAGE(OFFSET($AM$3,0,0,'Données projet'!$E$10+1,1))-AVERAGE(OFFSET($H$3,0,0,'Données projet'!$E$10+1,1))</f>
        <v>205.73717397588365</v>
      </c>
      <c r="AO202" s="59">
        <f t="shared" si="205"/>
        <v>190.64998698136026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27.233626589027033</v>
      </c>
      <c r="AV202" s="21">
        <f>EXP(-LN(2)/25)*AV201+(1-EXP(-LN(2)/25))/(LN(2)/25)*Calculateur!AQ202*Calculateur!AS202*VLOOKUP('Données projet'!$B$10,Paramètres!$A$1:$I$89,3,0)*0.475*44/12</f>
        <v>3.241912290234283</v>
      </c>
      <c r="AW202" s="21">
        <f>EXP(-LN(2)/2)*AW201+(1-EXP(-LN(2)/2))/(LN(2)/2)*AQ202*AT202*VLOOKUP('Données projet'!$B$10,Paramètres!$A$1:$I$89,3,0)*0.475*44/12</f>
        <v>1.5764556766948125E-13</v>
      </c>
      <c r="AX202" s="21">
        <f t="shared" si="166"/>
        <v>30.475538879261471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-3.1036506698001178E-14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159.92263609041913</v>
      </c>
      <c r="BJ202" s="59">
        <f t="shared" si="206"/>
        <v>271.78119133009307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2.8932089304912703</v>
      </c>
      <c r="BQ202" s="21">
        <f>EXP(-LN(2)/25)*BQ201+(1-EXP(-LN(2)/25))/(LN(2)/25)*Calculateur!BL202*Calculateur!BN202*VLOOKUP('Données projet'!$B$11,Paramètres!$A$1:$I$89,3,0)*0.475*44/12</f>
        <v>1.8252429160012844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4.7184518464925542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5.6843418860808015E-13</v>
      </c>
      <c r="BZ202" s="13">
        <f>BY202*VLOOKUP('Données projet'!$B$12,Paramètres!$A$1:$I$89,3,0)*VLOOKUP('Données projet'!$B$12,Paramètres!$A$1:$I$89,5,0)</f>
        <v>5.1431925385259092E-13</v>
      </c>
      <c r="CA202" s="13">
        <f t="shared" si="170"/>
        <v>6.3855359115685756E-12</v>
      </c>
      <c r="CB202" s="20">
        <f t="shared" si="171"/>
        <v>1.2017247746441865E-11</v>
      </c>
      <c r="CC202" s="59">
        <f t="shared" si="195"/>
        <v>293.33333333334531</v>
      </c>
      <c r="CD202" s="59">
        <f ca="1">AVERAGE(OFFSET($CC$3,0,0,'Données projet'!$E$12+1,1))-AVERAGE(OFFSET($H$3,0,0,'Données projet'!$E$12+1,1))</f>
        <v>280.25710840677186</v>
      </c>
      <c r="CE202" s="59">
        <f t="shared" si="207"/>
        <v>209.65224013288037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44.473552171640939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44.473552171640939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243</v>
      </c>
      <c r="CU202" s="17">
        <f>CT202*VLOOKUP('Données projet'!$B$13,Paramètres!$A$1:$I$89,3,0)*VLOOKUP('Données projet'!$B$13,Paramètres!$A$1:$I$89,5,0)</f>
        <v>253.98360000000002</v>
      </c>
      <c r="CV202" s="13">
        <f t="shared" si="173"/>
        <v>61.438182405444294</v>
      </c>
      <c r="CW202" s="20">
        <f t="shared" si="174"/>
        <v>549.35960435614891</v>
      </c>
      <c r="CX202" s="59">
        <f t="shared" si="196"/>
        <v>842.69293768948228</v>
      </c>
      <c r="CY202" s="59">
        <f ca="1">AVERAGE(OFFSET($CX$3,0,0,'Données projet'!$E$13+1,1))-AVERAGE(OFFSET($H$3,0,0,'Données projet'!$E$13+1,1))</f>
        <v>330.14201227773452</v>
      </c>
      <c r="CZ202" s="59">
        <f t="shared" si="208"/>
        <v>307.07297894926467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4.589944432269796</v>
      </c>
      <c r="DG202" s="21">
        <f>EXP(-LN(2)/25)*DG201+(1-EXP(-LN(2)/25))/(LN(2)/25)*Calculateur!DB202*Calculateur!DD202*VLOOKUP('Données projet'!$B$13,Paramètres!$A$1:$I$89,3,0)*0.475*44/12</f>
        <v>1.144769914443988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5.7347143467137842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283.73369613548124</v>
      </c>
      <c r="T203" s="59">
        <f t="shared" si="204"/>
        <v>249.77804091581208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15.301404670683061</v>
      </c>
      <c r="AA203" s="21">
        <f>EXP(-LN(2)/25)*AA202+(1-EXP(-LN(2)/25))/(LN(2)/25)*Calculateur!V203*Calculateur!X203*VLOOKUP('Données projet'!$B$9,Paramètres!$A$1:$I$89,3,0)*0.475*44/12</f>
        <v>1.3624031262259364</v>
      </c>
      <c r="AB203" s="21">
        <f>EXP(-LN(2)/2)*AB202+(1-EXP(-LN(2)/2))/(LN(2)/2)*V203*Y203*VLOOKUP('Données projet'!$B$9,Paramètres!$A$1:$I$89,3,0)*0.475*44/12</f>
        <v>1.0124309315481493E-17</v>
      </c>
      <c r="AC203" s="22">
        <f t="shared" si="163"/>
        <v>16.663807796908998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1.5961632016114892E-13</v>
      </c>
      <c r="AK203" s="13">
        <f t="shared" si="164"/>
        <v>2.2708641912150958E-12</v>
      </c>
      <c r="AL203" s="20">
        <f t="shared" si="165"/>
        <v>4.2330868906469593E-12</v>
      </c>
      <c r="AM203" s="59">
        <f t="shared" si="193"/>
        <v>293.33333333333752</v>
      </c>
      <c r="AN203" s="59">
        <f ca="1">AVERAGE(OFFSET($AM$3,0,0,'Données projet'!$E$10+1,1))-AVERAGE(OFFSET($H$3,0,0,'Données projet'!$E$10+1,1))</f>
        <v>205.73717397588365</v>
      </c>
      <c r="AO203" s="59">
        <f t="shared" si="205"/>
        <v>190.64998698136026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26.699591782488245</v>
      </c>
      <c r="AV203" s="21">
        <f>EXP(-LN(2)/25)*AV202+(1-EXP(-LN(2)/25))/(LN(2)/25)*Calculateur!AQ203*Calculateur!AS203*VLOOKUP('Données projet'!$B$10,Paramètres!$A$1:$I$89,3,0)*0.475*44/12</f>
        <v>3.1532620281730686</v>
      </c>
      <c r="AW203" s="21">
        <f>EXP(-LN(2)/2)*AW202+(1-EXP(-LN(2)/2))/(LN(2)/2)*AQ203*AT203*VLOOKUP('Données projet'!$B$10,Paramètres!$A$1:$I$89,3,0)*0.475*44/12</f>
        <v>1.1147224992309296E-13</v>
      </c>
      <c r="AX203" s="21">
        <f t="shared" si="166"/>
        <v>29.852853810661422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-3.1036506698001178E-14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159.92263609041913</v>
      </c>
      <c r="BJ203" s="59">
        <f t="shared" si="206"/>
        <v>271.78119133009307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2.836474868047536</v>
      </c>
      <c r="BQ203" s="21">
        <f>EXP(-LN(2)/25)*BQ202+(1-EXP(-LN(2)/25))/(LN(2)/25)*Calculateur!BL203*Calculateur!BN203*VLOOKUP('Données projet'!$B$11,Paramètres!$A$1:$I$89,3,0)*0.475*44/12</f>
        <v>1.7753315524778759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4.6118064205254115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5.6843418860808015E-13</v>
      </c>
      <c r="BZ203" s="13">
        <f>BY203*VLOOKUP('Données projet'!$B$12,Paramètres!$A$1:$I$89,3,0)*VLOOKUP('Données projet'!$B$12,Paramètres!$A$1:$I$89,5,0)</f>
        <v>5.1431925385259092E-13</v>
      </c>
      <c r="CA203" s="13">
        <f t="shared" si="170"/>
        <v>6.3855359115685756E-12</v>
      </c>
      <c r="CB203" s="20">
        <f t="shared" si="171"/>
        <v>1.2017247746441865E-11</v>
      </c>
      <c r="CC203" s="59">
        <f t="shared" si="195"/>
        <v>293.33333333334531</v>
      </c>
      <c r="CD203" s="59">
        <f ca="1">AVERAGE(OFFSET($CC$3,0,0,'Données projet'!$E$12+1,1))-AVERAGE(OFFSET($H$3,0,0,'Données projet'!$E$12+1,1))</f>
        <v>280.25710840677186</v>
      </c>
      <c r="CE203" s="59">
        <f t="shared" si="207"/>
        <v>209.65224013288037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43.601452939743396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43.601452939743396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243</v>
      </c>
      <c r="CU203" s="17">
        <f>CT203*VLOOKUP('Données projet'!$B$13,Paramètres!$A$1:$I$89,3,0)*VLOOKUP('Données projet'!$B$13,Paramètres!$A$1:$I$89,5,0)</f>
        <v>253.98360000000002</v>
      </c>
      <c r="CV203" s="13">
        <f t="shared" si="173"/>
        <v>61.438182405444294</v>
      </c>
      <c r="CW203" s="20">
        <f t="shared" si="174"/>
        <v>549.35960435614891</v>
      </c>
      <c r="CX203" s="59">
        <f t="shared" si="196"/>
        <v>842.69293768948228</v>
      </c>
      <c r="CY203" s="59">
        <f ca="1">AVERAGE(OFFSET($CX$3,0,0,'Données projet'!$E$13+1,1))-AVERAGE(OFFSET($H$3,0,0,'Données projet'!$E$13+1,1))</f>
        <v>330.14201227773452</v>
      </c>
      <c r="CZ203" s="59">
        <f t="shared" si="208"/>
        <v>307.07297894926467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4.4999384215426526</v>
      </c>
      <c r="DG203" s="21">
        <f>EXP(-LN(2)/25)*DG202+(1-EXP(-LN(2)/25))/(LN(2)/25)*Calculateur!DB203*Calculateur!DD203*VLOOKUP('Données projet'!$B$13,Paramètres!$A$1:$I$89,3,0)*0.475*44/12</f>
        <v>1.1134661209326837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5.6134045424753367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116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116</v>
      </c>
      <c r="BA204" s="81" t="s">
        <v>116</v>
      </c>
      <c r="BV204" s="81" t="s">
        <v>116</v>
      </c>
      <c r="CQ204" s="81" t="s">
        <v>116</v>
      </c>
      <c r="DL204" s="81" t="s">
        <v>116</v>
      </c>
      <c r="EG204" s="81" t="s">
        <v>116</v>
      </c>
      <c r="FB204" s="81" t="s">
        <v>116</v>
      </c>
      <c r="FW204" s="81" t="s">
        <v>116</v>
      </c>
      <c r="GR204" s="81" t="s">
        <v>116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1.2909310311160476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1.1963772029987372</v>
      </c>
      <c r="BA205" s="82">
        <f>EXP(LN('Données projet'!B88)/'Données projet'!A88)</f>
        <v>1.4860662319460807</v>
      </c>
      <c r="BV205" s="82">
        <f>EXP(LN('Données projet'!B114)/'Données projet'!A114)</f>
        <v>1.1736311550444201</v>
      </c>
      <c r="CQ205" s="82">
        <f>EXP(LN('Données projet'!B140)/'Données projet'!A140)</f>
        <v>1.4003603312913959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117</v>
      </c>
      <c r="B1" s="112" t="s">
        <v>118</v>
      </c>
      <c r="C1" s="113" t="s">
        <v>119</v>
      </c>
      <c r="D1" s="112" t="s">
        <v>120</v>
      </c>
      <c r="E1" s="113" t="s">
        <v>121</v>
      </c>
      <c r="F1" s="113" t="s">
        <v>120</v>
      </c>
      <c r="G1" s="113" t="s">
        <v>122</v>
      </c>
      <c r="H1" s="113" t="s">
        <v>120</v>
      </c>
      <c r="I1" s="114" t="s">
        <v>123</v>
      </c>
      <c r="J1" s="78"/>
      <c r="K1" s="78"/>
      <c r="L1" s="78"/>
      <c r="M1" s="78"/>
      <c r="N1" s="78"/>
    </row>
    <row r="2" spans="1:16" x14ac:dyDescent="0.35">
      <c r="A2" s="115" t="s">
        <v>124</v>
      </c>
      <c r="B2" s="116" t="s">
        <v>125</v>
      </c>
      <c r="C2" s="117">
        <v>0.62</v>
      </c>
      <c r="D2" s="117" t="s">
        <v>126</v>
      </c>
      <c r="E2" s="117">
        <v>1.56</v>
      </c>
      <c r="F2" s="117" t="s">
        <v>127</v>
      </c>
      <c r="G2" s="118">
        <v>0.43</v>
      </c>
      <c r="H2" s="119" t="s">
        <v>128</v>
      </c>
      <c r="I2" s="120">
        <v>0.25</v>
      </c>
      <c r="J2" s="78"/>
      <c r="K2" s="78"/>
      <c r="L2" s="78"/>
      <c r="M2" s="78"/>
      <c r="N2" s="78"/>
      <c r="O2" s="281" t="s">
        <v>129</v>
      </c>
      <c r="P2" s="121">
        <v>0</v>
      </c>
    </row>
    <row r="3" spans="1:16" ht="15" thickBot="1" x14ac:dyDescent="0.4">
      <c r="A3" s="122" t="s">
        <v>130</v>
      </c>
      <c r="B3" s="123" t="s">
        <v>131</v>
      </c>
      <c r="C3" s="124">
        <v>0.64</v>
      </c>
      <c r="D3" s="124" t="s">
        <v>126</v>
      </c>
      <c r="E3" s="124">
        <v>1.56</v>
      </c>
      <c r="F3" s="125" t="s">
        <v>127</v>
      </c>
      <c r="G3" s="126">
        <v>0.43</v>
      </c>
      <c r="H3" s="124" t="s">
        <v>128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132</v>
      </c>
      <c r="B4" s="123" t="s">
        <v>133</v>
      </c>
      <c r="C4" s="124">
        <v>0.42</v>
      </c>
      <c r="D4" s="124" t="s">
        <v>126</v>
      </c>
      <c r="E4" s="124">
        <v>1.56</v>
      </c>
      <c r="F4" s="125" t="s">
        <v>127</v>
      </c>
      <c r="G4" s="126">
        <v>0.43</v>
      </c>
      <c r="H4" s="124" t="s">
        <v>128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134</v>
      </c>
      <c r="B5" s="123" t="s">
        <v>135</v>
      </c>
      <c r="C5" s="124">
        <v>0.42</v>
      </c>
      <c r="D5" s="124" t="s">
        <v>126</v>
      </c>
      <c r="E5" s="124">
        <v>1.56</v>
      </c>
      <c r="F5" s="125" t="s">
        <v>127</v>
      </c>
      <c r="G5" s="126">
        <v>0.43</v>
      </c>
      <c r="H5" s="124" t="s">
        <v>128</v>
      </c>
      <c r="I5" s="127">
        <v>0.25</v>
      </c>
      <c r="J5" s="78"/>
      <c r="K5" s="78"/>
      <c r="L5" s="78"/>
      <c r="M5" s="78"/>
      <c r="N5" s="78"/>
      <c r="O5" s="281" t="s">
        <v>136</v>
      </c>
      <c r="P5" s="121">
        <v>0</v>
      </c>
    </row>
    <row r="6" spans="1:16" x14ac:dyDescent="0.35">
      <c r="A6" s="122" t="s">
        <v>137</v>
      </c>
      <c r="B6" s="123" t="s">
        <v>138</v>
      </c>
      <c r="C6" s="124">
        <v>0.42</v>
      </c>
      <c r="D6" s="124" t="s">
        <v>126</v>
      </c>
      <c r="E6" s="124">
        <v>1.56</v>
      </c>
      <c r="F6" s="125" t="s">
        <v>127</v>
      </c>
      <c r="G6" s="126">
        <v>0.43</v>
      </c>
      <c r="H6" s="124" t="s">
        <v>128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139</v>
      </c>
      <c r="B7" s="123" t="s">
        <v>140</v>
      </c>
      <c r="C7" s="124">
        <v>0.52</v>
      </c>
      <c r="D7" s="124" t="s">
        <v>126</v>
      </c>
      <c r="E7" s="124">
        <v>1.56</v>
      </c>
      <c r="F7" s="125" t="s">
        <v>127</v>
      </c>
      <c r="G7" s="126">
        <v>0.43</v>
      </c>
      <c r="H7" s="124" t="s">
        <v>128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19</v>
      </c>
      <c r="B8" s="123" t="s">
        <v>141</v>
      </c>
      <c r="C8" s="124">
        <v>0.36</v>
      </c>
      <c r="D8" s="124" t="s">
        <v>126</v>
      </c>
      <c r="E8" s="124">
        <v>1.3</v>
      </c>
      <c r="F8" s="125" t="s">
        <v>127</v>
      </c>
      <c r="G8" s="126">
        <v>0.55000000000000004</v>
      </c>
      <c r="H8" s="124" t="s">
        <v>142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143</v>
      </c>
      <c r="B9" s="123" t="s">
        <v>144</v>
      </c>
      <c r="C9" s="124">
        <v>0.61</v>
      </c>
      <c r="D9" s="124" t="s">
        <v>126</v>
      </c>
      <c r="E9" s="124">
        <v>1.56</v>
      </c>
      <c r="F9" s="125" t="s">
        <v>127</v>
      </c>
      <c r="G9" s="126">
        <v>0.43</v>
      </c>
      <c r="H9" s="124" t="s">
        <v>128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145</v>
      </c>
      <c r="B10" s="123" t="s">
        <v>146</v>
      </c>
      <c r="C10" s="124">
        <v>0.66</v>
      </c>
      <c r="D10" s="124" t="s">
        <v>126</v>
      </c>
      <c r="E10" s="124">
        <v>1.56</v>
      </c>
      <c r="F10" s="125" t="s">
        <v>127</v>
      </c>
      <c r="G10" s="126">
        <v>0.43</v>
      </c>
      <c r="H10" s="124" t="s">
        <v>128</v>
      </c>
      <c r="I10" s="127">
        <v>0.25</v>
      </c>
      <c r="J10" s="78"/>
      <c r="K10" s="78"/>
      <c r="L10" s="78"/>
      <c r="M10" s="78"/>
      <c r="N10" s="78"/>
      <c r="O10" s="281" t="s">
        <v>147</v>
      </c>
      <c r="P10" s="121">
        <v>0</v>
      </c>
    </row>
    <row r="11" spans="1:16" ht="15" thickBot="1" x14ac:dyDescent="0.4">
      <c r="A11" s="122" t="s">
        <v>148</v>
      </c>
      <c r="B11" s="123" t="s">
        <v>149</v>
      </c>
      <c r="C11" s="124">
        <v>0.47</v>
      </c>
      <c r="D11" s="124" t="s">
        <v>126</v>
      </c>
      <c r="E11" s="124">
        <v>1.56</v>
      </c>
      <c r="F11" s="125" t="s">
        <v>127</v>
      </c>
      <c r="G11" s="126">
        <v>0.43</v>
      </c>
      <c r="H11" s="124" t="s">
        <v>128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25</v>
      </c>
      <c r="B12" s="123" t="s">
        <v>150</v>
      </c>
      <c r="C12" s="124">
        <v>0.67</v>
      </c>
      <c r="D12" s="124" t="s">
        <v>126</v>
      </c>
      <c r="E12" s="124">
        <v>1.56</v>
      </c>
      <c r="F12" s="125" t="s">
        <v>127</v>
      </c>
      <c r="G12" s="126">
        <v>0.43</v>
      </c>
      <c r="H12" s="124" t="s">
        <v>151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152</v>
      </c>
      <c r="B13" s="123" t="s">
        <v>153</v>
      </c>
      <c r="C13" s="124">
        <v>0.7</v>
      </c>
      <c r="D13" s="124" t="s">
        <v>126</v>
      </c>
      <c r="E13" s="124">
        <v>1.56</v>
      </c>
      <c r="F13" s="125" t="s">
        <v>127</v>
      </c>
      <c r="G13" s="126">
        <v>0.43</v>
      </c>
      <c r="H13" s="124" t="s">
        <v>151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154</v>
      </c>
      <c r="B14" s="123" t="s">
        <v>155</v>
      </c>
      <c r="C14" s="124">
        <v>0.54</v>
      </c>
      <c r="D14" s="124" t="s">
        <v>126</v>
      </c>
      <c r="E14" s="124">
        <v>1.56</v>
      </c>
      <c r="F14" s="125" t="s">
        <v>127</v>
      </c>
      <c r="G14" s="126">
        <v>0.43</v>
      </c>
      <c r="H14" s="124" t="s">
        <v>151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156</v>
      </c>
      <c r="B15" s="123" t="s">
        <v>157</v>
      </c>
      <c r="C15" s="124">
        <v>0.65</v>
      </c>
      <c r="D15" s="124" t="s">
        <v>126</v>
      </c>
      <c r="E15" s="124">
        <v>1.56</v>
      </c>
      <c r="F15" s="125" t="s">
        <v>127</v>
      </c>
      <c r="G15" s="126">
        <v>0.43</v>
      </c>
      <c r="H15" s="124" t="s">
        <v>151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158</v>
      </c>
      <c r="B16" s="123" t="s">
        <v>159</v>
      </c>
      <c r="C16" s="124">
        <v>0.56000000000000005</v>
      </c>
      <c r="D16" s="124" t="s">
        <v>126</v>
      </c>
      <c r="E16" s="124">
        <v>1.56</v>
      </c>
      <c r="F16" s="125" t="s">
        <v>127</v>
      </c>
      <c r="G16" s="126">
        <v>0.43</v>
      </c>
      <c r="H16" s="124" t="s">
        <v>151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23</v>
      </c>
      <c r="B17" s="123" t="s">
        <v>160</v>
      </c>
      <c r="C17" s="124">
        <v>0.57999999999999996</v>
      </c>
      <c r="D17" s="124" t="s">
        <v>126</v>
      </c>
      <c r="E17" s="124">
        <v>1.56</v>
      </c>
      <c r="F17" s="125" t="s">
        <v>127</v>
      </c>
      <c r="G17" s="126">
        <v>0.43</v>
      </c>
      <c r="H17" s="124" t="s">
        <v>151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161</v>
      </c>
      <c r="B18" s="123" t="s">
        <v>162</v>
      </c>
      <c r="C18" s="124">
        <v>0.64</v>
      </c>
      <c r="D18" s="124" t="s">
        <v>126</v>
      </c>
      <c r="E18" s="124">
        <v>1.56</v>
      </c>
      <c r="F18" s="125" t="s">
        <v>127</v>
      </c>
      <c r="G18" s="126">
        <v>0.43</v>
      </c>
      <c r="H18" s="124" t="s">
        <v>151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163</v>
      </c>
      <c r="B19" s="123" t="s">
        <v>164</v>
      </c>
      <c r="C19" s="124">
        <v>0.73</v>
      </c>
      <c r="D19" s="124" t="s">
        <v>126</v>
      </c>
      <c r="E19" s="124">
        <v>1.56</v>
      </c>
      <c r="F19" s="125" t="s">
        <v>127</v>
      </c>
      <c r="G19" s="126">
        <v>0.43</v>
      </c>
      <c r="H19" s="124" t="s">
        <v>151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165</v>
      </c>
      <c r="B20" s="123" t="s">
        <v>166</v>
      </c>
      <c r="C20" s="124">
        <v>0.69</v>
      </c>
      <c r="D20" s="124" t="s">
        <v>167</v>
      </c>
      <c r="E20" s="124">
        <v>1.56</v>
      </c>
      <c r="F20" s="125" t="s">
        <v>127</v>
      </c>
      <c r="G20" s="126">
        <v>0.43</v>
      </c>
      <c r="H20" s="124" t="s">
        <v>168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169</v>
      </c>
      <c r="B21" s="123" t="s">
        <v>170</v>
      </c>
      <c r="C21" s="124">
        <v>0.36</v>
      </c>
      <c r="D21" s="124" t="s">
        <v>126</v>
      </c>
      <c r="E21" s="124">
        <v>1.3</v>
      </c>
      <c r="F21" s="125" t="s">
        <v>127</v>
      </c>
      <c r="G21" s="126">
        <v>0.55000000000000004</v>
      </c>
      <c r="H21" s="124" t="s">
        <v>142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171</v>
      </c>
      <c r="B22" s="123" t="s">
        <v>172</v>
      </c>
      <c r="C22" s="124">
        <v>0.4</v>
      </c>
      <c r="D22" s="124" t="s">
        <v>126</v>
      </c>
      <c r="E22" s="124">
        <v>1.3</v>
      </c>
      <c r="F22" s="125" t="s">
        <v>127</v>
      </c>
      <c r="G22" s="126">
        <v>0.55000000000000004</v>
      </c>
      <c r="H22" s="124" t="s">
        <v>142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173</v>
      </c>
      <c r="B23" s="123" t="s">
        <v>174</v>
      </c>
      <c r="C23" s="124">
        <v>0.43</v>
      </c>
      <c r="D23" s="124" t="s">
        <v>126</v>
      </c>
      <c r="E23" s="124">
        <v>1.3</v>
      </c>
      <c r="F23" s="125" t="s">
        <v>127</v>
      </c>
      <c r="G23" s="126">
        <v>0.55000000000000004</v>
      </c>
      <c r="H23" s="124" t="s">
        <v>142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86</v>
      </c>
      <c r="B24" s="123" t="s">
        <v>175</v>
      </c>
      <c r="C24" s="124">
        <v>0.37</v>
      </c>
      <c r="D24" s="124" t="s">
        <v>126</v>
      </c>
      <c r="E24" s="124">
        <v>1.3</v>
      </c>
      <c r="F24" s="125" t="s">
        <v>127</v>
      </c>
      <c r="G24" s="126">
        <v>0.55000000000000004</v>
      </c>
      <c r="H24" s="124" t="s">
        <v>151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176</v>
      </c>
      <c r="B25" s="123" t="s">
        <v>177</v>
      </c>
      <c r="C25" s="124">
        <v>0.36</v>
      </c>
      <c r="D25" s="124" t="s">
        <v>126</v>
      </c>
      <c r="E25" s="124">
        <v>1.3</v>
      </c>
      <c r="F25" s="125" t="s">
        <v>127</v>
      </c>
      <c r="G25" s="126">
        <v>0.55000000000000004</v>
      </c>
      <c r="H25" s="124" t="s">
        <v>151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178</v>
      </c>
      <c r="B26" s="123" t="s">
        <v>179</v>
      </c>
      <c r="C26" s="124">
        <v>0.56000000000000005</v>
      </c>
      <c r="D26" s="124" t="s">
        <v>126</v>
      </c>
      <c r="E26" s="124">
        <v>1.56</v>
      </c>
      <c r="F26" s="125" t="s">
        <v>127</v>
      </c>
      <c r="G26" s="126">
        <v>0.53</v>
      </c>
      <c r="H26" s="124" t="s">
        <v>180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181</v>
      </c>
      <c r="B27" s="123" t="s">
        <v>182</v>
      </c>
      <c r="C27" s="124">
        <v>0.51</v>
      </c>
      <c r="D27" s="124" t="s">
        <v>126</v>
      </c>
      <c r="E27" s="124">
        <v>1.56</v>
      </c>
      <c r="F27" s="125" t="s">
        <v>127</v>
      </c>
      <c r="G27" s="126">
        <v>0.53</v>
      </c>
      <c r="H27" s="124" t="s">
        <v>180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183</v>
      </c>
      <c r="B28" s="123" t="s">
        <v>184</v>
      </c>
      <c r="C28" s="124">
        <v>0.51</v>
      </c>
      <c r="D28" s="124" t="s">
        <v>126</v>
      </c>
      <c r="E28" s="124">
        <v>1.56</v>
      </c>
      <c r="F28" s="125" t="s">
        <v>127</v>
      </c>
      <c r="G28" s="126">
        <v>0.53</v>
      </c>
      <c r="H28" s="124" t="s">
        <v>180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185</v>
      </c>
      <c r="B29" s="123" t="s">
        <v>185</v>
      </c>
      <c r="C29" s="124">
        <v>0.56000000000000005</v>
      </c>
      <c r="D29" s="124" t="s">
        <v>126</v>
      </c>
      <c r="E29" s="124">
        <v>1.56</v>
      </c>
      <c r="F29" s="125" t="s">
        <v>127</v>
      </c>
      <c r="G29" s="126">
        <v>0.53</v>
      </c>
      <c r="H29" s="124" t="s">
        <v>180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186</v>
      </c>
      <c r="B30" s="123" t="s">
        <v>187</v>
      </c>
      <c r="C30" s="124">
        <v>0.55000000000000004</v>
      </c>
      <c r="D30" s="124" t="s">
        <v>126</v>
      </c>
      <c r="E30" s="124">
        <v>1.56</v>
      </c>
      <c r="F30" s="125" t="s">
        <v>127</v>
      </c>
      <c r="G30" s="126">
        <v>0.53</v>
      </c>
      <c r="H30" s="124" t="s">
        <v>151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188</v>
      </c>
      <c r="B31" s="123" t="s">
        <v>189</v>
      </c>
      <c r="C31" s="124">
        <v>0.56000000000000005</v>
      </c>
      <c r="D31" s="124" t="s">
        <v>126</v>
      </c>
      <c r="E31" s="124">
        <v>1.56</v>
      </c>
      <c r="F31" s="125" t="s">
        <v>127</v>
      </c>
      <c r="G31" s="126">
        <v>0.43</v>
      </c>
      <c r="H31" s="124" t="s">
        <v>128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190</v>
      </c>
      <c r="B32" s="123" t="s">
        <v>191</v>
      </c>
      <c r="C32" s="124">
        <v>0.48</v>
      </c>
      <c r="D32" s="124" t="s">
        <v>126</v>
      </c>
      <c r="E32" s="124">
        <v>1.3</v>
      </c>
      <c r="F32" s="125" t="s">
        <v>127</v>
      </c>
      <c r="G32" s="126">
        <v>0.6</v>
      </c>
      <c r="H32" s="124" t="s">
        <v>192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193</v>
      </c>
      <c r="B33" s="123" t="s">
        <v>194</v>
      </c>
      <c r="C33" s="124">
        <v>0.42</v>
      </c>
      <c r="D33" s="124" t="s">
        <v>126</v>
      </c>
      <c r="E33" s="124">
        <v>1.3</v>
      </c>
      <c r="F33" s="125" t="s">
        <v>127</v>
      </c>
      <c r="G33" s="126">
        <v>0.6</v>
      </c>
      <c r="H33" s="124" t="s">
        <v>192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21</v>
      </c>
      <c r="B34" s="123" t="s">
        <v>195</v>
      </c>
      <c r="C34" s="124">
        <v>0.42</v>
      </c>
      <c r="D34" s="124" t="s">
        <v>196</v>
      </c>
      <c r="E34" s="124">
        <v>1.3</v>
      </c>
      <c r="F34" s="125" t="s">
        <v>127</v>
      </c>
      <c r="G34" s="126">
        <v>0.6</v>
      </c>
      <c r="H34" s="123" t="s">
        <v>197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198</v>
      </c>
      <c r="B35" s="123" t="s">
        <v>199</v>
      </c>
      <c r="C35" s="124">
        <v>0.5</v>
      </c>
      <c r="D35" s="124" t="s">
        <v>126</v>
      </c>
      <c r="E35" s="124">
        <v>1.56</v>
      </c>
      <c r="F35" s="125" t="s">
        <v>127</v>
      </c>
      <c r="G35" s="126">
        <v>0.43</v>
      </c>
      <c r="H35" s="124" t="s">
        <v>128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200</v>
      </c>
      <c r="B36" s="123" t="s">
        <v>201</v>
      </c>
      <c r="C36" s="124">
        <v>0.55000000000000004</v>
      </c>
      <c r="D36" s="124" t="s">
        <v>126</v>
      </c>
      <c r="E36" s="124">
        <v>1.56</v>
      </c>
      <c r="F36" s="125" t="s">
        <v>127</v>
      </c>
      <c r="G36" s="126">
        <v>0.53</v>
      </c>
      <c r="H36" s="124" t="s">
        <v>180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202</v>
      </c>
      <c r="B37" s="123" t="s">
        <v>203</v>
      </c>
      <c r="C37" s="124">
        <v>0.52</v>
      </c>
      <c r="D37" s="124" t="s">
        <v>126</v>
      </c>
      <c r="E37" s="124">
        <v>1.56</v>
      </c>
      <c r="F37" s="125" t="s">
        <v>127</v>
      </c>
      <c r="G37" s="126">
        <v>0.53</v>
      </c>
      <c r="H37" s="124" t="s">
        <v>180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204</v>
      </c>
      <c r="B38" s="123" t="s">
        <v>205</v>
      </c>
      <c r="C38" s="124">
        <v>0.52</v>
      </c>
      <c r="D38" s="124" t="s">
        <v>126</v>
      </c>
      <c r="E38" s="124">
        <v>1.56</v>
      </c>
      <c r="F38" s="125" t="s">
        <v>127</v>
      </c>
      <c r="G38" s="126">
        <v>0.43</v>
      </c>
      <c r="H38" s="124" t="s">
        <v>128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206</v>
      </c>
      <c r="B39" s="123" t="s">
        <v>207</v>
      </c>
      <c r="C39" s="124">
        <v>0.313</v>
      </c>
      <c r="D39" s="124" t="s">
        <v>208</v>
      </c>
      <c r="E39" s="124">
        <v>1.56</v>
      </c>
      <c r="F39" s="125" t="s">
        <v>127</v>
      </c>
      <c r="G39" s="126">
        <v>0.6</v>
      </c>
      <c r="H39" s="124" t="s">
        <v>209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210</v>
      </c>
      <c r="B40" s="123" t="s">
        <v>207</v>
      </c>
      <c r="C40" s="124">
        <v>0.35199999999999998</v>
      </c>
      <c r="D40" s="124" t="s">
        <v>208</v>
      </c>
      <c r="E40" s="124">
        <v>1.56</v>
      </c>
      <c r="F40" s="125" t="s">
        <v>127</v>
      </c>
      <c r="G40" s="126">
        <v>0.6</v>
      </c>
      <c r="H40" s="124" t="s">
        <v>209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211</v>
      </c>
      <c r="B41" s="123" t="s">
        <v>207</v>
      </c>
      <c r="C41" s="124">
        <v>0.32200000000000001</v>
      </c>
      <c r="D41" s="124" t="s">
        <v>208</v>
      </c>
      <c r="E41" s="124">
        <v>1.56</v>
      </c>
      <c r="F41" s="125" t="s">
        <v>127</v>
      </c>
      <c r="G41" s="126">
        <v>0.6</v>
      </c>
      <c r="H41" s="124" t="s">
        <v>209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212</v>
      </c>
      <c r="B42" s="123" t="s">
        <v>207</v>
      </c>
      <c r="C42" s="124">
        <v>0.311</v>
      </c>
      <c r="D42" s="124" t="s">
        <v>208</v>
      </c>
      <c r="E42" s="124">
        <v>1.56</v>
      </c>
      <c r="F42" s="125" t="s">
        <v>127</v>
      </c>
      <c r="G42" s="126">
        <v>0.6</v>
      </c>
      <c r="H42" s="124" t="s">
        <v>209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213</v>
      </c>
      <c r="B43" s="123" t="s">
        <v>207</v>
      </c>
      <c r="C43" s="124">
        <v>0.33900000000000002</v>
      </c>
      <c r="D43" s="124" t="s">
        <v>208</v>
      </c>
      <c r="E43" s="124">
        <v>1.56</v>
      </c>
      <c r="F43" s="125" t="s">
        <v>127</v>
      </c>
      <c r="G43" s="126">
        <v>0.6</v>
      </c>
      <c r="H43" s="124" t="s">
        <v>209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214</v>
      </c>
      <c r="B44" s="123" t="s">
        <v>207</v>
      </c>
      <c r="C44" s="124">
        <v>0.33600000000000002</v>
      </c>
      <c r="D44" s="124" t="s">
        <v>208</v>
      </c>
      <c r="E44" s="124">
        <v>1.56</v>
      </c>
      <c r="F44" s="125" t="s">
        <v>127</v>
      </c>
      <c r="G44" s="126">
        <v>0.6</v>
      </c>
      <c r="H44" s="124" t="s">
        <v>209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215</v>
      </c>
      <c r="B45" s="123" t="s">
        <v>207</v>
      </c>
      <c r="C45" s="124">
        <v>0.32900000000000001</v>
      </c>
      <c r="D45" s="124" t="s">
        <v>208</v>
      </c>
      <c r="E45" s="124">
        <v>1.56</v>
      </c>
      <c r="F45" s="125" t="s">
        <v>127</v>
      </c>
      <c r="G45" s="126">
        <v>0.6</v>
      </c>
      <c r="H45" s="124" t="s">
        <v>209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216</v>
      </c>
      <c r="B46" s="123" t="s">
        <v>207</v>
      </c>
      <c r="C46" s="124">
        <v>0.34300000000000003</v>
      </c>
      <c r="D46" s="124" t="s">
        <v>208</v>
      </c>
      <c r="E46" s="124">
        <v>1.56</v>
      </c>
      <c r="F46" s="125" t="s">
        <v>127</v>
      </c>
      <c r="G46" s="126">
        <v>0.6</v>
      </c>
      <c r="H46" s="124" t="s">
        <v>209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217</v>
      </c>
      <c r="B47" s="123" t="s">
        <v>207</v>
      </c>
      <c r="C47" s="124">
        <v>0.32500000000000001</v>
      </c>
      <c r="D47" s="124" t="s">
        <v>208</v>
      </c>
      <c r="E47" s="124">
        <v>1.56</v>
      </c>
      <c r="F47" s="125" t="s">
        <v>127</v>
      </c>
      <c r="G47" s="126">
        <v>0.6</v>
      </c>
      <c r="H47" s="124" t="s">
        <v>209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218</v>
      </c>
      <c r="B48" s="123" t="s">
        <v>207</v>
      </c>
      <c r="C48" s="124">
        <v>0.32</v>
      </c>
      <c r="D48" s="124" t="s">
        <v>208</v>
      </c>
      <c r="E48" s="124">
        <v>1.56</v>
      </c>
      <c r="F48" s="125" t="s">
        <v>127</v>
      </c>
      <c r="G48" s="126">
        <v>0.6</v>
      </c>
      <c r="H48" s="124" t="s">
        <v>209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219</v>
      </c>
      <c r="B49" s="123" t="s">
        <v>207</v>
      </c>
      <c r="C49" s="124">
        <v>0.28199999999999997</v>
      </c>
      <c r="D49" s="124" t="s">
        <v>208</v>
      </c>
      <c r="E49" s="124">
        <v>1.56</v>
      </c>
      <c r="F49" s="125" t="s">
        <v>127</v>
      </c>
      <c r="G49" s="126">
        <v>0.6</v>
      </c>
      <c r="H49" s="124" t="s">
        <v>209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220</v>
      </c>
      <c r="B50" s="123" t="s">
        <v>207</v>
      </c>
      <c r="C50" s="124">
        <v>0.32800000000000001</v>
      </c>
      <c r="D50" s="124" t="s">
        <v>208</v>
      </c>
      <c r="E50" s="124">
        <v>1.56</v>
      </c>
      <c r="F50" s="125" t="s">
        <v>127</v>
      </c>
      <c r="G50" s="126">
        <v>0.6</v>
      </c>
      <c r="H50" s="124" t="s">
        <v>209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221</v>
      </c>
      <c r="B51" s="123" t="s">
        <v>207</v>
      </c>
      <c r="C51" s="124">
        <v>0.32600000000000001</v>
      </c>
      <c r="D51" s="124" t="s">
        <v>208</v>
      </c>
      <c r="E51" s="124">
        <v>1.56</v>
      </c>
      <c r="F51" s="125" t="s">
        <v>127</v>
      </c>
      <c r="G51" s="126">
        <v>0.6</v>
      </c>
      <c r="H51" s="124" t="s">
        <v>209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222</v>
      </c>
      <c r="B52" s="123" t="s">
        <v>207</v>
      </c>
      <c r="C52" s="124">
        <v>0.35899999999999999</v>
      </c>
      <c r="D52" s="124" t="s">
        <v>208</v>
      </c>
      <c r="E52" s="124">
        <v>1.56</v>
      </c>
      <c r="F52" s="125" t="s">
        <v>127</v>
      </c>
      <c r="G52" s="126">
        <v>0.6</v>
      </c>
      <c r="H52" s="124" t="s">
        <v>209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223</v>
      </c>
      <c r="B53" s="123" t="s">
        <v>207</v>
      </c>
      <c r="C53" s="124">
        <v>0.34599999999999997</v>
      </c>
      <c r="D53" s="124" t="s">
        <v>208</v>
      </c>
      <c r="E53" s="124">
        <v>1.56</v>
      </c>
      <c r="F53" s="125" t="s">
        <v>127</v>
      </c>
      <c r="G53" s="126">
        <v>0.6</v>
      </c>
      <c r="H53" s="124" t="s">
        <v>209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224</v>
      </c>
      <c r="B54" s="123" t="s">
        <v>207</v>
      </c>
      <c r="C54" s="124">
        <v>0.32600000000000001</v>
      </c>
      <c r="D54" s="124" t="s">
        <v>208</v>
      </c>
      <c r="E54" s="124">
        <v>1.56</v>
      </c>
      <c r="F54" s="125" t="s">
        <v>127</v>
      </c>
      <c r="G54" s="126">
        <v>0.6</v>
      </c>
      <c r="H54" s="124" t="s">
        <v>209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225</v>
      </c>
      <c r="B55" s="123" t="s">
        <v>207</v>
      </c>
      <c r="C55" s="124">
        <v>0.30499999999999999</v>
      </c>
      <c r="D55" s="124" t="s">
        <v>208</v>
      </c>
      <c r="E55" s="124">
        <v>1.56</v>
      </c>
      <c r="F55" s="125" t="s">
        <v>127</v>
      </c>
      <c r="G55" s="126">
        <v>0.6</v>
      </c>
      <c r="H55" s="124" t="s">
        <v>209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226</v>
      </c>
      <c r="B56" s="123" t="s">
        <v>207</v>
      </c>
      <c r="C56" s="124">
        <v>0.32300000000000001</v>
      </c>
      <c r="D56" s="124" t="s">
        <v>208</v>
      </c>
      <c r="E56" s="124">
        <v>1.56</v>
      </c>
      <c r="F56" s="125" t="s">
        <v>127</v>
      </c>
      <c r="G56" s="126">
        <v>0.6</v>
      </c>
      <c r="H56" s="124" t="s">
        <v>209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227</v>
      </c>
      <c r="B57" s="123" t="s">
        <v>207</v>
      </c>
      <c r="C57" s="124">
        <v>0.36699999999999999</v>
      </c>
      <c r="D57" s="124" t="s">
        <v>208</v>
      </c>
      <c r="E57" s="124">
        <v>1.56</v>
      </c>
      <c r="F57" s="125" t="s">
        <v>127</v>
      </c>
      <c r="G57" s="126">
        <v>0.6</v>
      </c>
      <c r="H57" s="124" t="s">
        <v>209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228</v>
      </c>
      <c r="B58" s="123" t="s">
        <v>207</v>
      </c>
      <c r="C58" s="124">
        <v>0.36</v>
      </c>
      <c r="D58" s="124" t="s">
        <v>208</v>
      </c>
      <c r="E58" s="124">
        <v>1.56</v>
      </c>
      <c r="F58" s="125" t="s">
        <v>127</v>
      </c>
      <c r="G58" s="126">
        <v>0.6</v>
      </c>
      <c r="H58" s="124" t="s">
        <v>209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229</v>
      </c>
      <c r="B59" s="123" t="s">
        <v>207</v>
      </c>
      <c r="C59" s="124">
        <v>0.36799999999999999</v>
      </c>
      <c r="D59" s="124" t="s">
        <v>208</v>
      </c>
      <c r="E59" s="124">
        <v>1.56</v>
      </c>
      <c r="F59" s="125" t="s">
        <v>127</v>
      </c>
      <c r="G59" s="126">
        <v>0.6</v>
      </c>
      <c r="H59" s="124" t="s">
        <v>209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230</v>
      </c>
      <c r="B60" s="123" t="s">
        <v>207</v>
      </c>
      <c r="C60" s="124">
        <v>0.30599999999999999</v>
      </c>
      <c r="D60" s="124" t="s">
        <v>208</v>
      </c>
      <c r="E60" s="124">
        <v>1.56</v>
      </c>
      <c r="F60" s="125" t="s">
        <v>127</v>
      </c>
      <c r="G60" s="126">
        <v>0.6</v>
      </c>
      <c r="H60" s="124" t="s">
        <v>209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231</v>
      </c>
      <c r="B61" s="123" t="s">
        <v>207</v>
      </c>
      <c r="C61" s="124">
        <v>0.313</v>
      </c>
      <c r="D61" s="124" t="s">
        <v>208</v>
      </c>
      <c r="E61" s="124">
        <v>1.56</v>
      </c>
      <c r="F61" s="125" t="s">
        <v>127</v>
      </c>
      <c r="G61" s="126">
        <v>0.6</v>
      </c>
      <c r="H61" s="124" t="s">
        <v>209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232</v>
      </c>
      <c r="B62" s="123" t="s">
        <v>233</v>
      </c>
      <c r="C62" s="124">
        <v>0.37</v>
      </c>
      <c r="D62" s="124" t="s">
        <v>126</v>
      </c>
      <c r="E62" s="124">
        <v>1.56</v>
      </c>
      <c r="F62" s="125" t="s">
        <v>127</v>
      </c>
      <c r="G62" s="126">
        <v>0.6</v>
      </c>
      <c r="H62" s="124" t="s">
        <v>209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234</v>
      </c>
      <c r="B63" s="123" t="s">
        <v>235</v>
      </c>
      <c r="C63" s="124">
        <v>0.45</v>
      </c>
      <c r="D63" s="124" t="s">
        <v>126</v>
      </c>
      <c r="E63" s="124">
        <v>1.3</v>
      </c>
      <c r="F63" s="125" t="s">
        <v>127</v>
      </c>
      <c r="G63" s="126">
        <v>0.45</v>
      </c>
      <c r="H63" s="124" t="s">
        <v>236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237</v>
      </c>
      <c r="B64" s="123" t="s">
        <v>238</v>
      </c>
      <c r="C64" s="124">
        <v>0.39</v>
      </c>
      <c r="D64" s="124" t="s">
        <v>126</v>
      </c>
      <c r="E64" s="124">
        <v>1.3</v>
      </c>
      <c r="F64" s="125" t="s">
        <v>127</v>
      </c>
      <c r="G64" s="126">
        <v>0.45</v>
      </c>
      <c r="H64" s="124" t="s">
        <v>236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239</v>
      </c>
      <c r="B65" s="123" t="s">
        <v>240</v>
      </c>
      <c r="C65" s="124">
        <v>0.44</v>
      </c>
      <c r="D65" s="124" t="s">
        <v>126</v>
      </c>
      <c r="E65" s="124">
        <v>1.3</v>
      </c>
      <c r="F65" s="125" t="s">
        <v>127</v>
      </c>
      <c r="G65" s="126">
        <v>0.45</v>
      </c>
      <c r="H65" s="124" t="s">
        <v>236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16</v>
      </c>
      <c r="B66" s="123" t="s">
        <v>241</v>
      </c>
      <c r="C66" s="124">
        <v>0.46</v>
      </c>
      <c r="D66" s="124" t="s">
        <v>126</v>
      </c>
      <c r="E66" s="124">
        <v>1.3</v>
      </c>
      <c r="F66" s="125" t="s">
        <v>127</v>
      </c>
      <c r="G66" s="126">
        <v>0.45</v>
      </c>
      <c r="H66" s="124" t="s">
        <v>236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242</v>
      </c>
      <c r="B67" s="123" t="s">
        <v>243</v>
      </c>
      <c r="C67" s="124">
        <v>0.46</v>
      </c>
      <c r="D67" s="124" t="s">
        <v>126</v>
      </c>
      <c r="E67" s="124">
        <v>1.3</v>
      </c>
      <c r="F67" s="125" t="s">
        <v>127</v>
      </c>
      <c r="G67" s="126">
        <v>0.45</v>
      </c>
      <c r="H67" s="124" t="s">
        <v>151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244</v>
      </c>
      <c r="B68" s="123" t="s">
        <v>245</v>
      </c>
      <c r="C68" s="124">
        <v>0.44</v>
      </c>
      <c r="D68" s="124" t="s">
        <v>126</v>
      </c>
      <c r="E68" s="124">
        <v>1.3</v>
      </c>
      <c r="F68" s="125" t="s">
        <v>127</v>
      </c>
      <c r="G68" s="126">
        <v>0.45</v>
      </c>
      <c r="H68" s="124" t="s">
        <v>236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246</v>
      </c>
      <c r="B69" s="123" t="s">
        <v>247</v>
      </c>
      <c r="C69" s="124">
        <v>0.46</v>
      </c>
      <c r="D69" s="124" t="s">
        <v>126</v>
      </c>
      <c r="E69" s="124">
        <v>1.3</v>
      </c>
      <c r="F69" s="125" t="s">
        <v>127</v>
      </c>
      <c r="G69" s="126">
        <v>0.45</v>
      </c>
      <c r="H69" s="124" t="s">
        <v>236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248</v>
      </c>
      <c r="B70" s="123" t="s">
        <v>249</v>
      </c>
      <c r="C70" s="124">
        <v>0.48</v>
      </c>
      <c r="D70" s="124" t="s">
        <v>126</v>
      </c>
      <c r="E70" s="124">
        <v>2.4</v>
      </c>
      <c r="F70" s="124" t="s">
        <v>250</v>
      </c>
      <c r="G70" s="126">
        <v>0.45</v>
      </c>
      <c r="H70" s="124" t="s">
        <v>236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251</v>
      </c>
      <c r="B71" s="123" t="s">
        <v>252</v>
      </c>
      <c r="C71" s="124">
        <v>0.46</v>
      </c>
      <c r="D71" s="124" t="s">
        <v>253</v>
      </c>
      <c r="E71" s="124">
        <v>1.3</v>
      </c>
      <c r="F71" s="125" t="s">
        <v>127</v>
      </c>
      <c r="G71" s="126">
        <v>0.45</v>
      </c>
      <c r="H71" s="124" t="s">
        <v>236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254</v>
      </c>
      <c r="B72" s="123" t="s">
        <v>255</v>
      </c>
      <c r="C72" s="124">
        <v>0.44</v>
      </c>
      <c r="D72" s="124" t="s">
        <v>126</v>
      </c>
      <c r="E72" s="124">
        <v>1.3</v>
      </c>
      <c r="F72" s="125" t="s">
        <v>127</v>
      </c>
      <c r="G72" s="126">
        <v>0.45</v>
      </c>
      <c r="H72" s="124" t="s">
        <v>236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256</v>
      </c>
      <c r="B73" s="123" t="s">
        <v>257</v>
      </c>
      <c r="C73" s="124">
        <v>0.46</v>
      </c>
      <c r="D73" s="124" t="s">
        <v>258</v>
      </c>
      <c r="E73" s="124">
        <v>1.3</v>
      </c>
      <c r="F73" s="125" t="s">
        <v>127</v>
      </c>
      <c r="G73" s="126">
        <v>0.45</v>
      </c>
      <c r="H73" s="124" t="s">
        <v>236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259</v>
      </c>
      <c r="B74" s="123" t="s">
        <v>260</v>
      </c>
      <c r="C74" s="124">
        <v>0.34</v>
      </c>
      <c r="D74" s="124" t="s">
        <v>126</v>
      </c>
      <c r="E74" s="124">
        <v>1.3</v>
      </c>
      <c r="F74" s="125" t="s">
        <v>127</v>
      </c>
      <c r="G74" s="126">
        <v>0.45</v>
      </c>
      <c r="H74" s="124" t="s">
        <v>236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261</v>
      </c>
      <c r="B75" s="123" t="s">
        <v>262</v>
      </c>
      <c r="C75" s="124">
        <v>0.5</v>
      </c>
      <c r="D75" s="124" t="s">
        <v>126</v>
      </c>
      <c r="E75" s="124">
        <v>1.56</v>
      </c>
      <c r="F75" s="125" t="s">
        <v>127</v>
      </c>
      <c r="G75" s="126">
        <v>0.53</v>
      </c>
      <c r="H75" s="124" t="s">
        <v>180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263</v>
      </c>
      <c r="B76" s="123" t="s">
        <v>264</v>
      </c>
      <c r="C76" s="124">
        <v>0.57999999999999996</v>
      </c>
      <c r="D76" s="124" t="s">
        <v>126</v>
      </c>
      <c r="E76" s="124">
        <v>1.56</v>
      </c>
      <c r="F76" s="125" t="s">
        <v>127</v>
      </c>
      <c r="G76" s="126">
        <v>0.3</v>
      </c>
      <c r="H76" s="124" t="s">
        <v>265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266</v>
      </c>
      <c r="B77" s="123" t="s">
        <v>267</v>
      </c>
      <c r="C77" s="124">
        <v>0.37</v>
      </c>
      <c r="D77" s="124" t="s">
        <v>126</v>
      </c>
      <c r="E77" s="124">
        <v>1.3</v>
      </c>
      <c r="F77" s="125" t="s">
        <v>127</v>
      </c>
      <c r="G77" s="126">
        <v>0.55000000000000004</v>
      </c>
      <c r="H77" s="124" t="s">
        <v>151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268</v>
      </c>
      <c r="B78" s="123" t="s">
        <v>269</v>
      </c>
      <c r="C78" s="124">
        <v>0.37</v>
      </c>
      <c r="D78" s="124" t="s">
        <v>126</v>
      </c>
      <c r="E78" s="124">
        <v>1.3</v>
      </c>
      <c r="F78" s="125" t="s">
        <v>127</v>
      </c>
      <c r="G78" s="126">
        <v>0.55000000000000004</v>
      </c>
      <c r="H78" s="124" t="s">
        <v>151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270</v>
      </c>
      <c r="B79" s="123" t="s">
        <v>271</v>
      </c>
      <c r="C79" s="124">
        <v>0.38</v>
      </c>
      <c r="D79" s="124" t="s">
        <v>126</v>
      </c>
      <c r="E79" s="124">
        <v>1.3</v>
      </c>
      <c r="F79" s="125" t="s">
        <v>127</v>
      </c>
      <c r="G79" s="126">
        <v>0.55000000000000004</v>
      </c>
      <c r="H79" s="124" t="s">
        <v>142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272</v>
      </c>
      <c r="B80" s="123" t="s">
        <v>273</v>
      </c>
      <c r="C80" s="124">
        <v>0.36</v>
      </c>
      <c r="D80" s="124" t="s">
        <v>126</v>
      </c>
      <c r="E80" s="124">
        <v>1.3</v>
      </c>
      <c r="F80" s="125" t="s">
        <v>127</v>
      </c>
      <c r="G80" s="126">
        <v>0.55000000000000004</v>
      </c>
      <c r="H80" s="124" t="s">
        <v>142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274</v>
      </c>
      <c r="B81" s="123" t="s">
        <v>275</v>
      </c>
      <c r="C81" s="124">
        <v>0.37</v>
      </c>
      <c r="D81" s="124" t="s">
        <v>126</v>
      </c>
      <c r="E81" s="124">
        <v>1.56</v>
      </c>
      <c r="F81" s="125" t="s">
        <v>127</v>
      </c>
      <c r="G81" s="126">
        <v>0.43</v>
      </c>
      <c r="H81" s="124" t="s">
        <v>128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276</v>
      </c>
      <c r="B82" s="123" t="s">
        <v>277</v>
      </c>
      <c r="C82" s="124">
        <v>0.35</v>
      </c>
      <c r="D82" s="124" t="s">
        <v>278</v>
      </c>
      <c r="E82" s="124">
        <v>1.3</v>
      </c>
      <c r="F82" s="125" t="s">
        <v>127</v>
      </c>
      <c r="G82" s="126">
        <v>0.55000000000000004</v>
      </c>
      <c r="H82" s="124" t="s">
        <v>142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279</v>
      </c>
      <c r="B83" s="123" t="s">
        <v>280</v>
      </c>
      <c r="C83" s="124">
        <v>0.34</v>
      </c>
      <c r="D83" s="124" t="s">
        <v>126</v>
      </c>
      <c r="E83" s="124">
        <v>1.3</v>
      </c>
      <c r="F83" s="125" t="s">
        <v>127</v>
      </c>
      <c r="G83" s="126">
        <v>0.55000000000000004</v>
      </c>
      <c r="H83" s="124" t="s">
        <v>142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281</v>
      </c>
      <c r="B84" s="123" t="s">
        <v>282</v>
      </c>
      <c r="C84" s="124">
        <v>0.31</v>
      </c>
      <c r="D84" s="124" t="s">
        <v>126</v>
      </c>
      <c r="E84" s="124">
        <v>1.3</v>
      </c>
      <c r="F84" s="125" t="s">
        <v>127</v>
      </c>
      <c r="G84" s="126">
        <v>0.55000000000000004</v>
      </c>
      <c r="H84" s="124" t="s">
        <v>142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283</v>
      </c>
      <c r="B85" s="123" t="s">
        <v>284</v>
      </c>
      <c r="C85" s="124">
        <v>0.43</v>
      </c>
      <c r="D85" s="124" t="s">
        <v>126</v>
      </c>
      <c r="E85" s="124">
        <v>1.56</v>
      </c>
      <c r="F85" s="125" t="s">
        <v>127</v>
      </c>
      <c r="G85" s="126">
        <v>0.53</v>
      </c>
      <c r="H85" s="124" t="s">
        <v>180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285</v>
      </c>
      <c r="B86" s="123" t="s">
        <v>286</v>
      </c>
      <c r="C86" s="124">
        <v>0.38</v>
      </c>
      <c r="D86" s="124" t="s">
        <v>126</v>
      </c>
      <c r="E86" s="124">
        <v>1.56</v>
      </c>
      <c r="F86" s="125" t="s">
        <v>127</v>
      </c>
      <c r="G86" s="126">
        <v>0.6</v>
      </c>
      <c r="H86" s="124" t="s">
        <v>287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288</v>
      </c>
      <c r="B87" s="252" t="s">
        <v>289</v>
      </c>
      <c r="C87" s="253">
        <v>0.41</v>
      </c>
      <c r="D87" s="253" t="s">
        <v>290</v>
      </c>
      <c r="E87" s="253">
        <v>1.56</v>
      </c>
      <c r="F87" s="254" t="s">
        <v>127</v>
      </c>
      <c r="G87" s="255">
        <v>0.43</v>
      </c>
      <c r="H87" s="253" t="s">
        <v>128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291</v>
      </c>
      <c r="B88" s="130"/>
      <c r="C88" s="124">
        <v>0.42</v>
      </c>
      <c r="D88" s="124" t="s">
        <v>126</v>
      </c>
      <c r="E88" s="124">
        <v>1.3</v>
      </c>
      <c r="F88" s="125" t="s">
        <v>127</v>
      </c>
      <c r="G88" s="131"/>
      <c r="H88" s="130"/>
      <c r="I88" s="132"/>
    </row>
    <row r="89" spans="1:14" ht="15" thickBot="1" x14ac:dyDescent="0.4">
      <c r="A89" s="133" t="s">
        <v>292</v>
      </c>
      <c r="B89" s="134"/>
      <c r="C89" s="135">
        <v>0.56999999999999995</v>
      </c>
      <c r="D89" s="136" t="s">
        <v>126</v>
      </c>
      <c r="E89" s="135">
        <v>1.56</v>
      </c>
      <c r="F89" s="135" t="s">
        <v>127</v>
      </c>
      <c r="G89" s="134"/>
      <c r="H89" s="134"/>
      <c r="I89" s="137"/>
    </row>
    <row r="93" spans="1:14" x14ac:dyDescent="0.35">
      <c r="A93" s="122" t="s">
        <v>87</v>
      </c>
    </row>
    <row r="94" spans="1:14" x14ac:dyDescent="0.35">
      <c r="A94" s="122" t="s">
        <v>88</v>
      </c>
    </row>
    <row r="95" spans="1:14" x14ac:dyDescent="0.35">
      <c r="A95" s="122" t="s">
        <v>89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90" zoomScaleNormal="90" workbookViewId="0">
      <selection activeCell="M17" sqref="M17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293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294</v>
      </c>
      <c r="B5" s="139" t="s">
        <v>295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296</v>
      </c>
      <c r="F5" s="140" t="s">
        <v>297</v>
      </c>
      <c r="G5" s="140" t="s">
        <v>298</v>
      </c>
      <c r="H5" s="141" t="s">
        <v>299</v>
      </c>
      <c r="I5" s="142" t="s">
        <v>300</v>
      </c>
      <c r="J5" s="143" t="s">
        <v>301</v>
      </c>
      <c r="K5" s="144" t="s">
        <v>302</v>
      </c>
      <c r="L5" s="84" t="s">
        <v>303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laricio</v>
      </c>
      <c r="B6" s="146">
        <f>'Données projet'!D9</f>
        <v>5.65</v>
      </c>
      <c r="C6" s="147">
        <f ca="1">IF(OR('Données projet'!B9="",'Données projet'!C9="",'Données projet'!C9=0%),0,Calculateur!S3)</f>
        <v>283.73369613548124</v>
      </c>
      <c r="D6" s="147">
        <f>IF(OR('Données projet'!B9="",'Données projet'!C9="",'Données projet'!C9=0%),0,Calculateur!T3)</f>
        <v>249.77804091581208</v>
      </c>
      <c r="E6" s="147">
        <f ca="1">MIN(C6,D6)</f>
        <v>249.77804091581208</v>
      </c>
      <c r="F6" s="147">
        <f ca="1">E6*B6</f>
        <v>1411.2459311743385</v>
      </c>
      <c r="G6" s="147">
        <f ca="1">F6*(100%-'Données projet'!$C$24)*(100%-'Données projet'!$C$25)*(100%-'Données projet'!$C$26)*(100%-'Données projet'!$C$27)</f>
        <v>1206.6152711540594</v>
      </c>
      <c r="H6" s="148">
        <f>IF(OR('Données projet'!B9="",'Données projet'!C9="",'Données projet'!C9=0%),0,AVERAGE(Calculateur!$AC$3:$AC$33)*B6)</f>
        <v>47.074643949348697</v>
      </c>
      <c r="I6" s="149">
        <f>H6*(100%-'Données projet'!$C$24)*(100%-'Données projet'!$C$25)*(100%-'Données projet'!$C$26)*(100%-'Données projet'!$C$27)</f>
        <v>40.248820576693134</v>
      </c>
      <c r="J6" s="150">
        <f>IF(OR('Données projet'!B9="",'Données projet'!C9="",'Données projet'!C9=0%),0,SUM(Calculateur!$V$3:$V$33)*VLOOKUP('Données projet'!$B$9,Paramètres!$A$1:$I$89,9,0)*B6)</f>
        <v>346.98866538461539</v>
      </c>
      <c r="K6" s="151">
        <f>J6*(100%-'Données projet'!$C$24)*(100%-'Données projet'!$C$25)*(100%-'Données projet'!$C$26)*(100%-'Données projet'!$C$27)</f>
        <v>296.67530890384614</v>
      </c>
      <c r="L6" s="152">
        <f ca="1">G6+I6+K6</f>
        <v>1543.5394006345987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Cèdre de l'Atlas</v>
      </c>
      <c r="B7" s="154">
        <f>'Données projet'!D10</f>
        <v>2.65</v>
      </c>
      <c r="C7" s="147">
        <f ca="1">IF(OR('Données projet'!B10="",'Données projet'!C10="",'Données projet'!C10=0%),0,Calculateur!AN3)</f>
        <v>205.73717397588365</v>
      </c>
      <c r="D7" s="147">
        <f>IF(OR('Données projet'!B10="",'Données projet'!C10="",'Données projet'!C10=0%),0,Calculateur!AO3)</f>
        <v>190.64998698136026</v>
      </c>
      <c r="E7" s="147">
        <f t="shared" ref="E7:E15" ca="1" si="0">MIN(C7,D7)</f>
        <v>190.64998698136026</v>
      </c>
      <c r="F7" s="147">
        <f t="shared" ref="F7:F15" ca="1" si="1">E7*B7</f>
        <v>505.22246550060464</v>
      </c>
      <c r="G7" s="147">
        <f ca="1">F7*(100%-'Données projet'!$C$24)*(100%-'Données projet'!$C$25)*(100%-'Données projet'!$C$26)*(100%-'Données projet'!$C$27)</f>
        <v>431.96520800301693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431.96520800301693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Mélèze hybride</v>
      </c>
      <c r="B8" s="154">
        <f>'Données projet'!D11</f>
        <v>0.40000000000000008</v>
      </c>
      <c r="C8" s="147">
        <f ca="1">IF(OR('Données projet'!B11="",'Données projet'!C11="",'Données projet'!C11=0%),0,Calculateur!BI3)</f>
        <v>159.92263609041913</v>
      </c>
      <c r="D8" s="147">
        <f>IF(OR('Données projet'!B11="",'Données projet'!C11="",'Données projet'!C11=0%),0,Calculateur!BJ3)</f>
        <v>271.78119133009307</v>
      </c>
      <c r="E8" s="147">
        <f t="shared" ca="1" si="0"/>
        <v>159.92263609041913</v>
      </c>
      <c r="F8" s="147">
        <f t="shared" ca="1" si="1"/>
        <v>63.969054436167667</v>
      </c>
      <c r="G8" s="147">
        <f ca="1">F8*(100%-'Données projet'!$C$24)*(100%-'Données projet'!$C$25)*(100%-'Données projet'!$C$26)*(100%-'Données projet'!$C$27)</f>
        <v>54.693541542923356</v>
      </c>
      <c r="H8" s="155">
        <f>IF(OR('Données projet'!B11="",'Données projet'!C11="",'Données projet'!C11=0%),0,AVERAGE(Calculateur!$BS$3:$BS$33)*B8)</f>
        <v>9.8017347000106074</v>
      </c>
      <c r="I8" s="149">
        <f>H8*(100%-'Données projet'!$C$24)*(100%-'Données projet'!$C$25)*(100%-'Données projet'!$C$26)*(100%-'Données projet'!$C$27)</f>
        <v>8.3804831685090679</v>
      </c>
      <c r="J8" s="150">
        <f>IF(OR('Données projet'!B11="",'Données projet'!C11="",'Données projet'!C11=0%),0,SUM(Calculateur!$BL$3:$BL$33)*VLOOKUP('Données projet'!$B$11,Paramètres!$A$1:$I$89,9,0)*B8)</f>
        <v>49.708000000000006</v>
      </c>
      <c r="K8" s="151">
        <f>J8*(100%-'Données projet'!$C$24)*(100%-'Données projet'!$C$25)*(100%-'Données projet'!$C$26)*(100%-'Données projet'!$C$27)</f>
        <v>42.500340000000008</v>
      </c>
      <c r="L8" s="152">
        <f t="shared" ca="1" si="2"/>
        <v>105.57436471143242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sessile</v>
      </c>
      <c r="B9" s="154">
        <f>'Données projet'!D12</f>
        <v>1.3</v>
      </c>
      <c r="C9" s="147">
        <f ca="1">IF(OR('Données projet'!B12="",'Données projet'!C12="",'Données projet'!C12=0%),0,Calculateur!CD3)</f>
        <v>280.25710840677186</v>
      </c>
      <c r="D9" s="147">
        <f>IF(OR('Données projet'!B12="",'Données projet'!C12="",'Données projet'!C12=0%),0,Calculateur!CE3)</f>
        <v>209.65224013288037</v>
      </c>
      <c r="E9" s="147">
        <f t="shared" ca="1" si="0"/>
        <v>209.65224013288037</v>
      </c>
      <c r="F9" s="147">
        <f t="shared" ca="1" si="1"/>
        <v>272.54791217274447</v>
      </c>
      <c r="G9" s="147">
        <f ca="1">F9*(100%-'Données projet'!$C$24)*(100%-'Données projet'!$C$25)*(100%-'Données projet'!$C$26)*(100%-'Données projet'!$C$27)</f>
        <v>233.02846490769653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233.02846490769653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Chêne chevelu</v>
      </c>
      <c r="B10" s="154">
        <f>'Données projet'!D13</f>
        <v>1</v>
      </c>
      <c r="C10" s="147">
        <f ca="1">IF(OR('Données projet'!B13="",'Données projet'!C13="",'Données projet'!C13=0%),0,Calculateur!CY3)</f>
        <v>330.14201227773452</v>
      </c>
      <c r="D10" s="147">
        <f>IF(OR('Données projet'!B13="",'Données projet'!C13="",'Données projet'!C13=0%),0,Calculateur!CZ3)</f>
        <v>307.07297894926467</v>
      </c>
      <c r="E10" s="147">
        <f t="shared" ca="1" si="0"/>
        <v>307.07297894926467</v>
      </c>
      <c r="F10" s="147">
        <f t="shared" ca="1" si="1"/>
        <v>307.07297894926467</v>
      </c>
      <c r="G10" s="147">
        <f ca="1">F10*(100%-'Données projet'!$C$24)*(100%-'Données projet'!$C$25)*(100%-'Données projet'!$C$26)*(100%-'Données projet'!$C$27)</f>
        <v>262.54739700162128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262.54739700162128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2560.0583422331201</v>
      </c>
      <c r="G16" s="166">
        <f t="shared" ca="1" si="3"/>
        <v>2188.8498826093178</v>
      </c>
      <c r="H16" s="167">
        <f t="shared" si="3"/>
        <v>56.876378649359303</v>
      </c>
      <c r="I16" s="167">
        <f t="shared" si="3"/>
        <v>48.629303745202201</v>
      </c>
      <c r="J16" s="168">
        <f t="shared" si="3"/>
        <v>396.69666538461541</v>
      </c>
      <c r="K16" s="168">
        <f t="shared" si="3"/>
        <v>339.17564890384614</v>
      </c>
      <c r="L16" s="169">
        <f t="shared" ca="1" si="3"/>
        <v>2576.6548352583659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304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Mélèze hybride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Chêne chevelu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1" zoomScale="85" zoomScaleNormal="85" workbookViewId="0">
      <selection activeCell="F17" sqref="F1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305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306</v>
      </c>
      <c r="I4" s="258"/>
      <c r="K4" s="300" t="s">
        <v>307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72</v>
      </c>
      <c r="O7" s="247"/>
      <c r="P7" s="248"/>
      <c r="Q7" s="249"/>
      <c r="R7" s="292" t="s">
        <v>308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309</v>
      </c>
      <c r="C9" s="23"/>
      <c r="D9" s="23"/>
      <c r="E9" s="23"/>
      <c r="F9" s="230"/>
      <c r="G9" s="93" t="s">
        <v>310</v>
      </c>
      <c r="J9" s="200"/>
      <c r="K9" s="208"/>
      <c r="O9" s="23"/>
      <c r="P9" s="23"/>
      <c r="Q9" s="234"/>
      <c r="R9" s="23"/>
      <c r="S9" s="4"/>
      <c r="T9" s="36" t="s">
        <v>311</v>
      </c>
      <c r="U9" s="176" t="s">
        <v>312</v>
      </c>
      <c r="V9" s="36" t="s">
        <v>313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314</v>
      </c>
      <c r="C10" s="23"/>
      <c r="D10" s="23"/>
      <c r="E10" s="23"/>
      <c r="F10" s="230"/>
      <c r="G10" s="93" t="s">
        <v>315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-84.153861645756024</v>
      </c>
      <c r="U10" s="178">
        <f>'Données projet'!D9</f>
        <v>5.65</v>
      </c>
      <c r="V10" s="177">
        <f>U10*T10</f>
        <v>-475.46931829852156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316</v>
      </c>
      <c r="B11" s="23"/>
      <c r="C11" s="23"/>
      <c r="D11" s="23"/>
      <c r="E11" s="23"/>
      <c r="F11" s="230"/>
      <c r="G11" s="93" t="s">
        <v>317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-2707.3529921900526</v>
      </c>
      <c r="U11" s="178">
        <f>'Données projet'!D10</f>
        <v>2.65</v>
      </c>
      <c r="V11" s="177">
        <f t="shared" ref="V11" si="0">U11*T11</f>
        <v>-7174.4854293036396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hybride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2696.2664714227808</v>
      </c>
      <c r="U12" s="178">
        <f>'Données projet'!D11</f>
        <v>0.40000000000000008</v>
      </c>
      <c r="V12" s="177">
        <f t="shared" ref="V12:V19" si="1">U12*T12</f>
        <v>1078.5065885691126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318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-1731.7661764289408</v>
      </c>
      <c r="U13" s="178">
        <f>'Données projet'!D12</f>
        <v>1.3</v>
      </c>
      <c r="V13" s="177">
        <f t="shared" si="1"/>
        <v>-2251.296029357623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91</v>
      </c>
      <c r="I14" s="36" t="s">
        <v>319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chevelu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-457.09004376312811</v>
      </c>
      <c r="U14" s="178">
        <f>'Données projet'!D13</f>
        <v>1</v>
      </c>
      <c r="V14" s="177">
        <f t="shared" si="1"/>
        <v>-457.09004376312811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320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49</v>
      </c>
      <c r="B16" s="48" t="s">
        <v>321</v>
      </c>
      <c r="C16" s="48" t="s">
        <v>322</v>
      </c>
      <c r="D16" s="36" t="s">
        <v>323</v>
      </c>
      <c r="E16" s="36" t="s">
        <v>324</v>
      </c>
      <c r="F16" s="230"/>
      <c r="G16" s="303"/>
      <c r="H16" s="190"/>
      <c r="I16" s="191"/>
      <c r="J16" s="202"/>
      <c r="K16" s="208"/>
      <c r="L16" s="300" t="s">
        <v>325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207</v>
      </c>
      <c r="C17" s="198" t="s">
        <v>207</v>
      </c>
      <c r="D17" s="197" t="s">
        <v>207</v>
      </c>
      <c r="E17" s="193">
        <f>1320+1029</f>
        <v>2349</v>
      </c>
      <c r="F17" s="230"/>
      <c r="G17" s="303"/>
      <c r="J17" s="202"/>
      <c r="K17" s="208"/>
      <c r="L17" s="260" t="s">
        <v>326</v>
      </c>
      <c r="M17" s="262"/>
      <c r="N17" s="175">
        <f>VLOOKUP(N16,Calculateur!$A$2:$H$153,3,0)/VLOOKUP('Scénario référence'!$G$15,Paramètres!A1:I89,3,0)/VLOOKUP('Scénario référence'!$G$15,Paramètres!A1:I89,5,0)</f>
        <v>80.000000000000156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207</v>
      </c>
      <c r="C18" s="198" t="s">
        <v>207</v>
      </c>
      <c r="D18" s="197" t="s">
        <v>207</v>
      </c>
      <c r="E18" s="193"/>
      <c r="F18" s="230"/>
      <c r="G18" s="303"/>
      <c r="J18" s="202"/>
      <c r="K18" s="208"/>
      <c r="L18" s="260" t="s">
        <v>322</v>
      </c>
      <c r="M18" s="262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207</v>
      </c>
      <c r="C19" s="198" t="s">
        <v>207</v>
      </c>
      <c r="D19" s="197" t="s">
        <v>207</v>
      </c>
      <c r="E19" s="193"/>
      <c r="F19" s="230"/>
      <c r="G19" s="303"/>
      <c r="H19" s="212" t="s">
        <v>91</v>
      </c>
      <c r="I19" s="212" t="s">
        <v>327</v>
      </c>
      <c r="J19" s="93"/>
      <c r="K19" s="173"/>
      <c r="L19" s="300" t="s">
        <v>328</v>
      </c>
      <c r="M19" s="301"/>
      <c r="N19" s="179">
        <f>N17*N18</f>
        <v>3200.0000000000064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207</v>
      </c>
      <c r="C20" s="198" t="s">
        <v>207</v>
      </c>
      <c r="D20" s="197" t="s">
        <v>207</v>
      </c>
      <c r="E20" s="193"/>
      <c r="F20" s="230"/>
      <c r="G20" s="303"/>
      <c r="H20" s="190">
        <v>0</v>
      </c>
      <c r="I20" s="191">
        <f>(1800+450)*1.1</f>
        <v>2475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207</v>
      </c>
      <c r="C21" s="198" t="s">
        <v>207</v>
      </c>
      <c r="D21" s="197" t="s">
        <v>207</v>
      </c>
      <c r="E21" s="193"/>
      <c r="F21" s="230"/>
      <c r="H21" s="190">
        <v>0</v>
      </c>
      <c r="I21" s="191">
        <v>878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207</v>
      </c>
      <c r="C22" s="198" t="s">
        <v>207</v>
      </c>
      <c r="D22" s="197" t="s">
        <v>207</v>
      </c>
      <c r="E22" s="193"/>
      <c r="F22" s="230"/>
      <c r="H22" s="190">
        <v>0</v>
      </c>
      <c r="I22" s="191">
        <f>480.48+456</f>
        <v>936.48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19</v>
      </c>
      <c r="B23" s="181">
        <f>'Données projet'!D36</f>
        <v>46.53846153846154</v>
      </c>
      <c r="C23" s="193">
        <v>15</v>
      </c>
      <c r="D23" s="182">
        <f>B23*C23</f>
        <v>698.07692307692309</v>
      </c>
      <c r="E23" s="193">
        <v>150</v>
      </c>
      <c r="F23" s="230"/>
      <c r="H23" s="190">
        <v>0</v>
      </c>
      <c r="I23" s="191">
        <v>1105.5</v>
      </c>
      <c r="K23" s="208"/>
      <c r="L23" s="302" t="s">
        <v>329</v>
      </c>
      <c r="M23" s="302"/>
      <c r="N23" s="302"/>
      <c r="O23" s="23"/>
      <c r="P23" s="23"/>
      <c r="Q23" s="234"/>
      <c r="R23" s="23"/>
      <c r="S23" s="36" t="s">
        <v>330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-97839.909466330457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40.41538461538461</v>
      </c>
      <c r="C24" s="193">
        <v>25</v>
      </c>
      <c r="D24" s="182">
        <f t="shared" ref="D24:D42" si="2">B24*C24</f>
        <v>1010.3846153846152</v>
      </c>
      <c r="E24" s="193">
        <v>150</v>
      </c>
      <c r="F24" s="233"/>
      <c r="H24" s="190">
        <v>1</v>
      </c>
      <c r="I24" s="191">
        <v>605</v>
      </c>
      <c r="K24" s="208"/>
      <c r="O24" s="23"/>
      <c r="P24" s="23"/>
      <c r="Q24" s="234"/>
      <c r="R24" s="23"/>
      <c r="S24" s="36" t="s">
        <v>331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1040.4936346676629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55.869230769230761</v>
      </c>
      <c r="C25" s="193">
        <v>25</v>
      </c>
      <c r="D25" s="182">
        <f t="shared" si="2"/>
        <v>1396.7307692307691</v>
      </c>
      <c r="E25" s="193">
        <v>150</v>
      </c>
      <c r="F25" s="233"/>
      <c r="H25" s="190">
        <v>2</v>
      </c>
      <c r="I25" s="191">
        <v>605</v>
      </c>
      <c r="K25" s="208"/>
      <c r="L25" s="130" t="s">
        <v>332</v>
      </c>
      <c r="M25" s="130"/>
      <c r="N25" s="130"/>
      <c r="O25" s="130"/>
      <c r="P25" s="192"/>
      <c r="Q25" s="234"/>
      <c r="R25" s="23"/>
      <c r="S25" s="186" t="s">
        <v>333</v>
      </c>
      <c r="T25" s="299">
        <f ca="1">T23-T24</f>
        <v>-98880.403100998126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37</v>
      </c>
      <c r="B26" s="181">
        <f>'Données projet'!D39</f>
        <v>43.623076923076923</v>
      </c>
      <c r="C26" s="193">
        <v>25</v>
      </c>
      <c r="D26" s="182">
        <f t="shared" si="2"/>
        <v>1090.5769230769231</v>
      </c>
      <c r="E26" s="193">
        <v>150</v>
      </c>
      <c r="F26" s="233"/>
      <c r="G26" s="229"/>
      <c r="H26" s="190">
        <v>3</v>
      </c>
      <c r="I26" s="191">
        <v>605</v>
      </c>
      <c r="K26" s="208"/>
      <c r="L26" s="286" t="s">
        <v>334</v>
      </c>
      <c r="M26" s="287"/>
      <c r="N26" s="287"/>
      <c r="O26" s="287"/>
      <c r="P26" s="288"/>
      <c r="Q26" s="234"/>
      <c r="R26" s="23"/>
      <c r="S26" s="186" t="s">
        <v>335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46</v>
      </c>
      <c r="B27" s="181">
        <f>'Données projet'!D40</f>
        <v>72.561538461538461</v>
      </c>
      <c r="C27" s="193">
        <v>25</v>
      </c>
      <c r="D27" s="182">
        <f t="shared" si="2"/>
        <v>1814.0384615384614</v>
      </c>
      <c r="E27" s="193">
        <v>150</v>
      </c>
      <c r="F27" s="233"/>
      <c r="G27" s="229"/>
      <c r="H27" s="190">
        <v>4</v>
      </c>
      <c r="I27" s="191">
        <v>605</v>
      </c>
      <c r="K27" s="208"/>
      <c r="L27" s="289"/>
      <c r="M27" s="290"/>
      <c r="N27" s="290"/>
      <c r="O27" s="290"/>
      <c r="P27" s="291"/>
      <c r="Q27" s="234"/>
      <c r="R27" s="23"/>
      <c r="S27" s="295" t="s">
        <v>336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56</v>
      </c>
      <c r="B28" s="181">
        <f>'Données projet'!D41</f>
        <v>60.092307692307692</v>
      </c>
      <c r="C28" s="193">
        <v>30</v>
      </c>
      <c r="D28" s="182">
        <f t="shared" si="2"/>
        <v>1802.7692307692307</v>
      </c>
      <c r="E28" s="193">
        <v>150</v>
      </c>
      <c r="F28" s="233"/>
      <c r="G28" s="205"/>
      <c r="H28" s="190">
        <v>5</v>
      </c>
      <c r="I28" s="191">
        <v>605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66</v>
      </c>
      <c r="B29" s="181">
        <f>'Données projet'!D42</f>
        <v>68.146153846153851</v>
      </c>
      <c r="C29" s="193">
        <v>35</v>
      </c>
      <c r="D29" s="182">
        <f t="shared" si="2"/>
        <v>2385.1153846153848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76</v>
      </c>
      <c r="B30" s="181">
        <f>'Données projet'!D43</f>
        <v>520.22307692307686</v>
      </c>
      <c r="C30" s="193">
        <v>40</v>
      </c>
      <c r="D30" s="182">
        <f t="shared" si="2"/>
        <v>20808.923076923074</v>
      </c>
      <c r="E30" s="193">
        <v>150</v>
      </c>
      <c r="F30" s="233"/>
      <c r="G30" s="203"/>
      <c r="H30" s="190"/>
      <c r="I30" s="191"/>
      <c r="K30" s="183"/>
      <c r="L30" s="36" t="s">
        <v>337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91</v>
      </c>
      <c r="P32" s="85" t="s">
        <v>323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49</v>
      </c>
      <c r="B47" s="48" t="s">
        <v>321</v>
      </c>
      <c r="C47" s="48" t="s">
        <v>322</v>
      </c>
      <c r="D47" s="36" t="s">
        <v>323</v>
      </c>
      <c r="E47" s="36" t="s">
        <v>324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207</v>
      </c>
      <c r="C48" s="198" t="s">
        <v>207</v>
      </c>
      <c r="D48" s="197" t="s">
        <v>207</v>
      </c>
      <c r="E48" s="193">
        <f>1320+2532</f>
        <v>3852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207</v>
      </c>
      <c r="C49" s="198" t="s">
        <v>207</v>
      </c>
      <c r="D49" s="197" t="s">
        <v>207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207</v>
      </c>
      <c r="C50" s="198" t="s">
        <v>207</v>
      </c>
      <c r="D50" s="197" t="s">
        <v>207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207</v>
      </c>
      <c r="C51" s="198" t="s">
        <v>207</v>
      </c>
      <c r="D51" s="197" t="s">
        <v>207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207</v>
      </c>
      <c r="C52" s="198" t="s">
        <v>207</v>
      </c>
      <c r="D52" s="197" t="s">
        <v>207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207</v>
      </c>
      <c r="C53" s="198" t="s">
        <v>207</v>
      </c>
      <c r="D53" s="197" t="s">
        <v>207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42</v>
      </c>
      <c r="B55" s="181">
        <f>'Données projet'!D63</f>
        <v>179.84615384615384</v>
      </c>
      <c r="C55" s="191">
        <v>10</v>
      </c>
      <c r="D55" s="179">
        <f t="shared" ref="D55:D73" si="4">B55*C55</f>
        <v>1798.4615384615383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49</v>
      </c>
      <c r="B56" s="181">
        <f>'Données projet'!D64</f>
        <v>94.476923076923072</v>
      </c>
      <c r="C56" s="191">
        <v>18</v>
      </c>
      <c r="D56" s="179">
        <f t="shared" si="4"/>
        <v>1700.5846153846153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56</v>
      </c>
      <c r="B57" s="181">
        <f>'Données projet'!D65</f>
        <v>72.769230769230759</v>
      </c>
      <c r="C57" s="191">
        <v>25</v>
      </c>
      <c r="D57" s="179">
        <f t="shared" si="4"/>
        <v>1819.2307692307691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63</v>
      </c>
      <c r="B58" s="181">
        <f>'Données projet'!D66</f>
        <v>71.123076923076923</v>
      </c>
      <c r="C58" s="191">
        <v>35</v>
      </c>
      <c r="D58" s="179">
        <f t="shared" si="4"/>
        <v>2489.3076923076924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71</v>
      </c>
      <c r="B59" s="181">
        <f>'Données projet'!D67</f>
        <v>80.399999999999991</v>
      </c>
      <c r="C59" s="191">
        <v>40</v>
      </c>
      <c r="D59" s="179">
        <f t="shared" si="4"/>
        <v>3215.9999999999995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79</v>
      </c>
      <c r="B60" s="181">
        <f>'Données projet'!D68</f>
        <v>77.338461538461544</v>
      </c>
      <c r="C60" s="191">
        <v>45</v>
      </c>
      <c r="D60" s="179">
        <f t="shared" si="4"/>
        <v>3480.2307692307695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87</v>
      </c>
      <c r="B61" s="181">
        <f>'Données projet'!D69</f>
        <v>77.330769230769235</v>
      </c>
      <c r="C61" s="191">
        <v>45</v>
      </c>
      <c r="D61" s="179">
        <f t="shared" si="4"/>
        <v>3479.8846153846157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95</v>
      </c>
      <c r="B62" s="181">
        <f>'Données projet'!D70</f>
        <v>234.42307692307691</v>
      </c>
      <c r="C62" s="191">
        <v>56</v>
      </c>
      <c r="D62" s="179">
        <f t="shared" si="4"/>
        <v>13127.692307692307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105</v>
      </c>
      <c r="B63" s="181">
        <f>'Données projet'!D71</f>
        <v>309.71538461538461</v>
      </c>
      <c r="C63" s="191">
        <v>56</v>
      </c>
      <c r="D63" s="179">
        <f t="shared" si="4"/>
        <v>17344.061538461538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Mélèze hybride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str">
        <f>IF(O75+1&lt;=MIN('Données projet'!$E$9:$E$18),O75+1,"STOP")</f>
        <v>STOP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49</v>
      </c>
      <c r="B78" s="48" t="s">
        <v>321</v>
      </c>
      <c r="C78" s="48" t="s">
        <v>322</v>
      </c>
      <c r="D78" s="36" t="s">
        <v>323</v>
      </c>
      <c r="E78" s="36" t="s">
        <v>324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207</v>
      </c>
      <c r="C79" s="198" t="s">
        <v>207</v>
      </c>
      <c r="D79" s="197" t="s">
        <v>207</v>
      </c>
      <c r="E79" s="193">
        <f>1320+2057</f>
        <v>3377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207</v>
      </c>
      <c r="C80" s="198" t="s">
        <v>207</v>
      </c>
      <c r="D80" s="197" t="s">
        <v>207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207</v>
      </c>
      <c r="C81" s="198" t="s">
        <v>207</v>
      </c>
      <c r="D81" s="197" t="s">
        <v>207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207</v>
      </c>
      <c r="C82" s="198" t="s">
        <v>207</v>
      </c>
      <c r="D82" s="197" t="s">
        <v>207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207</v>
      </c>
      <c r="C83" s="198" t="s">
        <v>207</v>
      </c>
      <c r="D83" s="197" t="s">
        <v>207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207</v>
      </c>
      <c r="C84" s="198" t="s">
        <v>207</v>
      </c>
      <c r="D84" s="197" t="s">
        <v>207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12</v>
      </c>
      <c r="B85" s="181">
        <f>'Données projet'!D88</f>
        <v>21</v>
      </c>
      <c r="C85" s="191">
        <v>18</v>
      </c>
      <c r="D85" s="179">
        <f>B85*C85</f>
        <v>378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47</v>
      </c>
      <c r="C86" s="191">
        <v>25</v>
      </c>
      <c r="D86" s="179">
        <f t="shared" ref="D86:D104" si="6">B86*C86</f>
        <v>1175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18</v>
      </c>
      <c r="B87" s="181">
        <f>'Données projet'!D90</f>
        <v>61</v>
      </c>
      <c r="C87" s="191">
        <v>25</v>
      </c>
      <c r="D87" s="179">
        <f t="shared" si="6"/>
        <v>1525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24</v>
      </c>
      <c r="B88" s="181">
        <f>'Données projet'!D91</f>
        <v>84</v>
      </c>
      <c r="C88" s="191">
        <v>35</v>
      </c>
      <c r="D88" s="179">
        <f t="shared" si="6"/>
        <v>2940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>
        <f>'Données projet'!D92</f>
        <v>76</v>
      </c>
      <c r="C89" s="191">
        <v>40</v>
      </c>
      <c r="D89" s="179">
        <f t="shared" si="6"/>
        <v>3040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36</v>
      </c>
      <c r="B90" s="181">
        <f>'Données projet'!D93</f>
        <v>75</v>
      </c>
      <c r="C90" s="191">
        <v>45</v>
      </c>
      <c r="D90" s="179">
        <f t="shared" si="6"/>
        <v>3375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42</v>
      </c>
      <c r="B91" s="181">
        <f>'Données projet'!D94</f>
        <v>278</v>
      </c>
      <c r="C91" s="191">
        <v>55</v>
      </c>
      <c r="D91" s="179">
        <f t="shared" si="6"/>
        <v>15290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49</v>
      </c>
      <c r="B109" s="48" t="s">
        <v>321</v>
      </c>
      <c r="C109" s="48" t="s">
        <v>322</v>
      </c>
      <c r="D109" s="36" t="s">
        <v>323</v>
      </c>
      <c r="E109" s="36" t="s">
        <v>324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207</v>
      </c>
      <c r="C110" s="198" t="s">
        <v>207</v>
      </c>
      <c r="D110" s="197" t="s">
        <v>207</v>
      </c>
      <c r="E110" s="193">
        <f>1320+2057</f>
        <v>3377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207</v>
      </c>
      <c r="C111" s="198" t="s">
        <v>207</v>
      </c>
      <c r="D111" s="197" t="s">
        <v>207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207</v>
      </c>
      <c r="C112" s="198" t="s">
        <v>207</v>
      </c>
      <c r="D112" s="197" t="s">
        <v>207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207</v>
      </c>
      <c r="C113" s="198" t="s">
        <v>207</v>
      </c>
      <c r="D113" s="197" t="s">
        <v>207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207</v>
      </c>
      <c r="C114" s="198" t="s">
        <v>207</v>
      </c>
      <c r="D114" s="197" t="s">
        <v>207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207</v>
      </c>
      <c r="C115" s="198" t="s">
        <v>207</v>
      </c>
      <c r="D115" s="197" t="s">
        <v>207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35</v>
      </c>
      <c r="B117" s="181">
        <f>'Données projet'!D115</f>
        <v>60.602564102564102</v>
      </c>
      <c r="C117" s="191">
        <v>10</v>
      </c>
      <c r="D117" s="179">
        <f t="shared" ref="D117:D135" si="8">B117*C117</f>
        <v>606.02564102564099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41</v>
      </c>
      <c r="B118" s="181">
        <f>'Données projet'!D116</f>
        <v>38.512820512820511</v>
      </c>
      <c r="C118" s="191">
        <v>10</v>
      </c>
      <c r="D118" s="179">
        <f t="shared" si="8"/>
        <v>385.12820512820508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48</v>
      </c>
      <c r="B119" s="181">
        <f>'Données projet'!D117</f>
        <v>48.025641025641022</v>
      </c>
      <c r="C119" s="191">
        <v>50</v>
      </c>
      <c r="D119" s="179">
        <f t="shared" si="8"/>
        <v>2401.2820512820513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55</v>
      </c>
      <c r="B120" s="181">
        <f>'Données projet'!D118</f>
        <v>45.147435897435898</v>
      </c>
      <c r="C120" s="191">
        <v>50</v>
      </c>
      <c r="D120" s="179">
        <f t="shared" si="8"/>
        <v>2257.3717948717949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63</v>
      </c>
      <c r="B121" s="181">
        <f>'Données projet'!D119</f>
        <v>41.724358974358978</v>
      </c>
      <c r="C121" s="191">
        <v>50</v>
      </c>
      <c r="D121" s="179">
        <f t="shared" si="8"/>
        <v>2086.2179487179487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71</v>
      </c>
      <c r="B122" s="181">
        <f>'Données projet'!D120</f>
        <v>39.935897435897431</v>
      </c>
      <c r="C122" s="191">
        <v>100</v>
      </c>
      <c r="D122" s="179">
        <f t="shared" si="8"/>
        <v>3993.5897435897432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80</v>
      </c>
      <c r="B123" s="181">
        <f>'Données projet'!D121</f>
        <v>45.608974358974358</v>
      </c>
      <c r="C123" s="191">
        <v>100</v>
      </c>
      <c r="D123" s="179">
        <f t="shared" si="8"/>
        <v>4560.8974358974356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89</v>
      </c>
      <c r="B124" s="181">
        <f>'Données projet'!D122</f>
        <v>49.391025641025635</v>
      </c>
      <c r="C124" s="191">
        <v>150</v>
      </c>
      <c r="D124" s="179">
        <f t="shared" si="8"/>
        <v>7408.6538461538457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99</v>
      </c>
      <c r="B125" s="181">
        <f>'Données projet'!D123</f>
        <v>48.019230769230766</v>
      </c>
      <c r="C125" s="191">
        <v>150</v>
      </c>
      <c r="D125" s="179">
        <f t="shared" si="8"/>
        <v>7202.8846153846152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109</v>
      </c>
      <c r="B126" s="181">
        <f>'Données projet'!D124</f>
        <v>51.28846153846154</v>
      </c>
      <c r="C126" s="191">
        <v>150</v>
      </c>
      <c r="D126" s="179">
        <f t="shared" si="8"/>
        <v>7693.2692307692314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119</v>
      </c>
      <c r="B127" s="181">
        <f>'Données projet'!D125</f>
        <v>150.02564102564102</v>
      </c>
      <c r="C127" s="191">
        <v>200</v>
      </c>
      <c r="D127" s="179">
        <f t="shared" si="8"/>
        <v>30005.128205128203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123</v>
      </c>
      <c r="B128" s="181">
        <f>'Données projet'!D126</f>
        <v>77.17307692307692</v>
      </c>
      <c r="C128" s="191">
        <v>200</v>
      </c>
      <c r="D128" s="179">
        <f t="shared" si="8"/>
        <v>15434.615384615385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127</v>
      </c>
      <c r="B129" s="181">
        <f>'Données projet'!D127</f>
        <v>49.916666666666671</v>
      </c>
      <c r="C129" s="191">
        <v>200</v>
      </c>
      <c r="D129" s="179">
        <f t="shared" si="8"/>
        <v>9983.3333333333339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131</v>
      </c>
      <c r="B130" s="181">
        <f>'Données projet'!D128</f>
        <v>110.91025641025641</v>
      </c>
      <c r="C130" s="191">
        <v>200</v>
      </c>
      <c r="D130" s="179">
        <f t="shared" si="8"/>
        <v>22182.051282051281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4" t="str">
        <f>IF('Données projet'!B13="","",'Données projet'!B13)</f>
        <v>Chêne chevelu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49</v>
      </c>
      <c r="B140" s="48" t="s">
        <v>321</v>
      </c>
      <c r="C140" s="48" t="s">
        <v>322</v>
      </c>
      <c r="D140" s="36" t="s">
        <v>323</v>
      </c>
      <c r="E140" s="36" t="s">
        <v>324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207</v>
      </c>
      <c r="C141" s="198" t="s">
        <v>207</v>
      </c>
      <c r="D141" s="197" t="s">
        <v>207</v>
      </c>
      <c r="E141" s="193">
        <f>1320+1899</f>
        <v>3219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207</v>
      </c>
      <c r="C142" s="198" t="s">
        <v>207</v>
      </c>
      <c r="D142" s="197" t="s">
        <v>207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207</v>
      </c>
      <c r="C143" s="198" t="s">
        <v>207</v>
      </c>
      <c r="D143" s="197" t="s">
        <v>207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207</v>
      </c>
      <c r="C144" s="198" t="s">
        <v>207</v>
      </c>
      <c r="D144" s="197" t="s">
        <v>207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207</v>
      </c>
      <c r="C145" s="198" t="s">
        <v>207</v>
      </c>
      <c r="D145" s="197" t="s">
        <v>207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207</v>
      </c>
      <c r="C146" s="198" t="s">
        <v>207</v>
      </c>
      <c r="D146" s="197" t="s">
        <v>207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15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20</v>
      </c>
      <c r="B149" s="175" t="str">
        <f>'Données projet'!D142</f>
        <v>54</v>
      </c>
      <c r="C149" s="191">
        <v>10</v>
      </c>
      <c r="D149" s="182">
        <f t="shared" si="10"/>
        <v>540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25</v>
      </c>
      <c r="B150" s="175" t="str">
        <f>'Données projet'!D143</f>
        <v>26</v>
      </c>
      <c r="C150" s="191">
        <v>10</v>
      </c>
      <c r="D150" s="182">
        <f t="shared" si="10"/>
        <v>260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30</v>
      </c>
      <c r="B151" s="175" t="str">
        <f>'Données projet'!D144</f>
        <v>27</v>
      </c>
      <c r="C151" s="191">
        <v>50</v>
      </c>
      <c r="D151" s="182">
        <f t="shared" si="10"/>
        <v>1350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35</v>
      </c>
      <c r="B152" s="175" t="str">
        <f>'Données projet'!D145</f>
        <v>27</v>
      </c>
      <c r="C152" s="191">
        <v>50</v>
      </c>
      <c r="D152" s="182">
        <f t="shared" si="10"/>
        <v>1350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40</v>
      </c>
      <c r="B153" s="175" t="str">
        <f>'Données projet'!D146</f>
        <v>27</v>
      </c>
      <c r="C153" s="191">
        <v>50</v>
      </c>
      <c r="D153" s="182">
        <f t="shared" si="10"/>
        <v>1350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45</v>
      </c>
      <c r="B154" s="175" t="str">
        <f>'Données projet'!D147</f>
        <v>26</v>
      </c>
      <c r="C154" s="191">
        <v>100</v>
      </c>
      <c r="D154" s="182">
        <f t="shared" si="10"/>
        <v>2600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50</v>
      </c>
      <c r="B155" s="175" t="str">
        <f>'Données projet'!D148</f>
        <v>24</v>
      </c>
      <c r="C155" s="191">
        <v>100</v>
      </c>
      <c r="D155" s="182">
        <f t="shared" si="10"/>
        <v>2400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55</v>
      </c>
      <c r="B156" s="175" t="str">
        <f>'Données projet'!D149</f>
        <v>23</v>
      </c>
      <c r="C156" s="191">
        <v>150</v>
      </c>
      <c r="D156" s="182">
        <f t="shared" si="10"/>
        <v>3450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60</v>
      </c>
      <c r="B157" s="175" t="str">
        <f>'Données projet'!D150</f>
        <v>21</v>
      </c>
      <c r="C157" s="191">
        <v>150</v>
      </c>
      <c r="D157" s="182">
        <f t="shared" si="10"/>
        <v>3150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65</v>
      </c>
      <c r="B158" s="175" t="str">
        <f>'Données projet'!D151</f>
        <v>20</v>
      </c>
      <c r="C158" s="191">
        <v>150</v>
      </c>
      <c r="D158" s="182">
        <f t="shared" si="10"/>
        <v>3000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70</v>
      </c>
      <c r="B159" s="175" t="str">
        <f>'Données projet'!D152</f>
        <v>18</v>
      </c>
      <c r="C159" s="191">
        <v>200</v>
      </c>
      <c r="D159" s="182">
        <f t="shared" si="10"/>
        <v>3600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75</v>
      </c>
      <c r="B160" s="175" t="str">
        <f>'Données projet'!D153</f>
        <v>16</v>
      </c>
      <c r="C160" s="191">
        <v>200</v>
      </c>
      <c r="D160" s="182">
        <f t="shared" si="10"/>
        <v>3200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80</v>
      </c>
      <c r="B161" s="175" t="str">
        <f>'Données projet'!D154</f>
        <v>15</v>
      </c>
      <c r="C161" s="191">
        <v>200</v>
      </c>
      <c r="D161" s="182">
        <f t="shared" si="10"/>
        <v>3000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85</v>
      </c>
      <c r="B162" s="175" t="str">
        <f>'Données projet'!D155</f>
        <v>14</v>
      </c>
      <c r="C162" s="191">
        <v>200</v>
      </c>
      <c r="D162" s="182">
        <f t="shared" si="10"/>
        <v>2800</v>
      </c>
      <c r="E162" s="193">
        <v>150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90</v>
      </c>
      <c r="B163" s="175" t="str">
        <f>'Données projet'!D156</f>
        <v>12</v>
      </c>
      <c r="C163" s="191">
        <v>200</v>
      </c>
      <c r="D163" s="182">
        <f t="shared" si="10"/>
        <v>2400</v>
      </c>
      <c r="E163" s="193">
        <v>150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95</v>
      </c>
      <c r="B164" s="175" t="str">
        <f>'Données projet'!D157</f>
        <v>12</v>
      </c>
      <c r="C164" s="191">
        <v>200</v>
      </c>
      <c r="D164" s="182">
        <f t="shared" si="10"/>
        <v>2400</v>
      </c>
      <c r="E164" s="193">
        <v>150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100</v>
      </c>
      <c r="B165" s="175" t="str">
        <f>'Données projet'!D158</f>
        <v>12</v>
      </c>
      <c r="C165" s="191">
        <v>200</v>
      </c>
      <c r="D165" s="182">
        <f t="shared" si="10"/>
        <v>2400</v>
      </c>
      <c r="E165" s="193">
        <v>150</v>
      </c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26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49</v>
      </c>
      <c r="B171" s="48" t="s">
        <v>321</v>
      </c>
      <c r="C171" s="48" t="s">
        <v>322</v>
      </c>
      <c r="D171" s="36" t="s">
        <v>323</v>
      </c>
      <c r="E171" s="36" t="s">
        <v>324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207</v>
      </c>
      <c r="C172" s="198" t="s">
        <v>207</v>
      </c>
      <c r="D172" s="197" t="s">
        <v>207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207</v>
      </c>
      <c r="C173" s="198" t="s">
        <v>207</v>
      </c>
      <c r="D173" s="197" t="s">
        <v>207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207</v>
      </c>
      <c r="C174" s="198" t="s">
        <v>207</v>
      </c>
      <c r="D174" s="197" t="s">
        <v>207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207</v>
      </c>
      <c r="C175" s="198" t="s">
        <v>207</v>
      </c>
      <c r="D175" s="197" t="s">
        <v>207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207</v>
      </c>
      <c r="C176" s="198" t="s">
        <v>207</v>
      </c>
      <c r="D176" s="197" t="s">
        <v>207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207</v>
      </c>
      <c r="C177" s="198" t="s">
        <v>207</v>
      </c>
      <c r="D177" s="197" t="s">
        <v>207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27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49</v>
      </c>
      <c r="B202" s="48" t="s">
        <v>321</v>
      </c>
      <c r="C202" s="48" t="s">
        <v>322</v>
      </c>
      <c r="D202" s="36" t="s">
        <v>323</v>
      </c>
      <c r="E202" s="36" t="s">
        <v>324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207</v>
      </c>
      <c r="C203" s="198" t="s">
        <v>207</v>
      </c>
      <c r="D203" s="197" t="s">
        <v>207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207</v>
      </c>
      <c r="C204" s="198" t="s">
        <v>207</v>
      </c>
      <c r="D204" s="197" t="s">
        <v>207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207</v>
      </c>
      <c r="C205" s="198" t="s">
        <v>207</v>
      </c>
      <c r="D205" s="197" t="s">
        <v>207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207</v>
      </c>
      <c r="C206" s="198" t="s">
        <v>207</v>
      </c>
      <c r="D206" s="197" t="s">
        <v>207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207</v>
      </c>
      <c r="C207" s="198" t="s">
        <v>207</v>
      </c>
      <c r="D207" s="197" t="s">
        <v>207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207</v>
      </c>
      <c r="C208" s="198" t="s">
        <v>207</v>
      </c>
      <c r="D208" s="197" t="s">
        <v>207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28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49</v>
      </c>
      <c r="B233" s="48" t="s">
        <v>321</v>
      </c>
      <c r="C233" s="48" t="s">
        <v>322</v>
      </c>
      <c r="D233" s="36" t="s">
        <v>323</v>
      </c>
      <c r="E233" s="36" t="s">
        <v>324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207</v>
      </c>
      <c r="C234" s="198" t="s">
        <v>207</v>
      </c>
      <c r="D234" s="197" t="s">
        <v>207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207</v>
      </c>
      <c r="C235" s="198" t="s">
        <v>207</v>
      </c>
      <c r="D235" s="197" t="s">
        <v>207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207</v>
      </c>
      <c r="C236" s="198" t="s">
        <v>207</v>
      </c>
      <c r="D236" s="197" t="s">
        <v>207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207</v>
      </c>
      <c r="C237" s="198" t="s">
        <v>207</v>
      </c>
      <c r="D237" s="197" t="s">
        <v>207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207</v>
      </c>
      <c r="C238" s="198" t="s">
        <v>207</v>
      </c>
      <c r="D238" s="197" t="s">
        <v>207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207</v>
      </c>
      <c r="C239" s="198" t="s">
        <v>207</v>
      </c>
      <c r="D239" s="197" t="s">
        <v>207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29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49</v>
      </c>
      <c r="B264" s="48" t="s">
        <v>321</v>
      </c>
      <c r="C264" s="48" t="s">
        <v>322</v>
      </c>
      <c r="D264" s="36" t="s">
        <v>323</v>
      </c>
      <c r="E264" s="36" t="s">
        <v>324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207</v>
      </c>
      <c r="C265" s="198" t="s">
        <v>207</v>
      </c>
      <c r="D265" s="197" t="s">
        <v>207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207</v>
      </c>
      <c r="C266" s="198" t="s">
        <v>207</v>
      </c>
      <c r="D266" s="197" t="s">
        <v>207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207</v>
      </c>
      <c r="C267" s="198" t="s">
        <v>207</v>
      </c>
      <c r="D267" s="197" t="s">
        <v>207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207</v>
      </c>
      <c r="C268" s="198" t="s">
        <v>207</v>
      </c>
      <c r="D268" s="197" t="s">
        <v>207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207</v>
      </c>
      <c r="C269" s="198" t="s">
        <v>207</v>
      </c>
      <c r="D269" s="197" t="s">
        <v>207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207</v>
      </c>
      <c r="C270" s="198" t="s">
        <v>207</v>
      </c>
      <c r="D270" s="197" t="s">
        <v>207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30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49</v>
      </c>
      <c r="B295" s="48" t="s">
        <v>321</v>
      </c>
      <c r="C295" s="48" t="s">
        <v>322</v>
      </c>
      <c r="D295" s="36" t="s">
        <v>323</v>
      </c>
      <c r="E295" s="36" t="s">
        <v>324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207</v>
      </c>
      <c r="C296" s="198" t="s">
        <v>207</v>
      </c>
      <c r="D296" s="197" t="s">
        <v>207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207</v>
      </c>
      <c r="C297" s="198" t="s">
        <v>207</v>
      </c>
      <c r="D297" s="197" t="s">
        <v>207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207</v>
      </c>
      <c r="C298" s="198" t="s">
        <v>207</v>
      </c>
      <c r="D298" s="197" t="s">
        <v>207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207</v>
      </c>
      <c r="C299" s="198" t="s">
        <v>207</v>
      </c>
      <c r="D299" s="197" t="s">
        <v>207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207</v>
      </c>
      <c r="C300" s="198" t="s">
        <v>207</v>
      </c>
      <c r="D300" s="197" t="s">
        <v>207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207</v>
      </c>
      <c r="C301" s="198" t="s">
        <v>207</v>
      </c>
      <c r="D301" s="197" t="s">
        <v>207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DED8E3-E53A-476C-B63A-814B338763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5B4B24-CEAF-4371-87A9-90069EE77D98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17A4AD70-57C3-4D1F-9200-FC3AECC2F0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Mazeau guillaume</cp:lastModifiedBy>
  <cp:revision/>
  <dcterms:created xsi:type="dcterms:W3CDTF">2021-02-01T08:22:39Z</dcterms:created>
  <dcterms:modified xsi:type="dcterms:W3CDTF">2024-06-05T08:11:18Z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