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BEZIERS (34) - De Bréon Françoise-SWC-AXA\Dossier déposé le 25 10 2023\"/>
    </mc:Choice>
  </mc:AlternateContent>
  <xr:revisionPtr revIDLastSave="0" documentId="13_ncr:1_{BCB64B97-DB59-48D1-96C9-F787BF84E802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<sst xmlns="http://schemas.openxmlformats.org/spreadsheetml/2006/main" count="1170" uniqueCount="324">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</sst>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1.8535602460266289</c:v>
                </c:pt>
                <c:pt idx="2">
                  <c:v>2.2626142193744085</c:v>
                </c:pt>
                <c:pt idx="3">
                  <c:v>2.7622891056723087</c:v>
                </c:pt>
                <c:pt idx="4">
                  <c:v>3.3727338968676754</c:v>
                </c:pt>
                <c:pt idx="5">
                  <c:v>4.1185928293096241</c:v>
                </c:pt>
                <c:pt idx="6">
                  <c:v>5.0300114432580019</c:v>
                </c:pt>
                <c:pt idx="7">
                  <c:v>6.1438684606821594</c:v>
                </c:pt>
                <c:pt idx="8">
                  <c:v>7.505284303805829</c:v>
                </c:pt>
                <c:pt idx="9">
                  <c:v>9.1694685428601197</c:v>
                </c:pt>
                <c:pt idx="10">
                  <c:v>11.203982620088896</c:v>
                </c:pt>
                <c:pt idx="11">
                  <c:v>13.691511435593327</c:v>
                </c:pt>
                <c:pt idx="12">
                  <c:v>16.733258519809421</c:v>
                </c:pt>
                <c:pt idx="13">
                  <c:v>20.453105441617634</c:v>
                </c:pt>
                <c:pt idx="14">
                  <c:v>25.002707895461068</c:v>
                </c:pt>
                <c:pt idx="15">
                  <c:v>30.567739907094396</c:v>
                </c:pt>
                <c:pt idx="16">
                  <c:v>37.375545430009119</c:v>
                </c:pt>
                <c:pt idx="17">
                  <c:v>45.704515278971293</c:v>
                </c:pt>
                <c:pt idx="18">
                  <c:v>55.895579325298208</c:v>
                </c:pt>
                <c:pt idx="19">
                  <c:v>68.366292182203253</c:v>
                </c:pt>
                <c:pt idx="20">
                  <c:v>83.628098946854934</c:v>
                </c:pt>
                <c:pt idx="21">
                  <c:v>45.920044788170649</c:v>
                </c:pt>
                <c:pt idx="22">
                  <c:v>52.604407788345156</c:v>
                </c:pt>
                <c:pt idx="23">
                  <c:v>59.266341719054736</c:v>
                </c:pt>
                <c:pt idx="24">
                  <c:v>65.908731930004123</c:v>
                </c:pt>
                <c:pt idx="25">
                  <c:v>72.533831756381005</c:v>
                </c:pt>
                <c:pt idx="26">
                  <c:v>79.143447504298592</c:v>
                </c:pt>
                <c:pt idx="27">
                  <c:v>85.739057983772014</c:v>
                </c:pt>
                <c:pt idx="28">
                  <c:v>92.321895121350337</c:v>
                </c:pt>
                <c:pt idx="29">
                  <c:v>98.893000261192682</c:v>
                </c:pt>
                <c:pt idx="30">
                  <c:v>105.45326465182991</c:v>
                </c:pt>
                <c:pt idx="31">
                  <c:v>112.00345929039173</c:v>
                </c:pt>
                <c:pt idx="32">
                  <c:v>118.54425739457645</c:v>
                </c:pt>
                <c:pt idx="33">
                  <c:v>125.07625163882638</c:v>
                </c:pt>
                <c:pt idx="34">
                  <c:v>131.59996759037816</c:v>
                </c:pt>
                <c:pt idx="35">
                  <c:v>138.11587433401084</c:v>
                </c:pt>
                <c:pt idx="36">
                  <c:v>144.62439298150341</c:v>
                </c:pt>
                <c:pt idx="37">
                  <c:v>151.12590356526243</c:v>
                </c:pt>
                <c:pt idx="38">
                  <c:v>157.62075068077434</c:v>
                </c:pt>
                <c:pt idx="39">
                  <c:v>164.1092481482907</c:v>
                </c:pt>
                <c:pt idx="40">
                  <c:v>170.59168289710351</c:v>
                </c:pt>
                <c:pt idx="41">
                  <c:v>126.38036294817186</c:v>
                </c:pt>
                <c:pt idx="42">
                  <c:v>132.74926171634979</c:v>
                </c:pt>
                <c:pt idx="43">
                  <c:v>139.11078817382585</c:v>
                </c:pt>
                <c:pt idx="44">
                  <c:v>145.46532769234906</c:v>
                </c:pt>
                <c:pt idx="45">
                  <c:v>151.81322915169781</c:v>
                </c:pt>
                <c:pt idx="46">
                  <c:v>158.15480981144086</c:v>
                </c:pt>
                <c:pt idx="47">
                  <c:v>164.49035935867951</c:v>
                </c:pt>
                <c:pt idx="48">
                  <c:v>170.82014329821013</c:v>
                </c:pt>
                <c:pt idx="49">
                  <c:v>177.1444058128734</c:v>
                </c:pt>
                <c:pt idx="50">
                  <c:v>183.46337219326111</c:v>
                </c:pt>
                <c:pt idx="51">
                  <c:v>189.77725091453715</c:v>
                </c:pt>
                <c:pt idx="52">
                  <c:v>196.08623542191808</c:v>
                </c:pt>
                <c:pt idx="53">
                  <c:v>202.39050567394395</c:v>
                </c:pt>
                <c:pt idx="54">
                  <c:v>208.6902294830833</c:v>
                </c:pt>
                <c:pt idx="55">
                  <c:v>214.98556368573341</c:v>
                </c:pt>
                <c:pt idx="56">
                  <c:v>221.27665516779601</c:v>
                </c:pt>
                <c:pt idx="57">
                  <c:v>227.5636417673453</c:v>
                </c:pt>
                <c:pt idx="58">
                  <c:v>233.84665307217884</c:v>
                </c:pt>
                <c:pt idx="59">
                  <c:v>240.12581112705189</c:v>
                </c:pt>
                <c:pt idx="60">
                  <c:v>246.40123106296582</c:v>
                </c:pt>
                <c:pt idx="61">
                  <c:v>207.0098962779077</c:v>
                </c:pt>
                <c:pt idx="62">
                  <c:v>215.042372642597</c:v>
                </c:pt>
                <c:pt idx="63">
                  <c:v>223.06794429933859</c:v>
                </c:pt>
                <c:pt idx="64">
                  <c:v>231.08689500874979</c:v>
                </c:pt>
                <c:pt idx="65">
                  <c:v>239.09948720478704</c:v>
                </c:pt>
                <c:pt idx="66">
                  <c:v>247.10596427442715</c:v>
                </c:pt>
                <c:pt idx="67">
                  <c:v>255.10655252609229</c:v>
                </c:pt>
                <c:pt idx="68">
                  <c:v>263.10146289795284</c:v>
                </c:pt>
                <c:pt idx="69">
                  <c:v>271.09089244750982</c:v>
                </c:pt>
                <c:pt idx="70">
                  <c:v>279.07502565621911</c:v>
                </c:pt>
                <c:pt idx="71">
                  <c:v>239.45210058433494</c:v>
                </c:pt>
                <c:pt idx="72">
                  <c:v>244.58884930370394</c:v>
                </c:pt>
                <c:pt idx="73">
                  <c:v>249.72314631788558</c:v>
                </c:pt>
                <c:pt idx="74">
                  <c:v>254.8550492352515</c:v>
                </c:pt>
                <c:pt idx="75">
                  <c:v>259.98461315075957</c:v>
                </c:pt>
                <c:pt idx="76">
                  <c:v>265.11189080417495</c:v>
                </c:pt>
                <c:pt idx="77">
                  <c:v>270.23693272539447</c:v>
                </c:pt>
                <c:pt idx="78">
                  <c:v>275.35978736815593</c:v>
                </c:pt>
                <c:pt idx="79">
                  <c:v>280.48050123326374</c:v>
                </c:pt>
                <c:pt idx="80">
                  <c:v>285.59911898233503</c:v>
                </c:pt>
                <c:pt idx="81">
                  <c:v>290.71568354295363</c:v>
                </c:pt>
                <c:pt idx="82">
                  <c:v>295.83023620602654</c:v>
                </c:pt>
                <c:pt idx="83">
                  <c:v>300.94281671604705</c:v>
                </c:pt>
                <c:pt idx="84">
                  <c:v>306.05346335489736</c:v>
                </c:pt>
                <c:pt idx="85">
                  <c:v>311.16221301975378</c:v>
                </c:pt>
                <c:pt idx="86">
                  <c:v>316.2691012956036</c:v>
                </c:pt>
                <c:pt idx="87">
                  <c:v>321.37416252282765</c:v>
                </c:pt>
                <c:pt idx="88">
                  <c:v>326.47742986026043</c:v>
                </c:pt>
                <c:pt idx="89">
                  <c:v>331.57893534409646</c:v>
                </c:pt>
                <c:pt idx="90">
                  <c:v>336.67870994297931</c:v>
                </c:pt>
                <c:pt idx="91">
                  <c:v>302.38351170956327</c:v>
                </c:pt>
                <c:pt idx="92">
                  <c:v>306.6295440459275</c:v>
                </c:pt>
                <c:pt idx="93">
                  <c:v>310.8742696143309</c:v>
                </c:pt>
                <c:pt idx="94">
                  <c:v>315.11770880462956</c:v>
                </c:pt>
                <c:pt idx="95">
                  <c:v>319.35988141184941</c:v>
                </c:pt>
                <c:pt idx="96">
                  <c:v>323.60080666139191</c:v>
                </c:pt>
                <c:pt idx="97">
                  <c:v>327.84050323284737</c:v>
                </c:pt>
                <c:pt idx="98">
                  <c:v>332.07898928251103</c:v>
                </c:pt>
                <c:pt idx="99">
                  <c:v>336.31628246468813</c:v>
                </c:pt>
                <c:pt idx="100">
                  <c:v>340.55239995186759</c:v>
                </c:pt>
                <c:pt idx="101">
                  <c:v>344.78735845383954</c:v>
                </c:pt>
                <c:pt idx="102">
                  <c:v>349.02117423582166</c:v>
                </c:pt>
                <c:pt idx="103">
                  <c:v>353.25386313566122</c:v>
                </c:pt>
                <c:pt idx="104">
                  <c:v>357.48544058016699</c:v>
                </c:pt>
                <c:pt idx="105">
                  <c:v>361.71592160062784</c:v>
                </c:pt>
                <c:pt idx="106">
                  <c:v>365.94532084756594</c:v>
                </c:pt>
                <c:pt idx="107">
                  <c:v>370.17365260477271</c:v>
                </c:pt>
                <c:pt idx="108">
                  <c:v>374.40093080266729</c:v>
                </c:pt>
                <c:pt idx="109">
                  <c:v>378.6271690310225</c:v>
                </c:pt>
                <c:pt idx="110">
                  <c:v>382.85238055108977</c:v>
                </c:pt>
                <c:pt idx="111">
                  <c:v>350.29484445839398</c:v>
                </c:pt>
                <c:pt idx="112">
                  <c:v>350.29484445839398</c:v>
                </c:pt>
                <c:pt idx="113">
                  <c:v>350.29484445839398</c:v>
                </c:pt>
                <c:pt idx="114">
                  <c:v>350.29484445839398</c:v>
                </c:pt>
                <c:pt idx="115">
                  <c:v>350.29484445839398</c:v>
                </c:pt>
                <c:pt idx="116">
                  <c:v>350.29484445839398</c:v>
                </c:pt>
                <c:pt idx="117">
                  <c:v>350.29484445839398</c:v>
                </c:pt>
                <c:pt idx="118">
                  <c:v>350.29484445839398</c:v>
                </c:pt>
                <c:pt idx="119">
                  <c:v>350.29484445839398</c:v>
                </c:pt>
                <c:pt idx="120">
                  <c:v>350.29484445839398</c:v>
                </c:pt>
                <c:pt idx="121">
                  <c:v>350.29484445839398</c:v>
                </c:pt>
                <c:pt idx="122">
                  <c:v>350.29484445839398</c:v>
                </c:pt>
                <c:pt idx="123">
                  <c:v>350.29484445839398</c:v>
                </c:pt>
                <c:pt idx="124">
                  <c:v>350.29484445839398</c:v>
                </c:pt>
                <c:pt idx="125">
                  <c:v>350.29484445839398</c:v>
                </c:pt>
                <c:pt idx="126">
                  <c:v>350.29484445839398</c:v>
                </c:pt>
                <c:pt idx="127">
                  <c:v>350.29484445839398</c:v>
                </c:pt>
                <c:pt idx="128">
                  <c:v>350.29484445839398</c:v>
                </c:pt>
                <c:pt idx="129">
                  <c:v>350.29484445839398</c:v>
                </c:pt>
                <c:pt idx="130">
                  <c:v>350.29484445839398</c:v>
                </c:pt>
                <c:pt idx="131">
                  <c:v>350.29484445839398</c:v>
                </c:pt>
                <c:pt idx="132">
                  <c:v>350.29484445839398</c:v>
                </c:pt>
                <c:pt idx="133">
                  <c:v>350.29484445839398</c:v>
                </c:pt>
                <c:pt idx="134">
                  <c:v>350.29484445839398</c:v>
                </c:pt>
                <c:pt idx="135">
                  <c:v>350.29484445839398</c:v>
                </c:pt>
                <c:pt idx="136">
                  <c:v>350.29484445839398</c:v>
                </c:pt>
                <c:pt idx="137">
                  <c:v>350.29484445839398</c:v>
                </c:pt>
                <c:pt idx="138">
                  <c:v>350.29484445839398</c:v>
                </c:pt>
                <c:pt idx="139">
                  <c:v>350.29484445839398</c:v>
                </c:pt>
                <c:pt idx="140">
                  <c:v>350.29484445839398</c:v>
                </c:pt>
                <c:pt idx="141">
                  <c:v>350.29484445839398</c:v>
                </c:pt>
                <c:pt idx="142">
                  <c:v>350.29484445839398</c:v>
                </c:pt>
                <c:pt idx="143">
                  <c:v>350.29484445839398</c:v>
                </c:pt>
                <c:pt idx="144">
                  <c:v>350.29484445839398</c:v>
                </c:pt>
                <c:pt idx="145">
                  <c:v>350.29484445839398</c:v>
                </c:pt>
                <c:pt idx="146">
                  <c:v>350.29484445839398</c:v>
                </c:pt>
                <c:pt idx="147">
                  <c:v>350.29484445839398</c:v>
                </c:pt>
                <c:pt idx="148">
                  <c:v>350.29484445839398</c:v>
                </c:pt>
                <c:pt idx="149">
                  <c:v>350.29484445839398</c:v>
                </c:pt>
                <c:pt idx="150">
                  <c:v>350.29484445839398</c:v>
                </c:pt>
                <c:pt idx="151">
                  <c:v>350.29484445839398</c:v>
                </c:pt>
                <c:pt idx="152">
                  <c:v>350.29484445839398</c:v>
                </c:pt>
                <c:pt idx="153">
                  <c:v>350.29484445839398</c:v>
                </c:pt>
                <c:pt idx="154">
                  <c:v>350.29484445839398</c:v>
                </c:pt>
                <c:pt idx="155">
                  <c:v>350.29484445839398</c:v>
                </c:pt>
                <c:pt idx="156">
                  <c:v>350.29484445839398</c:v>
                </c:pt>
                <c:pt idx="157">
                  <c:v>350.29484445839398</c:v>
                </c:pt>
                <c:pt idx="158">
                  <c:v>350.29484445839398</c:v>
                </c:pt>
                <c:pt idx="159">
                  <c:v>350.29484445839398</c:v>
                </c:pt>
                <c:pt idx="160">
                  <c:v>350.29484445839398</c:v>
                </c:pt>
                <c:pt idx="161">
                  <c:v>350.29484445839398</c:v>
                </c:pt>
                <c:pt idx="162">
                  <c:v>350.29484445839398</c:v>
                </c:pt>
                <c:pt idx="163">
                  <c:v>350.29484445839398</c:v>
                </c:pt>
                <c:pt idx="164">
                  <c:v>350.29484445839398</c:v>
                </c:pt>
                <c:pt idx="165">
                  <c:v>350.29484445839398</c:v>
                </c:pt>
                <c:pt idx="166">
                  <c:v>350.29484445839398</c:v>
                </c:pt>
                <c:pt idx="167">
                  <c:v>350.29484445839398</c:v>
                </c:pt>
                <c:pt idx="168">
                  <c:v>350.29484445839398</c:v>
                </c:pt>
                <c:pt idx="169">
                  <c:v>350.29484445839398</c:v>
                </c:pt>
                <c:pt idx="170">
                  <c:v>350.29484445839398</c:v>
                </c:pt>
                <c:pt idx="171">
                  <c:v>350.29484445839398</c:v>
                </c:pt>
                <c:pt idx="172">
                  <c:v>350.29484445839398</c:v>
                </c:pt>
                <c:pt idx="173">
                  <c:v>350.29484445839398</c:v>
                </c:pt>
                <c:pt idx="174">
                  <c:v>350.29484445839398</c:v>
                </c:pt>
                <c:pt idx="175">
                  <c:v>350.29484445839398</c:v>
                </c:pt>
                <c:pt idx="176">
                  <c:v>350.29484445839398</c:v>
                </c:pt>
                <c:pt idx="177">
                  <c:v>350.29484445839398</c:v>
                </c:pt>
                <c:pt idx="178">
                  <c:v>350.29484445839398</c:v>
                </c:pt>
                <c:pt idx="179">
                  <c:v>350.29484445839398</c:v>
                </c:pt>
                <c:pt idx="180">
                  <c:v>350.29484445839398</c:v>
                </c:pt>
                <c:pt idx="181">
                  <c:v>350.29484445839398</c:v>
                </c:pt>
                <c:pt idx="182">
                  <c:v>350.29484445839398</c:v>
                </c:pt>
                <c:pt idx="183">
                  <c:v>350.29484445839398</c:v>
                </c:pt>
                <c:pt idx="184">
                  <c:v>350.29484445839398</c:v>
                </c:pt>
                <c:pt idx="185">
                  <c:v>350.29484445839398</c:v>
                </c:pt>
                <c:pt idx="186">
                  <c:v>350.29484445839398</c:v>
                </c:pt>
                <c:pt idx="187">
                  <c:v>350.29484445839398</c:v>
                </c:pt>
                <c:pt idx="188">
                  <c:v>350.29484445839398</c:v>
                </c:pt>
                <c:pt idx="189">
                  <c:v>350.29484445839398</c:v>
                </c:pt>
                <c:pt idx="190">
                  <c:v>350.29484445839398</c:v>
                </c:pt>
                <c:pt idx="191">
                  <c:v>350.29484445839398</c:v>
                </c:pt>
                <c:pt idx="192">
                  <c:v>350.29484445839398</c:v>
                </c:pt>
                <c:pt idx="193">
                  <c:v>350.29484445839398</c:v>
                </c:pt>
                <c:pt idx="194">
                  <c:v>350.29484445839398</c:v>
                </c:pt>
                <c:pt idx="195">
                  <c:v>350.29484445839398</c:v>
                </c:pt>
                <c:pt idx="196">
                  <c:v>350.29484445839398</c:v>
                </c:pt>
                <c:pt idx="197">
                  <c:v>350.29484445839398</c:v>
                </c:pt>
                <c:pt idx="198">
                  <c:v>350.29484445839398</c:v>
                </c:pt>
                <c:pt idx="199">
                  <c:v>350.29484445839398</c:v>
                </c:pt>
                <c:pt idx="200">
                  <c:v>350.29484445839398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0" zoomScale="90" zoomScaleNormal="90" workbookViewId="0">
      <selection activeCell="G30" sqref="G3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90</v>
      </c>
      <c r="C9" s="35">
        <v>1</v>
      </c>
      <c r="D9" s="36">
        <f t="shared" ref="D9:D18" si="0">C9*$C$5</f>
        <v>2.9</v>
      </c>
      <c r="E9" s="37">
        <v>110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d'Alep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63</v>
      </c>
      <c r="C36" s="63">
        <v>1</v>
      </c>
      <c r="D36" s="63">
        <v>34.1</v>
      </c>
      <c r="E36" s="54"/>
      <c r="F36" s="54"/>
      <c r="G36" s="54">
        <v>1</v>
      </c>
      <c r="H36" s="54"/>
      <c r="I36" s="52">
        <f>IFERROR(B36/A36,"")</f>
        <v>3.15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40</v>
      </c>
      <c r="B37" s="63">
        <v>131</v>
      </c>
      <c r="C37" s="63">
        <v>2</v>
      </c>
      <c r="D37" s="63">
        <v>39.700000000000003</v>
      </c>
      <c r="E37" s="54"/>
      <c r="F37" s="54"/>
      <c r="G37" s="54"/>
      <c r="H37" s="54"/>
      <c r="I37" s="56">
        <f t="shared" ref="I37:I55" si="1">IF(A37&lt;&gt;0,(B37-(B36-D36))/(A37-A36),"")</f>
        <v>5.1049999999999995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60</v>
      </c>
      <c r="B38" s="63">
        <v>191</v>
      </c>
      <c r="C38" s="63">
        <v>3</v>
      </c>
      <c r="D38" s="63">
        <v>37.6</v>
      </c>
      <c r="E38" s="54"/>
      <c r="F38" s="54"/>
      <c r="G38" s="54"/>
      <c r="H38" s="54"/>
      <c r="I38" s="56">
        <f t="shared" si="1"/>
        <v>4.9850000000000003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70</v>
      </c>
      <c r="B39" s="63">
        <v>217</v>
      </c>
      <c r="C39" s="63">
        <v>4</v>
      </c>
      <c r="D39" s="63">
        <v>35.6</v>
      </c>
      <c r="E39" s="54"/>
      <c r="F39" s="54"/>
      <c r="G39" s="54"/>
      <c r="H39" s="54"/>
      <c r="I39" s="52">
        <f t="shared" si="1"/>
        <v>6.3599999999999994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90</v>
      </c>
      <c r="B40" s="63">
        <v>263</v>
      </c>
      <c r="C40" s="63">
        <v>5</v>
      </c>
      <c r="D40" s="63">
        <v>30.8</v>
      </c>
      <c r="E40" s="54"/>
      <c r="F40" s="54"/>
      <c r="G40" s="54"/>
      <c r="H40" s="54"/>
      <c r="I40" s="52">
        <f t="shared" si="1"/>
        <v>4.08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110</v>
      </c>
      <c r="B41" s="63">
        <v>300</v>
      </c>
      <c r="C41" s="63">
        <v>6</v>
      </c>
      <c r="D41" s="63">
        <v>26.1</v>
      </c>
      <c r="E41" s="54"/>
      <c r="F41" s="54"/>
      <c r="G41" s="54"/>
      <c r="H41" s="54"/>
      <c r="I41" s="56">
        <f t="shared" si="1"/>
        <v>3.3900000000000006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90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d'Alep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119.8678823908412</v>
      </c>
      <c r="T3" s="62">
        <f>IF('Données projet'!E9&gt;30,$R$33-$H$33,LOOKUP('Données projet'!$E$9,$A$3:$A$203,R3:R203)-LOOKUP('Données projet'!$E$9,$A$3:$A$203,$H$3:$H$203))</f>
        <v>64.795406733086224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0.58500000000000008</v>
      </c>
      <c r="D4" s="12">
        <f>IFERROR(EXP(-1.0587+0.8836*LN(C4)+0.284),0)</f>
        <v>0.28695314445355541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6.7308663782379723</v>
      </c>
      <c r="H4" s="70">
        <f t="shared" ref="H4:H67" si="1">(B4+E4+F4)*44/12+(C4+D4)*0.475*44/12</f>
        <v>294.85198505992327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3.15</v>
      </c>
      <c r="N4" s="14">
        <f>IF('Données projet'!$A$36&gt;35,N3+M4-V3,IF(A4&lt;'Données projet'!$A$36,$K$205^A4,IF(A4='Données projet'!$A$36,'Données projet'!$B$36,N3+M4-V3)))</f>
        <v>1.2301753698310307</v>
      </c>
      <c r="O4" s="14">
        <f>N4*VLOOKUP('Données projet'!$B$9,Paramètres!$A$1:$I$89,3,0)*VLOOKUP('Données projet'!$B$9,Paramètres!$A$1:$I$89,5,0)</f>
        <v>0.719652591351153</v>
      </c>
      <c r="P4" s="14">
        <f>EXP(-1.0587+0.8836*LN(O4)+0.284)</f>
        <v>0.3445925259847103</v>
      </c>
      <c r="Q4" s="22">
        <f t="shared" ref="Q4:Q34" si="2">(O4+P4)*0.475*44/12</f>
        <v>1.8535602460266289</v>
      </c>
      <c r="R4" s="62">
        <f t="shared" si="0"/>
        <v>295.18689357935995</v>
      </c>
      <c r="S4" s="62">
        <f ca="1">AVERAGE(OFFSET($R$3,0,0,'Données projet'!$E$9+1,1))-AVERAGE(OFFSET($H$3,0,0,'Données projet'!$E$9+1,1))</f>
        <v>119.8678823908412</v>
      </c>
      <c r="T4" s="62">
        <f>$T$3</f>
        <v>64.795406733086224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1.1700000000000002</v>
      </c>
      <c r="D5" s="12">
        <f t="shared" ref="D5:D68" si="32">IFERROR(EXP(-1.0587+0.8836*LN(C5)+0.284),0)</f>
        <v>0.52942091257985413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13.118336869037472</v>
      </c>
      <c r="H5" s="70">
        <f t="shared" si="1"/>
        <v>296.29315808940987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3.15</v>
      </c>
      <c r="N5" s="14">
        <f>IF('Données projet'!$A$36&gt;35,N4+M5-V4,IF(A5&lt;'Données projet'!$A$36,$K$205^A5,IF(A5='Données projet'!$A$36,'Données projet'!$B$36,N4+M5-V4)))</f>
        <v>1.5133314405389131</v>
      </c>
      <c r="O5" s="14">
        <f>N5*VLOOKUP('Données projet'!$B$9,Paramètres!$A$1:$I$89,3,0)*VLOOKUP('Données projet'!$B$9,Paramètres!$A$1:$I$89,5,0)</f>
        <v>0.8852988927152643</v>
      </c>
      <c r="P5" s="14">
        <f t="shared" ref="P5:P68" si="33">EXP(-1.0587+0.8836*LN(O5)+0.284)</f>
        <v>0.41380974998774556</v>
      </c>
      <c r="Q5" s="22">
        <f t="shared" si="2"/>
        <v>2.2626142193744085</v>
      </c>
      <c r="R5" s="62">
        <f t="shared" si="0"/>
        <v>295.59594755270774</v>
      </c>
      <c r="S5" s="62">
        <f ca="1">AVERAGE(OFFSET($R$3,0,0,'Données projet'!$E$9+1,1))-AVERAGE(OFFSET($H$3,0,0,'Données projet'!$E$9+1,1))</f>
        <v>119.8678823908412</v>
      </c>
      <c r="T5" s="62">
        <f t="shared" ref="T5:T68" si="34">$T$3</f>
        <v>64.795406733086224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1.7550000000000003</v>
      </c>
      <c r="D6" s="12">
        <f t="shared" si="32"/>
        <v>0.75752213717865124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19.394907725589594</v>
      </c>
      <c r="H6" s="70">
        <f t="shared" si="1"/>
        <v>297.70930938891945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3.15</v>
      </c>
      <c r="N6" s="14">
        <f>IF('Données projet'!$A$36&gt;35,N5+M6-V5,IF(A6&lt;'Données projet'!$A$36,$K$205^A6,IF(A6='Données projet'!$A$36,'Données projet'!$B$36,N5+M6-V5)))</f>
        <v>1.8616630645418839</v>
      </c>
      <c r="O6" s="14">
        <f>N6*VLOOKUP('Données projet'!$B$9,Paramètres!$A$1:$I$89,3,0)*VLOOKUP('Données projet'!$B$9,Paramètres!$A$1:$I$89,5,0)</f>
        <v>1.0890728927570021</v>
      </c>
      <c r="P6" s="14">
        <f t="shared" si="33"/>
        <v>0.49693042150461031</v>
      </c>
      <c r="Q6" s="22">
        <f t="shared" si="2"/>
        <v>2.7622891056723087</v>
      </c>
      <c r="R6" s="62">
        <f t="shared" si="0"/>
        <v>296.09562243900564</v>
      </c>
      <c r="S6" s="62">
        <f ca="1">AVERAGE(OFFSET($R$3,0,0,'Données projet'!$E$9+1,1))-AVERAGE(OFFSET($H$3,0,0,'Données projet'!$E$9+1,1))</f>
        <v>119.8678823908412</v>
      </c>
      <c r="T6" s="62">
        <f t="shared" si="34"/>
        <v>64.795406733086224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2.3400000000000003</v>
      </c>
      <c r="D7" s="12">
        <f t="shared" si="32"/>
        <v>0.97676749007450281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25.603117467241784</v>
      </c>
      <c r="H7" s="70">
        <f t="shared" si="1"/>
        <v>299.11003671187973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3.15</v>
      </c>
      <c r="N7" s="14">
        <f>IF('Données projet'!$A$36&gt;35,N6+M7-V6,IF(A7&lt;'Données projet'!$A$36,$K$205^A7,IF(A7='Données projet'!$A$36,'Données projet'!$B$36,N6+M7-V6)))</f>
        <v>2.2901720489235817</v>
      </c>
      <c r="O7" s="14">
        <f>N7*VLOOKUP('Données projet'!$B$9,Paramètres!$A$1:$I$89,3,0)*VLOOKUP('Données projet'!$B$9,Paramètres!$A$1:$I$89,5,0)</f>
        <v>1.3397506486202955</v>
      </c>
      <c r="P7" s="14">
        <f t="shared" si="33"/>
        <v>0.59674728259559495</v>
      </c>
      <c r="Q7" s="22">
        <f t="shared" si="2"/>
        <v>3.3727338968676754</v>
      </c>
      <c r="R7" s="62">
        <f t="shared" si="0"/>
        <v>296.70606723020097</v>
      </c>
      <c r="S7" s="62">
        <f ca="1">AVERAGE(OFFSET($R$3,0,0,'Données projet'!$E$9+1,1))-AVERAGE(OFFSET($H$3,0,0,'Données projet'!$E$9+1,1))</f>
        <v>119.8678823908412</v>
      </c>
      <c r="T7" s="62">
        <f t="shared" si="34"/>
        <v>64.795406733086224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2.9250000000000003</v>
      </c>
      <c r="D8" s="12">
        <f t="shared" si="32"/>
        <v>1.1896545883900647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31.762245945467171</v>
      </c>
      <c r="H8" s="70">
        <f t="shared" si="1"/>
        <v>300.49969007477932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3.15</v>
      </c>
      <c r="N8" s="14">
        <f>IF('Données projet'!$A$36&gt;35,N7+M8-V7,IF(A8&lt;'Données projet'!$A$36,$K$205^A8,IF(A8='Données projet'!$A$36,'Données projet'!$B$36,N7+M8-V7)))</f>
        <v>2.8173132472612563</v>
      </c>
      <c r="O8" s="14">
        <f>N8*VLOOKUP('Données projet'!$B$9,Paramètres!$A$1:$I$89,3,0)*VLOOKUP('Données projet'!$B$9,Paramètres!$A$1:$I$89,5,0)</f>
        <v>1.6481282496478349</v>
      </c>
      <c r="P8" s="14">
        <f t="shared" si="33"/>
        <v>0.71661404469261913</v>
      </c>
      <c r="Q8" s="22">
        <f t="shared" si="2"/>
        <v>4.1185928293096241</v>
      </c>
      <c r="R8" s="62">
        <f t="shared" si="0"/>
        <v>297.45192616264296</v>
      </c>
      <c r="S8" s="62">
        <f ca="1">AVERAGE(OFFSET($R$3,0,0,'Données projet'!$E$9+1,1))-AVERAGE(OFFSET($H$3,0,0,'Données projet'!$E$9+1,1))</f>
        <v>119.8678823908412</v>
      </c>
      <c r="T8" s="62">
        <f t="shared" si="34"/>
        <v>64.795406733086224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3.5100000000000002</v>
      </c>
      <c r="D9" s="12">
        <f t="shared" si="32"/>
        <v>1.3976081772105282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37.883291192502327</v>
      </c>
      <c r="H9" s="70">
        <f t="shared" si="1"/>
        <v>301.88075090864163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3.15</v>
      </c>
      <c r="N9" s="14">
        <f>IF('Données projet'!$A$36&gt;35,N8+M9-V8,IF(A9&lt;'Données projet'!$A$36,$K$205^A9,IF(A9='Données projet'!$A$36,'Données projet'!$B$36,N8+M9-V8)))</f>
        <v>3.4657893658794783</v>
      </c>
      <c r="O9" s="14">
        <f>N9*VLOOKUP('Données projet'!$B$9,Paramètres!$A$1:$I$89,3,0)*VLOOKUP('Données projet'!$B$9,Paramètres!$A$1:$I$89,5,0)</f>
        <v>2.0274867790394948</v>
      </c>
      <c r="P9" s="14">
        <f t="shared" si="33"/>
        <v>0.86055806876414243</v>
      </c>
      <c r="Q9" s="22">
        <f t="shared" si="2"/>
        <v>5.0300114432580019</v>
      </c>
      <c r="R9" s="62">
        <f t="shared" si="0"/>
        <v>298.3633447765913</v>
      </c>
      <c r="S9" s="62">
        <f ca="1">AVERAGE(OFFSET($R$3,0,0,'Données projet'!$E$9+1,1))-AVERAGE(OFFSET($H$3,0,0,'Données projet'!$E$9+1,1))</f>
        <v>119.8678823908412</v>
      </c>
      <c r="T9" s="62">
        <f t="shared" si="34"/>
        <v>64.795406733086224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4.0950000000000006</v>
      </c>
      <c r="D10" s="12">
        <f t="shared" si="32"/>
        <v>1.6015467346037437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43.973343214485048</v>
      </c>
      <c r="H10" s="70">
        <f t="shared" si="1"/>
        <v>303.25481889610148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3.15</v>
      </c>
      <c r="N10" s="14">
        <f>IF('Données projet'!$A$36&gt;35,N9+M10-V9,IF(A10&lt;'Données projet'!$A$36,$K$205^A10,IF(A10='Données projet'!$A$36,'Données projet'!$B$36,N9+M10-V9)))</f>
        <v>4.2635287149272401</v>
      </c>
      <c r="O10" s="14">
        <f>N10*VLOOKUP('Données projet'!$B$9,Paramètres!$A$1:$I$89,3,0)*VLOOKUP('Données projet'!$B$9,Paramètres!$A$1:$I$89,5,0)</f>
        <v>2.4941642982324357</v>
      </c>
      <c r="P10" s="14">
        <f t="shared" si="33"/>
        <v>1.0334156791927274</v>
      </c>
      <c r="Q10" s="22">
        <f t="shared" si="2"/>
        <v>6.1438684606821594</v>
      </c>
      <c r="R10" s="62">
        <f t="shared" si="0"/>
        <v>299.47720179401546</v>
      </c>
      <c r="S10" s="62">
        <f ca="1">AVERAGE(OFFSET($R$3,0,0,'Données projet'!$E$9+1,1))-AVERAGE(OFFSET($H$3,0,0,'Données projet'!$E$9+1,1))</f>
        <v>119.8678823908412</v>
      </c>
      <c r="T10" s="62">
        <f t="shared" si="34"/>
        <v>64.795406733086224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4.6800000000000006</v>
      </c>
      <c r="D11" s="12">
        <f t="shared" si="32"/>
        <v>1.8021100168054618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50.037340480603575</v>
      </c>
      <c r="H11" s="70">
        <f t="shared" si="1"/>
        <v>304.62300827926947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3.15</v>
      </c>
      <c r="N11" s="14">
        <f>IF('Données projet'!$A$36&gt;35,N10+M11-V10,IF(A11&lt;'Données projet'!$A$36,$K$205^A11,IF(A11='Données projet'!$A$36,'Données projet'!$B$36,N10+M11-V10)))</f>
        <v>5.2448880136708365</v>
      </c>
      <c r="O11" s="14">
        <f>N11*VLOOKUP('Données projet'!$B$9,Paramètres!$A$1:$I$89,3,0)*VLOOKUP('Données projet'!$B$9,Paramètres!$A$1:$I$89,5,0)</f>
        <v>3.0682594879974396</v>
      </c>
      <c r="P11" s="14">
        <f t="shared" si="33"/>
        <v>1.2409946577283955</v>
      </c>
      <c r="Q11" s="22">
        <f t="shared" si="2"/>
        <v>7.505284303805829</v>
      </c>
      <c r="R11" s="62">
        <f t="shared" si="0"/>
        <v>300.83861763713912</v>
      </c>
      <c r="S11" s="62">
        <f ca="1">AVERAGE(OFFSET($R$3,0,0,'Données projet'!$E$9+1,1))-AVERAGE(OFFSET($H$3,0,0,'Données projet'!$E$9+1,1))</f>
        <v>119.8678823908412</v>
      </c>
      <c r="T11" s="62">
        <f t="shared" si="34"/>
        <v>64.795406733086224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5.2650000000000006</v>
      </c>
      <c r="D12" s="12">
        <f t="shared" si="32"/>
        <v>1.9997682527873106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56.078912828533639</v>
      </c>
      <c r="H12" s="70">
        <f t="shared" si="1"/>
        <v>305.98613804027121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3.15</v>
      </c>
      <c r="N12" s="14">
        <f>IF('Données projet'!$A$36&gt;35,N11+M12-V11,IF(A12&lt;'Données projet'!$A$36,$K$205^A12,IF(A12='Données projet'!$A$36,'Données projet'!$B$36,N11+M12-V11)))</f>
        <v>6.4521320519398611</v>
      </c>
      <c r="O12" s="14">
        <f>N12*VLOOKUP('Données projet'!$B$9,Paramètres!$A$1:$I$89,3,0)*VLOOKUP('Données projet'!$B$9,Paramètres!$A$1:$I$89,5,0)</f>
        <v>3.7744972503848189</v>
      </c>
      <c r="P12" s="14">
        <f t="shared" si="33"/>
        <v>1.4902693770946762</v>
      </c>
      <c r="Q12" s="22">
        <f t="shared" si="2"/>
        <v>9.1694685428601197</v>
      </c>
      <c r="R12" s="62">
        <f t="shared" si="0"/>
        <v>302.50280187619342</v>
      </c>
      <c r="S12" s="62">
        <f ca="1">AVERAGE(OFFSET($R$3,0,0,'Données projet'!$E$9+1,1))-AVERAGE(OFFSET($H$3,0,0,'Données projet'!$E$9+1,1))</f>
        <v>119.8678823908412</v>
      </c>
      <c r="T12" s="62">
        <f t="shared" si="34"/>
        <v>64.795406733086224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5.8500000000000005</v>
      </c>
      <c r="D13" s="12">
        <f t="shared" si="32"/>
        <v>2.1948810459619104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62.10083614426739</v>
      </c>
      <c r="H13" s="70">
        <f t="shared" si="1"/>
        <v>307.34483448838364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3.15</v>
      </c>
      <c r="N13" s="14">
        <f>IF('Données projet'!$A$36&gt;35,N12+M13-V12,IF(A13&lt;'Données projet'!$A$36,$K$205^A13,IF(A13='Données projet'!$A$36,'Données projet'!$B$36,N12+M13-V12)))</f>
        <v>7.9372539331937659</v>
      </c>
      <c r="O13" s="14">
        <f>N13*VLOOKUP('Données projet'!$B$9,Paramètres!$A$1:$I$89,3,0)*VLOOKUP('Données projet'!$B$9,Paramètres!$A$1:$I$89,5,0)</f>
        <v>4.6432935509183535</v>
      </c>
      <c r="P13" s="14">
        <f t="shared" si="33"/>
        <v>1.7896151304724006</v>
      </c>
      <c r="Q13" s="22">
        <f t="shared" si="2"/>
        <v>11.203982620088896</v>
      </c>
      <c r="R13" s="62">
        <f t="shared" si="0"/>
        <v>304.53731595342219</v>
      </c>
      <c r="S13" s="62">
        <f ca="1">AVERAGE(OFFSET($R$3,0,0,'Données projet'!$E$9+1,1))-AVERAGE(OFFSET($H$3,0,0,'Données projet'!$E$9+1,1))</f>
        <v>119.8678823908412</v>
      </c>
      <c r="T13" s="62">
        <f t="shared" si="34"/>
        <v>64.795406733086224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6.4350000000000005</v>
      </c>
      <c r="D14" s="12">
        <f t="shared" si="32"/>
        <v>2.3877319172016778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68.105299009977884</v>
      </c>
      <c r="H14" s="70">
        <f t="shared" si="1"/>
        <v>308.69959142245955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3.15</v>
      </c>
      <c r="N14" s="14">
        <f>IF('Données projet'!$A$36&gt;35,N13+M14-V13,IF(A14&lt;'Données projet'!$A$36,$K$205^A14,IF(A14='Données projet'!$A$36,'Données projet'!$B$36,N13+M14-V13)))</f>
        <v>9.7642142927094433</v>
      </c>
      <c r="O14" s="14">
        <f>N14*VLOOKUP('Données projet'!$B$9,Paramètres!$A$1:$I$89,3,0)*VLOOKUP('Données projet'!$B$9,Paramètres!$A$1:$I$89,5,0)</f>
        <v>5.712065361235025</v>
      </c>
      <c r="P14" s="14">
        <f t="shared" si="33"/>
        <v>2.149089530014733</v>
      </c>
      <c r="Q14" s="22">
        <f t="shared" si="2"/>
        <v>13.691511435593327</v>
      </c>
      <c r="R14" s="62">
        <f t="shared" si="0"/>
        <v>307.02484476892664</v>
      </c>
      <c r="S14" s="62">
        <f ca="1">AVERAGE(OFFSET($R$3,0,0,'Données projet'!$E$9+1,1))-AVERAGE(OFFSET($H$3,0,0,'Données projet'!$E$9+1,1))</f>
        <v>119.8678823908412</v>
      </c>
      <c r="T14" s="62">
        <f t="shared" si="34"/>
        <v>64.795406733086224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7.0200000000000005</v>
      </c>
      <c r="D15" s="12">
        <f t="shared" si="32"/>
        <v>2.5785498814341241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74.094069260193237</v>
      </c>
      <c r="H15" s="70">
        <f t="shared" si="1"/>
        <v>310.05080771016441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3.15</v>
      </c>
      <c r="N15" s="14">
        <f>IF('Données projet'!$A$36&gt;35,N14+M15-V14,IF(A15&lt;'Données projet'!$A$36,$K$205^A15,IF(A15='Données projet'!$A$36,'Données projet'!$B$36,N14+M15-V14)))</f>
        <v>12.011695928643274</v>
      </c>
      <c r="O15" s="14">
        <f>N15*VLOOKUP('Données projet'!$B$9,Paramètres!$A$1:$I$89,3,0)*VLOOKUP('Données projet'!$B$9,Paramètres!$A$1:$I$89,5,0)</f>
        <v>7.0268421182563161</v>
      </c>
      <c r="P15" s="14">
        <f t="shared" si="33"/>
        <v>2.5807704290026812</v>
      </c>
      <c r="Q15" s="22">
        <f t="shared" si="2"/>
        <v>16.733258519809421</v>
      </c>
      <c r="R15" s="62">
        <f t="shared" si="0"/>
        <v>310.06659185314271</v>
      </c>
      <c r="S15" s="62">
        <f ca="1">AVERAGE(OFFSET($R$3,0,0,'Données projet'!$E$9+1,1))-AVERAGE(OFFSET($H$3,0,0,'Données projet'!$E$9+1,1))</f>
        <v>119.8678823908412</v>
      </c>
      <c r="T15" s="62">
        <f t="shared" si="34"/>
        <v>64.795406733086224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7.6050000000000004</v>
      </c>
      <c r="D16" s="12">
        <f t="shared" si="32"/>
        <v>2.7675236078659342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80.068603288789674</v>
      </c>
      <c r="H16" s="70">
        <f t="shared" si="1"/>
        <v>311.39881195036651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3.15</v>
      </c>
      <c r="N16" s="14">
        <f>IF('Données projet'!$A$36&gt;35,N15+M16-V15,IF(A16&lt;'Données projet'!$A$36,$K$205^A16,IF(A16='Données projet'!$A$36,'Données projet'!$B$36,N15+M16-V15)))</f>
        <v>14.776492481316625</v>
      </c>
      <c r="O16" s="14">
        <f>N16*VLOOKUP('Données projet'!$B$9,Paramètres!$A$1:$I$89,3,0)*VLOOKUP('Données projet'!$B$9,Paramètres!$A$1:$I$89,5,0)</f>
        <v>8.6442481015702253</v>
      </c>
      <c r="P16" s="14">
        <f t="shared" si="33"/>
        <v>3.0991617213681275</v>
      </c>
      <c r="Q16" s="22">
        <f t="shared" si="2"/>
        <v>20.453105441617634</v>
      </c>
      <c r="R16" s="62">
        <f t="shared" si="0"/>
        <v>313.78643877495097</v>
      </c>
      <c r="S16" s="62">
        <f ca="1">AVERAGE(OFFSET($R$3,0,0,'Données projet'!$E$9+1,1))-AVERAGE(OFFSET($H$3,0,0,'Données projet'!$E$9+1,1))</f>
        <v>119.8678823908412</v>
      </c>
      <c r="T16" s="62">
        <f t="shared" si="34"/>
        <v>64.795406733086224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8.1900000000000013</v>
      </c>
      <c r="D17" s="12">
        <f t="shared" si="32"/>
        <v>2.9548110908066194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86.03012070096338</v>
      </c>
      <c r="H17" s="70">
        <f t="shared" si="1"/>
        <v>312.74387931648818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3.15</v>
      </c>
      <c r="N17" s="14">
        <f>IF('Données projet'!$A$36&gt;35,N16+M17-V16,IF(A17&lt;'Données projet'!$A$36,$K$205^A17,IF(A17='Données projet'!$A$36,'Données projet'!$B$36,N16+M17-V16)))</f>
        <v>18.177677103009124</v>
      </c>
      <c r="O17" s="14">
        <f>N17*VLOOKUP('Données projet'!$B$9,Paramètres!$A$1:$I$89,3,0)*VLOOKUP('Données projet'!$B$9,Paramètres!$A$1:$I$89,5,0)</f>
        <v>10.633941105260337</v>
      </c>
      <c r="P17" s="14">
        <f t="shared" si="33"/>
        <v>3.7216806528991273</v>
      </c>
      <c r="Q17" s="22">
        <f t="shared" si="2"/>
        <v>25.002707895461068</v>
      </c>
      <c r="R17" s="62">
        <f t="shared" si="0"/>
        <v>318.33604122879439</v>
      </c>
      <c r="S17" s="62">
        <f ca="1">AVERAGE(OFFSET($R$3,0,0,'Données projet'!$E$9+1,1))-AVERAGE(OFFSET($H$3,0,0,'Données projet'!$E$9+1,1))</f>
        <v>119.8678823908412</v>
      </c>
      <c r="T17" s="62">
        <f t="shared" si="34"/>
        <v>64.795406733086224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8.7750000000000021</v>
      </c>
      <c r="D18" s="12">
        <f t="shared" si="32"/>
        <v>3.140546474992512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91.979656999942208</v>
      </c>
      <c r="H18" s="70">
        <f t="shared" si="1"/>
        <v>314.08624344394525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3.15</v>
      </c>
      <c r="N18" s="14">
        <f>IF('Données projet'!$A$36&gt;35,N17+M18-V17,IF(A18&lt;'Données projet'!$A$36,$K$205^A18,IF(A18='Données projet'!$A$36,'Données projet'!$B$36,N17+M18-V17)))</f>
        <v>22.361730652863304</v>
      </c>
      <c r="O18" s="14">
        <f>N18*VLOOKUP('Données projet'!$B$9,Paramètres!$A$1:$I$89,3,0)*VLOOKUP('Données projet'!$B$9,Paramètres!$A$1:$I$89,5,0)</f>
        <v>13.081612431925034</v>
      </c>
      <c r="P18" s="14">
        <f t="shared" si="33"/>
        <v>4.4692430171243798</v>
      </c>
      <c r="Q18" s="22">
        <f t="shared" si="2"/>
        <v>30.567739907094396</v>
      </c>
      <c r="R18" s="62">
        <f t="shared" si="0"/>
        <v>323.90107324042771</v>
      </c>
      <c r="S18" s="62">
        <f ca="1">AVERAGE(OFFSET($R$3,0,0,'Données projet'!$E$9+1,1))-AVERAGE(OFFSET($H$3,0,0,'Données projet'!$E$9+1,1))</f>
        <v>119.8678823908412</v>
      </c>
      <c r="T18" s="62">
        <f t="shared" si="34"/>
        <v>64.795406733086224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9.360000000000003</v>
      </c>
      <c r="D19" s="12">
        <f t="shared" si="32"/>
        <v>3.3248450073035007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97.918101810763901</v>
      </c>
      <c r="H19" s="70">
        <f t="shared" si="1"/>
        <v>315.42610505438694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3.15</v>
      </c>
      <c r="N19" s="14">
        <f>IF('Données projet'!$A$36&gt;35,N18+M19-V18,IF(A19&lt;'Données projet'!$A$36,$K$205^A19,IF(A19='Données projet'!$A$36,'Données projet'!$B$36,N18+M19-V18)))</f>
        <v>27.508850275948014</v>
      </c>
      <c r="O19" s="14">
        <f>N19*VLOOKUP('Données projet'!$B$9,Paramètres!$A$1:$I$89,3,0)*VLOOKUP('Données projet'!$B$9,Paramètres!$A$1:$I$89,5,0)</f>
        <v>16.092677411429587</v>
      </c>
      <c r="P19" s="14">
        <f t="shared" si="33"/>
        <v>5.3669658976665584</v>
      </c>
      <c r="Q19" s="22">
        <f t="shared" si="2"/>
        <v>37.375545430009119</v>
      </c>
      <c r="R19" s="62">
        <f t="shared" si="0"/>
        <v>330.70887876334245</v>
      </c>
      <c r="S19" s="62">
        <f ca="1">AVERAGE(OFFSET($R$3,0,0,'Données projet'!$E$9+1,1))-AVERAGE(OFFSET($H$3,0,0,'Données projet'!$E$9+1,1))</f>
        <v>119.8678823908412</v>
      </c>
      <c r="T19" s="62">
        <f t="shared" si="34"/>
        <v>64.795406733086224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9.9450000000000038</v>
      </c>
      <c r="D20" s="12">
        <f t="shared" si="32"/>
        <v>3.5078067145376512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103.84622727011522</v>
      </c>
      <c r="H20" s="70">
        <f t="shared" si="1"/>
        <v>316.76363836115308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3.15</v>
      </c>
      <c r="N20" s="14">
        <f>IF('Données projet'!$A$36&gt;35,N19+M20-V19,IF(A20&lt;'Données projet'!$A$36,$K$205^A20,IF(A20='Données projet'!$A$36,'Données projet'!$B$36,N19+M20-V19)))</f>
        <v>33.840710061840795</v>
      </c>
      <c r="O20" s="14">
        <f>N20*VLOOKUP('Données projet'!$B$9,Paramètres!$A$1:$I$89,3,0)*VLOOKUP('Données projet'!$B$9,Paramètres!$A$1:$I$89,5,0)</f>
        <v>19.796815386176867</v>
      </c>
      <c r="P20" s="14">
        <f t="shared" si="33"/>
        <v>6.44501156825641</v>
      </c>
      <c r="Q20" s="22">
        <f t="shared" si="2"/>
        <v>45.704515278971293</v>
      </c>
      <c r="R20" s="62">
        <f t="shared" si="0"/>
        <v>339.03784861230463</v>
      </c>
      <c r="S20" s="62">
        <f ca="1">AVERAGE(OFFSET($R$3,0,0,'Données projet'!$E$9+1,1))-AVERAGE(OFFSET($H$3,0,0,'Données projet'!$E$9+1,1))</f>
        <v>119.8678823908412</v>
      </c>
      <c r="T20" s="62">
        <f t="shared" si="34"/>
        <v>64.795406733086224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10.530000000000005</v>
      </c>
      <c r="D21" s="12">
        <f t="shared" si="32"/>
        <v>3.6895191908595266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109.76470954347708</v>
      </c>
      <c r="H21" s="70">
        <f t="shared" si="1"/>
        <v>318.09899592408033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3.15</v>
      </c>
      <c r="N21" s="14">
        <f>IF('Données projet'!$A$36&gt;35,N20+M21-V20,IF(A21&lt;'Données projet'!$A$36,$K$205^A21,IF(A21='Données projet'!$A$36,'Données projet'!$B$36,N20+M21-V20)))</f>
        <v>41.630008015669688</v>
      </c>
      <c r="O21" s="14">
        <f>N21*VLOOKUP('Données projet'!$B$9,Paramètres!$A$1:$I$89,3,0)*VLOOKUP('Données projet'!$B$9,Paramètres!$A$1:$I$89,5,0)</f>
        <v>24.353554689166771</v>
      </c>
      <c r="P21" s="14">
        <f t="shared" si="33"/>
        <v>7.7396009043058847</v>
      </c>
      <c r="Q21" s="22">
        <f t="shared" si="2"/>
        <v>55.895579325298208</v>
      </c>
      <c r="R21" s="62">
        <f t="shared" si="0"/>
        <v>349.22891265863154</v>
      </c>
      <c r="S21" s="62">
        <f ca="1">AVERAGE(OFFSET($R$3,0,0,'Données projet'!$E$9+1,1))-AVERAGE(OFFSET($H$3,0,0,'Données projet'!$E$9+1,1))</f>
        <v>119.8678823908412</v>
      </c>
      <c r="T21" s="62">
        <f t="shared" si="34"/>
        <v>64.795406733086224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11.115000000000006</v>
      </c>
      <c r="D22" s="12">
        <f t="shared" si="32"/>
        <v>3.8700597480569492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115.67414542359757</v>
      </c>
      <c r="H22" s="70">
        <f t="shared" si="1"/>
        <v>319.43231239453252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3.15</v>
      </c>
      <c r="N22" s="14">
        <f>IF('Données projet'!$A$36&gt;35,N21+M22-V21,IF(A22&lt;'Données projet'!$A$36,$K$205^A22,IF(A22='Données projet'!$A$36,'Données projet'!$B$36,N21+M22-V21)))</f>
        <v>51.21221050674523</v>
      </c>
      <c r="O22" s="14">
        <f>N22*VLOOKUP('Données projet'!$B$9,Paramètres!$A$1:$I$89,3,0)*VLOOKUP('Données projet'!$B$9,Paramètres!$A$1:$I$89,5,0)</f>
        <v>29.95914314644596</v>
      </c>
      <c r="P22" s="14">
        <f t="shared" si="33"/>
        <v>9.2942303552975289</v>
      </c>
      <c r="Q22" s="22">
        <f t="shared" si="2"/>
        <v>68.366292182203253</v>
      </c>
      <c r="R22" s="62">
        <f t="shared" si="0"/>
        <v>361.69962551553658</v>
      </c>
      <c r="S22" s="62">
        <f ca="1">AVERAGE(OFFSET($R$3,0,0,'Données projet'!$E$9+1,1))-AVERAGE(OFFSET($H$3,0,0,'Données projet'!$E$9+1,1))</f>
        <v>119.8678823908412</v>
      </c>
      <c r="T22" s="62">
        <f t="shared" si="34"/>
        <v>64.795406733086224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11.700000000000006</v>
      </c>
      <c r="D23" s="12">
        <f t="shared" si="32"/>
        <v>4.0494971001980309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121.57506533486206</v>
      </c>
      <c r="H23" s="70">
        <f t="shared" si="1"/>
        <v>320.76370744951157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63</v>
      </c>
      <c r="L23" s="13">
        <f>VLOOKUP(A23,'Données projet'!$A$35:$I$55,9,0)</f>
        <v>3.15</v>
      </c>
      <c r="M23" s="13">
        <f t="array" ref="M23">INDEX(L:L,MIN(IF(ISNUMBER(L23:L219),ROW(L23:L219),"")))</f>
        <v>3.15</v>
      </c>
      <c r="N23" s="14">
        <f>IF('Données projet'!$A$36&gt;35,N22+M23-V22,IF(A23&lt;'Données projet'!$A$36,$K$205^A23,IF(A23='Données projet'!$A$36,'Données projet'!$B$36,N22+M23-V22)))</f>
        <v>63</v>
      </c>
      <c r="O23" s="14">
        <f>N23*VLOOKUP('Données projet'!$B$9,Paramètres!$A$1:$I$89,3,0)*VLOOKUP('Données projet'!$B$9,Paramètres!$A$1:$I$89,5,0)</f>
        <v>36.855000000000004</v>
      </c>
      <c r="P23" s="14">
        <f t="shared" si="33"/>
        <v>11.161133366615273</v>
      </c>
      <c r="Q23" s="22">
        <f t="shared" si="2"/>
        <v>83.628098946854934</v>
      </c>
      <c r="R23" s="62">
        <f t="shared" si="0"/>
        <v>376.96143228018826</v>
      </c>
      <c r="S23" s="62">
        <f ca="1">AVERAGE(OFFSET($R$3,0,0,'Données projet'!$E$9+1,1))-AVERAGE(OFFSET($H$3,0,0,'Données projet'!$E$9+1,1))</f>
        <v>119.8678823908412</v>
      </c>
      <c r="T23" s="62">
        <f t="shared" si="34"/>
        <v>64.795406733086224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34.1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1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22.586335987206706</v>
      </c>
      <c r="AC23" s="24">
        <f t="shared" si="3"/>
        <v>22.586335987206706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12.285000000000007</v>
      </c>
      <c r="D24" s="12">
        <f t="shared" si="32"/>
        <v>4.2278927017817747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127.46794366287692</v>
      </c>
      <c r="H24" s="70">
        <f t="shared" si="1"/>
        <v>322.09328812226994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5.1049999999999995</v>
      </c>
      <c r="N24" s="14">
        <f>IF('Données projet'!$A$36&gt;35,N23+M24-V23,IF(A24&lt;'Données projet'!$A$36,$K$205^A24,IF(A24='Données projet'!$A$36,'Données projet'!$B$36,N23+M24-V23)))</f>
        <v>34.005000000000003</v>
      </c>
      <c r="O24" s="14">
        <f>N24*VLOOKUP('Données projet'!$B$9,Paramètres!$A$1:$I$89,3,0)*VLOOKUP('Données projet'!$B$9,Paramètres!$A$1:$I$89,5,0)</f>
        <v>19.892925000000002</v>
      </c>
      <c r="P24" s="14">
        <f t="shared" si="33"/>
        <v>6.4726509549305122</v>
      </c>
      <c r="Q24" s="22">
        <f t="shared" si="2"/>
        <v>45.920044788170649</v>
      </c>
      <c r="R24" s="62">
        <f t="shared" si="0"/>
        <v>339.25337812150394</v>
      </c>
      <c r="S24" s="62">
        <f ca="1">AVERAGE(OFFSET($R$3,0,0,'Données projet'!$E$9+1,1))-AVERAGE(OFFSET($H$3,0,0,'Données projet'!$E$9+1,1))</f>
        <v>119.8678823908412</v>
      </c>
      <c r="T24" s="62">
        <f t="shared" si="34"/>
        <v>64.795406733086224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15.970951338711616</v>
      </c>
      <c r="AC24" s="24">
        <f t="shared" si="3"/>
        <v>15.970951338711616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12.870000000000008</v>
      </c>
      <c r="D25" s="12">
        <f t="shared" si="32"/>
        <v>4.4053018237810591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133.35320706076612</v>
      </c>
      <c r="H25" s="70">
        <f t="shared" si="1"/>
        <v>323.42115067641868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5.1049999999999995</v>
      </c>
      <c r="N25" s="14">
        <f>IF('Données projet'!$A$36&gt;35,N24+M25-V24,IF(A25&lt;'Données projet'!$A$36,$K$205^A25,IF(A25='Données projet'!$A$36,'Données projet'!$B$36,N24+M25-V24)))</f>
        <v>39.11</v>
      </c>
      <c r="O25" s="14">
        <f>N25*VLOOKUP('Données projet'!$B$9,Paramètres!$A$1:$I$89,3,0)*VLOOKUP('Données projet'!$B$9,Paramètres!$A$1:$I$89,5,0)</f>
        <v>22.879349999999999</v>
      </c>
      <c r="P25" s="14">
        <f t="shared" si="33"/>
        <v>7.3241377253656408</v>
      </c>
      <c r="Q25" s="22">
        <f t="shared" si="2"/>
        <v>52.604407788345156</v>
      </c>
      <c r="R25" s="62">
        <f t="shared" si="0"/>
        <v>345.93774112167847</v>
      </c>
      <c r="S25" s="62">
        <f ca="1">AVERAGE(OFFSET($R$3,0,0,'Données projet'!$E$9+1,1))-AVERAGE(OFFSET($H$3,0,0,'Données projet'!$E$9+1,1))</f>
        <v>119.8678823908412</v>
      </c>
      <c r="T25" s="62">
        <f t="shared" si="34"/>
        <v>64.795406733086224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11.293167993603355</v>
      </c>
      <c r="AC25" s="24">
        <f t="shared" si="3"/>
        <v>11.293167993603355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13.455000000000009</v>
      </c>
      <c r="D26" s="12">
        <f t="shared" si="32"/>
        <v>4.5817744285110402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139.23124120254144</v>
      </c>
      <c r="H26" s="70">
        <f t="shared" si="1"/>
        <v>324.74738212965673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5.1049999999999995</v>
      </c>
      <c r="N26" s="14">
        <f>IF('Données projet'!$A$36&gt;35,N25+M26-V25,IF(A26&lt;'Données projet'!$A$36,$K$205^A26,IF(A26='Données projet'!$A$36,'Données projet'!$B$36,N25+M26-V25)))</f>
        <v>44.214999999999996</v>
      </c>
      <c r="O26" s="14">
        <f>N26*VLOOKUP('Données projet'!$B$9,Paramètres!$A$1:$I$89,3,0)*VLOOKUP('Données projet'!$B$9,Paramètres!$A$1:$I$89,5,0)</f>
        <v>25.865774999999996</v>
      </c>
      <c r="P26" s="14">
        <f t="shared" si="33"/>
        <v>8.1627465611797554</v>
      </c>
      <c r="Q26" s="22">
        <f t="shared" si="2"/>
        <v>59.266341719054736</v>
      </c>
      <c r="R26" s="62">
        <f t="shared" si="0"/>
        <v>352.59967505238808</v>
      </c>
      <c r="S26" s="62">
        <f ca="1">AVERAGE(OFFSET($R$3,0,0,'Données projet'!$E$9+1,1))-AVERAGE(OFFSET($H$3,0,0,'Données projet'!$E$9+1,1))</f>
        <v>119.8678823908412</v>
      </c>
      <c r="T26" s="62">
        <f t="shared" si="34"/>
        <v>64.795406733086224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7.98547566935581</v>
      </c>
      <c r="AC26" s="24">
        <f t="shared" si="3"/>
        <v>7.98547566935581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14.04000000000001</v>
      </c>
      <c r="D27" s="12">
        <f t="shared" si="32"/>
        <v>4.7573558880532927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145.10239632883253</v>
      </c>
      <c r="H27" s="70">
        <f t="shared" si="1"/>
        <v>326.07206150502617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5.1049999999999995</v>
      </c>
      <c r="N27" s="14">
        <f>IF('Données projet'!$A$36&gt;35,N26+M27-V26,IF(A27&lt;'Données projet'!$A$36,$K$205^A27,IF(A27='Données projet'!$A$36,'Données projet'!$B$36,N26+M27-V26)))</f>
        <v>49.319999999999993</v>
      </c>
      <c r="O27" s="14">
        <f>N27*VLOOKUP('Données projet'!$B$9,Paramètres!$A$1:$I$89,3,0)*VLOOKUP('Données projet'!$B$9,Paramètres!$A$1:$I$89,5,0)</f>
        <v>28.8522</v>
      </c>
      <c r="P27" s="14">
        <f t="shared" si="33"/>
        <v>8.9901341224904012</v>
      </c>
      <c r="Q27" s="22">
        <f t="shared" si="2"/>
        <v>65.908731930004123</v>
      </c>
      <c r="R27" s="62">
        <f t="shared" si="0"/>
        <v>359.24206526333745</v>
      </c>
      <c r="S27" s="62">
        <f ca="1">AVERAGE(OFFSET($R$3,0,0,'Données projet'!$E$9+1,1))-AVERAGE(OFFSET($H$3,0,0,'Données projet'!$E$9+1,1))</f>
        <v>119.8678823908412</v>
      </c>
      <c r="T27" s="62">
        <f t="shared" si="34"/>
        <v>64.795406733086224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5.6465839968016782</v>
      </c>
      <c r="AC27" s="24">
        <f t="shared" si="3"/>
        <v>5.6465839968016782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14.625000000000011</v>
      </c>
      <c r="D28" s="12">
        <f t="shared" si="32"/>
        <v>4.9320875795686021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150.96699184228405</v>
      </c>
      <c r="H28" s="70">
        <f t="shared" si="1"/>
        <v>327.39526086774868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5.1049999999999995</v>
      </c>
      <c r="N28" s="14">
        <f>IF('Données projet'!$A$36&gt;35,N27+M28-V27,IF(A28&lt;'Données projet'!$A$36,$K$205^A28,IF(A28='Données projet'!$A$36,'Données projet'!$B$36,N27+M28-V27)))</f>
        <v>54.42499999999999</v>
      </c>
      <c r="O28" s="14">
        <f>N28*VLOOKUP('Données projet'!$B$9,Paramètres!$A$1:$I$89,3,0)*VLOOKUP('Données projet'!$B$9,Paramètres!$A$1:$I$89,5,0)</f>
        <v>31.838624999999997</v>
      </c>
      <c r="P28" s="14">
        <f t="shared" si="33"/>
        <v>9.8075941902666184</v>
      </c>
      <c r="Q28" s="22">
        <f t="shared" si="2"/>
        <v>72.533831756381005</v>
      </c>
      <c r="R28" s="62">
        <f t="shared" si="0"/>
        <v>365.86716508971432</v>
      </c>
      <c r="S28" s="62">
        <f ca="1">AVERAGE(OFFSET($R$3,0,0,'Données projet'!$E$9+1,1))-AVERAGE(OFFSET($H$3,0,0,'Données projet'!$E$9+1,1))</f>
        <v>119.8678823908412</v>
      </c>
      <c r="T28" s="62">
        <f t="shared" si="34"/>
        <v>64.795406733086224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3.9927378346779054</v>
      </c>
      <c r="AC28" s="24">
        <f t="shared" si="3"/>
        <v>3.9927378346779054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15.210000000000012</v>
      </c>
      <c r="D29" s="12">
        <f t="shared" si="32"/>
        <v>5.1060073826785359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156.82532014699231</v>
      </c>
      <c r="H29" s="70">
        <f t="shared" si="1"/>
        <v>328.71704619149847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5.1049999999999995</v>
      </c>
      <c r="N29" s="14">
        <f>IF('Données projet'!$A$36&gt;35,N28+M29-V28,IF(A29&lt;'Données projet'!$A$36,$K$205^A29,IF(A29='Données projet'!$A$36,'Données projet'!$B$36,N28+M29-V28)))</f>
        <v>59.529999999999987</v>
      </c>
      <c r="O29" s="14">
        <f>N29*VLOOKUP('Données projet'!$B$9,Paramètres!$A$1:$I$89,3,0)*VLOOKUP('Données projet'!$B$9,Paramètres!$A$1:$I$89,5,0)</f>
        <v>34.825049999999997</v>
      </c>
      <c r="P29" s="14">
        <f t="shared" si="33"/>
        <v>10.616163878066185</v>
      </c>
      <c r="Q29" s="22">
        <f t="shared" si="2"/>
        <v>79.143447504298592</v>
      </c>
      <c r="R29" s="62">
        <f t="shared" si="0"/>
        <v>372.47678083763191</v>
      </c>
      <c r="S29" s="62">
        <f ca="1">AVERAGE(OFFSET($R$3,0,0,'Données projet'!$E$9+1,1))-AVERAGE(OFFSET($H$3,0,0,'Données projet'!$E$9+1,1))</f>
        <v>119.8678823908412</v>
      </c>
      <c r="T29" s="62">
        <f t="shared" si="34"/>
        <v>64.795406733086224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2.8232919984008396</v>
      </c>
      <c r="AC29" s="24">
        <f t="shared" si="3"/>
        <v>2.8232919984008396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15.795000000000012</v>
      </c>
      <c r="D30" s="12">
        <f t="shared" si="32"/>
        <v>5.2791500981744761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162.67764988064519</v>
      </c>
      <c r="H30" s="70">
        <f t="shared" si="1"/>
        <v>330.03747808765388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5.1049999999999995</v>
      </c>
      <c r="N30" s="14">
        <f>IF('Données projet'!$A$36&gt;35,N29+M30-V29,IF(A30&lt;'Données projet'!$A$36,$K$205^A30,IF(A30='Données projet'!$A$36,'Données projet'!$B$36,N29+M30-V29)))</f>
        <v>64.634999999999991</v>
      </c>
      <c r="O30" s="14">
        <f>N30*VLOOKUP('Données projet'!$B$9,Paramètres!$A$1:$I$89,3,0)*VLOOKUP('Données projet'!$B$9,Paramètres!$A$1:$I$89,5,0)</f>
        <v>37.811474999999994</v>
      </c>
      <c r="P30" s="14">
        <f t="shared" si="33"/>
        <v>11.416692263409777</v>
      </c>
      <c r="Q30" s="22">
        <f t="shared" si="2"/>
        <v>85.739057983772014</v>
      </c>
      <c r="R30" s="62">
        <f t="shared" si="0"/>
        <v>379.07239131710531</v>
      </c>
      <c r="S30" s="62">
        <f ca="1">AVERAGE(OFFSET($R$3,0,0,'Données projet'!$E$9+1,1))-AVERAGE(OFFSET($H$3,0,0,'Données projet'!$E$9+1,1))</f>
        <v>119.8678823908412</v>
      </c>
      <c r="T30" s="62">
        <f t="shared" si="34"/>
        <v>64.795406733086224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1.9963689173389532</v>
      </c>
      <c r="AC30" s="24">
        <f t="shared" si="3"/>
        <v>1.9963689173389532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16.380000000000013</v>
      </c>
      <c r="D31" s="12">
        <f t="shared" si="32"/>
        <v>5.4515478029518878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168.5242286543656</v>
      </c>
      <c r="H31" s="70">
        <f t="shared" si="1"/>
        <v>331.35661242347453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5.1049999999999995</v>
      </c>
      <c r="N31" s="14">
        <f>IF('Données projet'!$A$36&gt;35,N30+M31-V30,IF(A31&lt;'Données projet'!$A$36,$K$205^A31,IF(A31='Données projet'!$A$36,'Données projet'!$B$36,N30+M31-V30)))</f>
        <v>69.739999999999995</v>
      </c>
      <c r="O31" s="14">
        <f>N31*VLOOKUP('Données projet'!$B$9,Paramètres!$A$1:$I$89,3,0)*VLOOKUP('Données projet'!$B$9,Paramètres!$A$1:$I$89,5,0)</f>
        <v>40.797899999999998</v>
      </c>
      <c r="P31" s="14">
        <f t="shared" si="33"/>
        <v>12.209886672545659</v>
      </c>
      <c r="Q31" s="22">
        <f t="shared" si="2"/>
        <v>92.321895121350337</v>
      </c>
      <c r="R31" s="62">
        <f t="shared" si="0"/>
        <v>385.65522845468365</v>
      </c>
      <c r="S31" s="62">
        <f ca="1">AVERAGE(OFFSET($R$3,0,0,'Données projet'!$E$9+1,1))-AVERAGE(OFFSET($H$3,0,0,'Données projet'!$E$9+1,1))</f>
        <v>119.8678823908412</v>
      </c>
      <c r="T31" s="62">
        <f t="shared" si="34"/>
        <v>64.795406733086224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1.41164599920042</v>
      </c>
      <c r="AC31" s="24">
        <f t="shared" si="3"/>
        <v>1.41164599920042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16.965000000000014</v>
      </c>
      <c r="D32" s="12">
        <f t="shared" si="32"/>
        <v>5.6232301528148074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174.36528539014952</v>
      </c>
      <c r="H32" s="70">
        <f t="shared" si="1"/>
        <v>332.67450084948581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5.1049999999999995</v>
      </c>
      <c r="N32" s="14">
        <f>IF('Données projet'!$A$36&gt;35,N31+M32-V31,IF(A32&lt;'Données projet'!$A$36,$K$205^A32,IF(A32='Données projet'!$A$36,'Données projet'!$B$36,N31+M32-V31)))</f>
        <v>74.844999999999999</v>
      </c>
      <c r="O32" s="14">
        <f>N32*VLOOKUP('Données projet'!$B$9,Paramètres!$A$1:$I$89,3,0)*VLOOKUP('Données projet'!$B$9,Paramètres!$A$1:$I$89,5,0)</f>
        <v>43.784325000000003</v>
      </c>
      <c r="P32" s="14">
        <f t="shared" si="33"/>
        <v>12.996345006426418</v>
      </c>
      <c r="Q32" s="22">
        <f t="shared" si="2"/>
        <v>98.893000261192682</v>
      </c>
      <c r="R32" s="62">
        <f t="shared" si="0"/>
        <v>392.22633359452601</v>
      </c>
      <c r="S32" s="62">
        <f ca="1">AVERAGE(OFFSET($R$3,0,0,'Données projet'!$E$9+1,1))-AVERAGE(OFFSET($H$3,0,0,'Données projet'!$E$9+1,1))</f>
        <v>119.8678823908412</v>
      </c>
      <c r="T32" s="62">
        <f t="shared" si="34"/>
        <v>64.795406733086224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0.99818445866947669</v>
      </c>
      <c r="AC32" s="24">
        <f t="shared" si="3"/>
        <v>0.99818445866947669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17.550000000000015</v>
      </c>
      <c r="D33" s="12">
        <f t="shared" si="32"/>
        <v>5.7942246423408363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180.20103232684167</v>
      </c>
      <c r="H33" s="70">
        <f t="shared" si="1"/>
        <v>333.99119125207699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5.1049999999999995</v>
      </c>
      <c r="N33" s="14">
        <f>IF('Données projet'!$A$36&gt;35,N32+M33-V32,IF(A33&lt;'Données projet'!$A$36,$K$205^A33,IF(A33='Données projet'!$A$36,'Données projet'!$B$36,N32+M33-V32)))</f>
        <v>79.95</v>
      </c>
      <c r="O33" s="14">
        <f>N33*VLOOKUP('Données projet'!$B$9,Paramètres!$A$1:$I$89,3,0)*VLOOKUP('Données projet'!$B$9,Paramètres!$A$1:$I$89,5,0)</f>
        <v>46.77075</v>
      </c>
      <c r="P33" s="14">
        <f t="shared" si="33"/>
        <v>13.77657898669661</v>
      </c>
      <c r="Q33" s="22">
        <f t="shared" si="2"/>
        <v>105.45326465182991</v>
      </c>
      <c r="R33" s="62">
        <f t="shared" si="0"/>
        <v>398.78659798516321</v>
      </c>
      <c r="S33" s="62">
        <f ca="1">AVERAGE(OFFSET($R$3,0,0,'Données projet'!$E$9+1,1))-AVERAGE(OFFSET($H$3,0,0,'Données projet'!$E$9+1,1))</f>
        <v>119.8678823908412</v>
      </c>
      <c r="T33" s="62">
        <f t="shared" si="34"/>
        <v>64.795406733086224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0.70582299960021011</v>
      </c>
      <c r="AC33" s="24">
        <f t="shared" si="3"/>
        <v>0.70582299960021011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18.135000000000016</v>
      </c>
      <c r="D34" s="12">
        <f t="shared" si="32"/>
        <v>5.964556829124092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186.03166675113346</v>
      </c>
      <c r="H34" s="70">
        <f t="shared" si="1"/>
        <v>335.30672814405779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5.1049999999999995</v>
      </c>
      <c r="N34" s="14">
        <f>IF('Données projet'!$A$36&gt;35,N33+M34-V33,IF(A34&lt;'Données projet'!$A$36,$K$205^A34,IF(A34='Données projet'!$A$36,'Données projet'!$B$36,N33+M34-V33)))</f>
        <v>85.055000000000007</v>
      </c>
      <c r="O34" s="14">
        <f>N34*VLOOKUP('Données projet'!$B$9,Paramètres!$A$1:$I$89,3,0)*VLOOKUP('Données projet'!$B$9,Paramètres!$A$1:$I$89,5,0)</f>
        <v>49.757175000000011</v>
      </c>
      <c r="P34" s="14">
        <f t="shared" si="33"/>
        <v>14.551031291134001</v>
      </c>
      <c r="Q34" s="22">
        <f t="shared" si="2"/>
        <v>112.00345929039173</v>
      </c>
      <c r="R34" s="62">
        <f t="shared" si="0"/>
        <v>405.33679262372505</v>
      </c>
      <c r="S34" s="62">
        <f ca="1">AVERAGE(OFFSET($R$3,0,0,'Données projet'!$E$9+1,1))-AVERAGE(OFFSET($H$3,0,0,'Données projet'!$E$9+1,1))</f>
        <v>119.8678823908412</v>
      </c>
      <c r="T34" s="62">
        <f t="shared" si="34"/>
        <v>64.795406733086224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0.4990922293347384</v>
      </c>
      <c r="AC34" s="24">
        <f t="shared" si="3"/>
        <v>0.4990922293347384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18.720000000000017</v>
      </c>
      <c r="D35" s="12">
        <f t="shared" si="32"/>
        <v>6.13425052827081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191.8573724989327</v>
      </c>
      <c r="H35" s="70">
        <f t="shared" si="1"/>
        <v>336.62115300340497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5.1049999999999995</v>
      </c>
      <c r="N35" s="14">
        <f>IF('Données projet'!$A$36&gt;35,N34+M35-V34,IF(A35&lt;'Données projet'!$A$36,$K$205^A35,IF(A35='Données projet'!$A$36,'Données projet'!$B$36,N34+M35-V34)))</f>
        <v>90.160000000000011</v>
      </c>
      <c r="O35" s="14">
        <f>N35*VLOOKUP('Données projet'!$B$9,Paramètres!$A$1:$I$89,3,0)*VLOOKUP('Données projet'!$B$9,Paramètres!$A$1:$I$89,5,0)</f>
        <v>52.743600000000008</v>
      </c>
      <c r="P35" s="14">
        <f t="shared" si="33"/>
        <v>15.320088456216141</v>
      </c>
      <c r="Q35" s="22">
        <f t="shared" ref="Q35:Q66" si="53">(O35+P35)*0.475*44/12</f>
        <v>118.54425739457645</v>
      </c>
      <c r="R35" s="62">
        <f t="shared" si="0"/>
        <v>411.87759072790976</v>
      </c>
      <c r="S35" s="62">
        <f ca="1">AVERAGE(OFFSET($R$3,0,0,'Données projet'!$E$9+1,1))-AVERAGE(OFFSET($H$3,0,0,'Données projet'!$E$9+1,1))</f>
        <v>119.8678823908412</v>
      </c>
      <c r="T35" s="62">
        <f t="shared" si="34"/>
        <v>64.795406733086224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0.35291149980010511</v>
      </c>
      <c r="AC35" s="24">
        <f t="shared" si="3"/>
        <v>0.35291149980010511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19.305000000000017</v>
      </c>
      <c r="D36" s="12">
        <f t="shared" si="32"/>
        <v>6.3033279819000203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197.6783212637898</v>
      </c>
      <c r="H36" s="70">
        <f t="shared" si="1"/>
        <v>337.93450456847586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5.1049999999999995</v>
      </c>
      <c r="N36" s="14">
        <f>IF('Données projet'!$A$36&gt;35,N35+M36-V35,IF(A36&lt;'Données projet'!$A$36,$K$205^A36,IF(A36='Données projet'!$A$36,'Données projet'!$B$36,N35+M36-V35)))</f>
        <v>95.265000000000015</v>
      </c>
      <c r="O36" s="14">
        <f>N36*VLOOKUP('Données projet'!$B$9,Paramètres!$A$1:$I$89,3,0)*VLOOKUP('Données projet'!$B$9,Paramètres!$A$1:$I$89,5,0)</f>
        <v>55.730025000000012</v>
      </c>
      <c r="P36" s="14">
        <f t="shared" si="33"/>
        <v>16.084090773488825</v>
      </c>
      <c r="Q36" s="22">
        <f t="shared" si="53"/>
        <v>125.07625163882638</v>
      </c>
      <c r="R36" s="62">
        <f t="shared" si="0"/>
        <v>418.40958497215968</v>
      </c>
      <c r="S36" s="62">
        <f ca="1">AVERAGE(OFFSET($R$3,0,0,'Données projet'!$E$9+1,1))-AVERAGE(OFFSET($H$3,0,0,'Données projet'!$E$9+1,1))</f>
        <v>119.8678823908412</v>
      </c>
      <c r="T36" s="62">
        <f t="shared" si="34"/>
        <v>64.795406733086224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0.24954611466736926</v>
      </c>
      <c r="AC36" s="24">
        <f t="shared" si="3"/>
        <v>0.24954611466736926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19.890000000000018</v>
      </c>
      <c r="D37" s="12">
        <f t="shared" si="32"/>
        <v>6.4718100075214355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203.49467374227092</v>
      </c>
      <c r="H37" s="70">
        <f t="shared" si="1"/>
        <v>339.24681909643317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5.1049999999999995</v>
      </c>
      <c r="N37" s="14">
        <f>IF('Données projet'!$A$36&gt;35,N36+M37-V36,IF(A37&lt;'Données projet'!$A$36,$K$205^A37,IF(A37='Données projet'!$A$36,'Données projet'!$B$36,N36+M37-V36)))</f>
        <v>100.37000000000002</v>
      </c>
      <c r="O37" s="14">
        <f>N37*VLOOKUP('Données projet'!$B$9,Paramètres!$A$1:$I$89,3,0)*VLOOKUP('Données projet'!$B$9,Paramètres!$A$1:$I$89,5,0)</f>
        <v>58.716450000000009</v>
      </c>
      <c r="P37" s="14">
        <f t="shared" si="33"/>
        <v>16.843340004044872</v>
      </c>
      <c r="Q37" s="22">
        <f t="shared" si="53"/>
        <v>131.59996759037816</v>
      </c>
      <c r="R37" s="62">
        <f t="shared" si="0"/>
        <v>424.9333009237115</v>
      </c>
      <c r="S37" s="62">
        <f ca="1">AVERAGE(OFFSET($R$3,0,0,'Données projet'!$E$9+1,1))-AVERAGE(OFFSET($H$3,0,0,'Données projet'!$E$9+1,1))</f>
        <v>119.8678823908412</v>
      </c>
      <c r="T37" s="62">
        <f t="shared" si="34"/>
        <v>64.795406733086224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0.17645574990005258</v>
      </c>
      <c r="AC37" s="24">
        <f t="shared" si="3"/>
        <v>0.17645574990005258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20.475000000000019</v>
      </c>
      <c r="D38" s="12">
        <f t="shared" si="32"/>
        <v>6.6397161284665724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209.30658064079475</v>
      </c>
      <c r="H38" s="70">
        <f t="shared" si="1"/>
        <v>340.55813059041265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5.1049999999999995</v>
      </c>
      <c r="N38" s="14">
        <f>IF('Données projet'!$A$36&gt;35,N37+M38-V37,IF(A38&lt;'Données projet'!$A$36,$K$205^A38,IF(A38='Données projet'!$A$36,'Données projet'!$B$36,N37+M38-V37)))</f>
        <v>105.47500000000002</v>
      </c>
      <c r="O38" s="14">
        <f>N38*VLOOKUP('Données projet'!$B$9,Paramètres!$A$1:$I$89,3,0)*VLOOKUP('Données projet'!$B$9,Paramètres!$A$1:$I$89,5,0)</f>
        <v>61.70287500000002</v>
      </c>
      <c r="P38" s="14">
        <f t="shared" si="33"/>
        <v>17.598105478857875</v>
      </c>
      <c r="Q38" s="22">
        <f t="shared" si="53"/>
        <v>138.11587433401084</v>
      </c>
      <c r="R38" s="62">
        <f t="shared" si="0"/>
        <v>431.44920766734413</v>
      </c>
      <c r="S38" s="62">
        <f ca="1">AVERAGE(OFFSET($R$3,0,0,'Données projet'!$E$9+1,1))-AVERAGE(OFFSET($H$3,0,0,'Données projet'!$E$9+1,1))</f>
        <v>119.8678823908412</v>
      </c>
      <c r="T38" s="62">
        <f t="shared" si="34"/>
        <v>64.795406733086224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0.12477305733368464</v>
      </c>
      <c r="AC38" s="24">
        <f t="shared" si="3"/>
        <v>0.12477305733368464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21.06000000000002</v>
      </c>
      <c r="D39" s="12">
        <f t="shared" si="32"/>
        <v>6.8070646889945046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215.11418356416826</v>
      </c>
      <c r="H39" s="70">
        <f t="shared" si="1"/>
        <v>341.86847099999875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5.1049999999999995</v>
      </c>
      <c r="N39" s="14">
        <f>IF('Données projet'!$A$36&gt;35,N38+M39-V38,IF(A39&lt;'Données projet'!$A$36,$K$205^A39,IF(A39='Données projet'!$A$36,'Données projet'!$B$36,N38+M39-V38)))</f>
        <v>110.58000000000003</v>
      </c>
      <c r="O39" s="14">
        <f>N39*VLOOKUP('Données projet'!$B$9,Paramètres!$A$1:$I$89,3,0)*VLOOKUP('Données projet'!$B$9,Paramètres!$A$1:$I$89,5,0)</f>
        <v>64.689300000000017</v>
      </c>
      <c r="P39" s="14">
        <f t="shared" si="33"/>
        <v>18.348628984595241</v>
      </c>
      <c r="Q39" s="22">
        <f t="shared" si="53"/>
        <v>144.62439298150341</v>
      </c>
      <c r="R39" s="62">
        <f t="shared" si="0"/>
        <v>437.95772631483669</v>
      </c>
      <c r="S39" s="62">
        <f ca="1">AVERAGE(OFFSET($R$3,0,0,'Données projet'!$E$9+1,1))-AVERAGE(OFFSET($H$3,0,0,'Données projet'!$E$9+1,1))</f>
        <v>119.8678823908412</v>
      </c>
      <c r="T39" s="62">
        <f t="shared" si="34"/>
        <v>64.795406733086224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8.8227874950026305E-2</v>
      </c>
      <c r="AC39" s="24">
        <f t="shared" si="3"/>
        <v>8.8227874950026305E-2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21.645000000000021</v>
      </c>
      <c r="D40" s="12">
        <f t="shared" si="32"/>
        <v>6.973872956248516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220.9176158026203</v>
      </c>
      <c r="H40" s="70">
        <f t="shared" si="1"/>
        <v>343.17787039879954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5.1049999999999995</v>
      </c>
      <c r="N40" s="14">
        <f>IF('Données projet'!$A$36&gt;35,N39+M40-V39,IF(A40&lt;'Données projet'!$A$36,$K$205^A40,IF(A40='Données projet'!$A$36,'Données projet'!$B$36,N39+M40-V39)))</f>
        <v>115.68500000000003</v>
      </c>
      <c r="O40" s="14">
        <f>N40*VLOOKUP('Données projet'!$B$9,Paramètres!$A$1:$I$89,3,0)*VLOOKUP('Données projet'!$B$9,Paramètres!$A$1:$I$89,5,0)</f>
        <v>67.675725000000028</v>
      </c>
      <c r="P40" s="14">
        <f t="shared" si="33"/>
        <v>19.095128721681753</v>
      </c>
      <c r="Q40" s="22">
        <f t="shared" si="53"/>
        <v>151.12590356526243</v>
      </c>
      <c r="R40" s="62">
        <f t="shared" si="0"/>
        <v>444.45923689859575</v>
      </c>
      <c r="S40" s="62">
        <f ca="1">AVERAGE(OFFSET($R$3,0,0,'Données projet'!$E$9+1,1))-AVERAGE(OFFSET($H$3,0,0,'Données projet'!$E$9+1,1))</f>
        <v>119.8678823908412</v>
      </c>
      <c r="T40" s="62">
        <f t="shared" si="34"/>
        <v>64.795406733086224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6.2386528666842335E-2</v>
      </c>
      <c r="AC40" s="24">
        <f t="shared" si="3"/>
        <v>6.2386528666842335E-2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22.230000000000022</v>
      </c>
      <c r="D41" s="12">
        <f t="shared" si="32"/>
        <v>7.1401572108804432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226.71700303135799</v>
      </c>
      <c r="H41" s="70">
        <f t="shared" si="1"/>
        <v>344.48635714228345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5.1049999999999995</v>
      </c>
      <c r="N41" s="14">
        <f>IF('Données projet'!$A$36&gt;35,N40+M41-V40,IF(A41&lt;'Données projet'!$A$36,$K$205^A41,IF(A41='Données projet'!$A$36,'Données projet'!$B$36,N40+M41-V40)))</f>
        <v>120.79000000000003</v>
      </c>
      <c r="O41" s="14">
        <f>N41*VLOOKUP('Données projet'!$B$9,Paramètres!$A$1:$I$89,3,0)*VLOOKUP('Données projet'!$B$9,Paramètres!$A$1:$I$89,5,0)</f>
        <v>70.662150000000025</v>
      </c>
      <c r="P41" s="14">
        <f t="shared" si="33"/>
        <v>19.837802543985248</v>
      </c>
      <c r="Q41" s="22">
        <f t="shared" si="53"/>
        <v>157.62075068077434</v>
      </c>
      <c r="R41" s="62">
        <f t="shared" si="0"/>
        <v>450.95408401410765</v>
      </c>
      <c r="S41" s="62">
        <f ca="1">AVERAGE(OFFSET($R$3,0,0,'Données projet'!$E$9+1,1))-AVERAGE(OFFSET($H$3,0,0,'Données projet'!$E$9+1,1))</f>
        <v>119.8678823908412</v>
      </c>
      <c r="T41" s="62">
        <f t="shared" si="34"/>
        <v>64.795406733086224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4.411393747501316E-2</v>
      </c>
      <c r="AC41" s="24">
        <f t="shared" si="3"/>
        <v>4.411393747501316E-2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22.815000000000023</v>
      </c>
      <c r="D42" s="12">
        <f t="shared" si="32"/>
        <v>7.3059328278672906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232.51246393441434</v>
      </c>
      <c r="H42" s="70">
        <f t="shared" si="1"/>
        <v>345.79395800853553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5.1049999999999995</v>
      </c>
      <c r="N42" s="14">
        <f>IF('Données projet'!$A$36&gt;35,N41+M42-V41,IF(A42&lt;'Données projet'!$A$36,$K$205^A42,IF(A42='Données projet'!$A$36,'Données projet'!$B$36,N41+M42-V41)))</f>
        <v>125.89500000000004</v>
      </c>
      <c r="O42" s="14">
        <f>N42*VLOOKUP('Données projet'!$B$9,Paramètres!$A$1:$I$89,3,0)*VLOOKUP('Données projet'!$B$9,Paramètres!$A$1:$I$89,5,0)</f>
        <v>73.648575000000022</v>
      </c>
      <c r="P42" s="14">
        <f t="shared" si="33"/>
        <v>20.576830635382215</v>
      </c>
      <c r="Q42" s="22">
        <f t="shared" si="53"/>
        <v>164.1092481482907</v>
      </c>
      <c r="R42" s="62">
        <f t="shared" si="0"/>
        <v>457.44258148162402</v>
      </c>
      <c r="S42" s="62">
        <f ca="1">AVERAGE(OFFSET($R$3,0,0,'Données projet'!$E$9+1,1))-AVERAGE(OFFSET($H$3,0,0,'Données projet'!$E$9+1,1))</f>
        <v>119.8678823908412</v>
      </c>
      <c r="T42" s="62">
        <f t="shared" si="34"/>
        <v>64.795406733086224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3.1193264333421171E-2</v>
      </c>
      <c r="AC42" s="24">
        <f t="shared" si="3"/>
        <v>3.1193264333421171E-2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23.400000000000023</v>
      </c>
      <c r="D43" s="12">
        <f t="shared" si="32"/>
        <v>7.4712143488056899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238.30411076271082</v>
      </c>
      <c r="H43" s="70">
        <f t="shared" si="1"/>
        <v>347.10069832416991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131</v>
      </c>
      <c r="L43" s="13">
        <f>VLOOKUP(A43,'Données projet'!$A$35:$I$55,9,0)</f>
        <v>5.1049999999999995</v>
      </c>
      <c r="M43" s="13">
        <f t="array" ref="M43">INDEX(L:L,MIN(IF(ISNUMBER(L43:L239),ROW(L43:L239),"")))</f>
        <v>5.1049999999999995</v>
      </c>
      <c r="N43" s="14">
        <f>IF('Données projet'!$A$36&gt;35,N42+M43-V42,IF(A43&lt;'Données projet'!$A$36,$K$205^A43,IF(A43='Données projet'!$A$36,'Données projet'!$B$36,N42+M43-V42)))</f>
        <v>131.00000000000003</v>
      </c>
      <c r="O43" s="14">
        <f>N43*VLOOKUP('Données projet'!$B$9,Paramètres!$A$1:$I$89,3,0)*VLOOKUP('Données projet'!$B$9,Paramètres!$A$1:$I$89,5,0)</f>
        <v>76.635000000000019</v>
      </c>
      <c r="P43" s="14">
        <f t="shared" si="33"/>
        <v>21.312377739963715</v>
      </c>
      <c r="Q43" s="22">
        <f t="shared" si="53"/>
        <v>170.59168289710351</v>
      </c>
      <c r="R43" s="62">
        <f t="shared" si="0"/>
        <v>463.92501623043682</v>
      </c>
      <c r="S43" s="62">
        <f ca="1">AVERAGE(OFFSET($R$3,0,0,'Données projet'!$E$9+1,1))-AVERAGE(OFFSET($H$3,0,0,'Données projet'!$E$9+1,1))</f>
        <v>119.8678823908412</v>
      </c>
      <c r="T43" s="62">
        <f t="shared" si="34"/>
        <v>64.795406733086224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39.700000000000003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2.2056968737506583E-2</v>
      </c>
      <c r="AC43" s="24">
        <f t="shared" si="3"/>
        <v>2.2056968737506583E-2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23.985000000000024</v>
      </c>
      <c r="D44" s="12">
        <f t="shared" si="32"/>
        <v>7.636015546773451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244.0920498347426</v>
      </c>
      <c r="H44" s="70">
        <f t="shared" si="1"/>
        <v>348.40660207729712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4.9850000000000003</v>
      </c>
      <c r="N44" s="14">
        <f>IF('Données projet'!$A$36&gt;35,N43+M44-V43,IF(A44&lt;'Données projet'!$A$36,$K$205^A44,IF(A44='Données projet'!$A$36,'Données projet'!$B$36,N43+M44-V43)))</f>
        <v>96.285000000000039</v>
      </c>
      <c r="O44" s="14">
        <f>N44*VLOOKUP('Données projet'!$B$9,Paramètres!$A$1:$I$89,3,0)*VLOOKUP('Données projet'!$B$9,Paramètres!$A$1:$I$89,5,0)</f>
        <v>56.326725000000025</v>
      </c>
      <c r="P44" s="14">
        <f t="shared" si="33"/>
        <v>16.236162817132154</v>
      </c>
      <c r="Q44" s="22">
        <f t="shared" si="53"/>
        <v>126.38036294817186</v>
      </c>
      <c r="R44" s="62">
        <f t="shared" si="0"/>
        <v>419.71369628150518</v>
      </c>
      <c r="S44" s="62">
        <f ca="1">AVERAGE(OFFSET($R$3,0,0,'Données projet'!$E$9+1,1))-AVERAGE(OFFSET($H$3,0,0,'Données projet'!$E$9+1,1))</f>
        <v>119.8678823908412</v>
      </c>
      <c r="T44" s="62">
        <f t="shared" si="34"/>
        <v>64.795406733086224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1.5596632166710587E-2</v>
      </c>
      <c r="AC44" s="24">
        <f t="shared" si="3"/>
        <v>1.5596632166710587E-2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24.570000000000025</v>
      </c>
      <c r="D45" s="12">
        <f t="shared" si="32"/>
        <v>7.8003494846849346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249.87638198704181</v>
      </c>
      <c r="H45" s="70">
        <f t="shared" si="1"/>
        <v>349.71169201915961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4.9850000000000003</v>
      </c>
      <c r="N45" s="14">
        <f>IF('Données projet'!$A$36&gt;35,N44+M45-V44,IF(A45&lt;'Données projet'!$A$36,$K$205^A45,IF(A45='Données projet'!$A$36,'Données projet'!$B$36,N44+M45-V44)))</f>
        <v>101.27000000000004</v>
      </c>
      <c r="O45" s="14">
        <f>N45*VLOOKUP('Données projet'!$B$9,Paramètres!$A$1:$I$89,3,0)*VLOOKUP('Données projet'!$B$9,Paramètres!$A$1:$I$89,5,0)</f>
        <v>59.242950000000029</v>
      </c>
      <c r="P45" s="14">
        <f t="shared" si="33"/>
        <v>16.976721798861099</v>
      </c>
      <c r="Q45" s="22">
        <f t="shared" si="53"/>
        <v>132.74926171634979</v>
      </c>
      <c r="R45" s="62">
        <f t="shared" si="0"/>
        <v>426.08259504968311</v>
      </c>
      <c r="S45" s="62">
        <f ca="1">AVERAGE(OFFSET($R$3,0,0,'Données projet'!$E$9+1,1))-AVERAGE(OFFSET($H$3,0,0,'Données projet'!$E$9+1,1))</f>
        <v>119.8678823908412</v>
      </c>
      <c r="T45" s="62">
        <f t="shared" si="34"/>
        <v>64.795406733086224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1.1028484368753293E-2</v>
      </c>
      <c r="AC45" s="24">
        <f t="shared" si="3"/>
        <v>1.1028484368753293E-2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25.155000000000026</v>
      </c>
      <c r="D46" s="12">
        <f t="shared" si="32"/>
        <v>7.9642285679322908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255.65720298053017</v>
      </c>
      <c r="H46" s="70">
        <f t="shared" si="1"/>
        <v>351.01598975581544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4.9850000000000003</v>
      </c>
      <c r="N46" s="14">
        <f>IF('Données projet'!$A$36&gt;35,N45+M46-V45,IF(A46&lt;'Données projet'!$A$36,$K$205^A46,IF(A46='Données projet'!$A$36,'Données projet'!$B$36,N45+M46-V45)))</f>
        <v>106.25500000000004</v>
      </c>
      <c r="O46" s="14">
        <f>N46*VLOOKUP('Données projet'!$B$9,Paramètres!$A$1:$I$89,3,0)*VLOOKUP('Données projet'!$B$9,Paramètres!$A$1:$I$89,5,0)</f>
        <v>62.159175000000026</v>
      </c>
      <c r="P46" s="14">
        <f t="shared" si="33"/>
        <v>17.713047874923923</v>
      </c>
      <c r="Q46" s="22">
        <f t="shared" si="53"/>
        <v>139.11078817382585</v>
      </c>
      <c r="R46" s="62">
        <f t="shared" si="0"/>
        <v>432.44412150715914</v>
      </c>
      <c r="S46" s="62">
        <f ca="1">AVERAGE(OFFSET($R$3,0,0,'Données projet'!$E$9+1,1))-AVERAGE(OFFSET($H$3,0,0,'Données projet'!$E$9+1,1))</f>
        <v>119.8678823908412</v>
      </c>
      <c r="T46" s="62">
        <f t="shared" si="34"/>
        <v>64.795406733086224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7.7983160833552953E-3</v>
      </c>
      <c r="AC46" s="24">
        <f t="shared" si="3"/>
        <v>7.7983160833552953E-3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25.740000000000027</v>
      </c>
      <c r="D47" s="12">
        <f t="shared" si="32"/>
        <v>8.1276645919917758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261.43460386800695</v>
      </c>
      <c r="H47" s="70">
        <f t="shared" si="1"/>
        <v>352.3195158310524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4.9850000000000003</v>
      </c>
      <c r="N47" s="14">
        <f>IF('Données projet'!$A$36&gt;35,N46+M47-V46,IF(A47&lt;'Données projet'!$A$36,$K$205^A47,IF(A47='Données projet'!$A$36,'Données projet'!$B$36,N46+M47-V46)))</f>
        <v>111.24000000000004</v>
      </c>
      <c r="O47" s="14">
        <f>N47*VLOOKUP('Données projet'!$B$9,Paramètres!$A$1:$I$89,3,0)*VLOOKUP('Données projet'!$B$9,Paramètres!$A$1:$I$89,5,0)</f>
        <v>65.07540000000003</v>
      </c>
      <c r="P47" s="14">
        <f t="shared" si="33"/>
        <v>18.445362311396568</v>
      </c>
      <c r="Q47" s="22">
        <f t="shared" si="53"/>
        <v>145.46532769234906</v>
      </c>
      <c r="R47" s="62">
        <f t="shared" si="0"/>
        <v>438.79866102568235</v>
      </c>
      <c r="S47" s="62">
        <f ca="1">AVERAGE(OFFSET($R$3,0,0,'Données projet'!$E$9+1,1))-AVERAGE(OFFSET($H$3,0,0,'Données projet'!$E$9+1,1))</f>
        <v>119.8678823908412</v>
      </c>
      <c r="T47" s="62">
        <f t="shared" si="34"/>
        <v>64.795406733086224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5.5142421843766476E-3</v>
      </c>
      <c r="AC47" s="24">
        <f t="shared" si="3"/>
        <v>5.5142421843766476E-3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26.325000000000028</v>
      </c>
      <c r="D48" s="12">
        <f t="shared" si="32"/>
        <v>8.2906687855803067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267.20867132728677</v>
      </c>
      <c r="H48" s="70">
        <f t="shared" si="1"/>
        <v>353.62228980155237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4.9850000000000003</v>
      </c>
      <c r="N48" s="14">
        <f>IF('Données projet'!$A$36&gt;35,N47+M48-V47,IF(A48&lt;'Données projet'!$A$36,$K$205^A48,IF(A48='Données projet'!$A$36,'Données projet'!$B$36,N47+M48-V47)))</f>
        <v>116.22500000000004</v>
      </c>
      <c r="O48" s="14">
        <f>N48*VLOOKUP('Données projet'!$B$9,Paramètres!$A$1:$I$89,3,0)*VLOOKUP('Données projet'!$B$9,Paramètres!$A$1:$I$89,5,0)</f>
        <v>67.991625000000028</v>
      </c>
      <c r="P48" s="14">
        <f t="shared" si="33"/>
        <v>19.173865422027429</v>
      </c>
      <c r="Q48" s="22">
        <f t="shared" si="53"/>
        <v>151.81322915169781</v>
      </c>
      <c r="R48" s="62">
        <f t="shared" si="0"/>
        <v>445.14656248503115</v>
      </c>
      <c r="S48" s="62">
        <f ca="1">AVERAGE(OFFSET($R$3,0,0,'Données projet'!$E$9+1,1))-AVERAGE(OFFSET($H$3,0,0,'Données projet'!$E$9+1,1))</f>
        <v>119.8678823908412</v>
      </c>
      <c r="T48" s="62">
        <f t="shared" si="34"/>
        <v>64.795406733086224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3.8991580416776481E-3</v>
      </c>
      <c r="AC48" s="24">
        <f t="shared" si="3"/>
        <v>3.8991580416776481E-3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26.910000000000029</v>
      </c>
      <c r="D49" s="12">
        <f t="shared" si="32"/>
        <v>8.4532518498676463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272.97948796389085</v>
      </c>
      <c r="H49" s="70">
        <f t="shared" si="1"/>
        <v>354.92433030518617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4.9850000000000003</v>
      </c>
      <c r="N49" s="14">
        <f>IF('Données projet'!$A$36&gt;35,N48+M49-V48,IF(A49&lt;'Données projet'!$A$36,$K$205^A49,IF(A49='Données projet'!$A$36,'Données projet'!$B$36,N48+M49-V48)))</f>
        <v>121.21000000000004</v>
      </c>
      <c r="O49" s="14">
        <f>N49*VLOOKUP('Données projet'!$B$9,Paramètres!$A$1:$I$89,3,0)*VLOOKUP('Données projet'!$B$9,Paramètres!$A$1:$I$89,5,0)</f>
        <v>70.907850000000025</v>
      </c>
      <c r="P49" s="14">
        <f t="shared" si="33"/>
        <v>19.898739365420568</v>
      </c>
      <c r="Q49" s="22">
        <f t="shared" si="53"/>
        <v>158.15480981144086</v>
      </c>
      <c r="R49" s="62">
        <f t="shared" si="0"/>
        <v>451.4881431447742</v>
      </c>
      <c r="S49" s="62">
        <f ca="1">AVERAGE(OFFSET($R$3,0,0,'Données projet'!$E$9+1,1))-AVERAGE(OFFSET($H$3,0,0,'Données projet'!$E$9+1,1))</f>
        <v>119.8678823908412</v>
      </c>
      <c r="T49" s="62">
        <f t="shared" si="34"/>
        <v>64.795406733086224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2.7571210921883242E-3</v>
      </c>
      <c r="AC49" s="24">
        <f t="shared" si="3"/>
        <v>2.7571210921883242E-3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27.495000000000029</v>
      </c>
      <c r="D50" s="12">
        <f t="shared" si="32"/>
        <v>8.6154239941827004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278.74713258667373</v>
      </c>
      <c r="H50" s="70">
        <f t="shared" si="1"/>
        <v>356.22565512320159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4.9850000000000003</v>
      </c>
      <c r="N50" s="14">
        <f>IF('Données projet'!$A$36&gt;35,N49+M50-V49,IF(A50&lt;'Données projet'!$A$36,$K$205^A50,IF(A50='Données projet'!$A$36,'Données projet'!$B$36,N49+M50-V49)))</f>
        <v>126.19500000000004</v>
      </c>
      <c r="O50" s="14">
        <f>N50*VLOOKUP('Données projet'!$B$9,Paramètres!$A$1:$I$89,3,0)*VLOOKUP('Données projet'!$B$9,Paramètres!$A$1:$I$89,5,0)</f>
        <v>73.824075000000022</v>
      </c>
      <c r="P50" s="14">
        <f t="shared" si="33"/>
        <v>20.62015046909826</v>
      </c>
      <c r="Q50" s="22">
        <f t="shared" si="53"/>
        <v>164.49035935867951</v>
      </c>
      <c r="R50" s="62">
        <f t="shared" si="0"/>
        <v>457.82369269201286</v>
      </c>
      <c r="S50" s="62">
        <f ca="1">AVERAGE(OFFSET($R$3,0,0,'Données projet'!$E$9+1,1))-AVERAGE(OFFSET($H$3,0,0,'Données projet'!$E$9+1,1))</f>
        <v>119.8678823908412</v>
      </c>
      <c r="T50" s="62">
        <f t="shared" si="34"/>
        <v>64.795406733086224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1.9495790208388245E-3</v>
      </c>
      <c r="AC50" s="24">
        <f t="shared" si="3"/>
        <v>1.9495790208388245E-3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28.08000000000003</v>
      </c>
      <c r="D51" s="12">
        <f t="shared" si="32"/>
        <v>8.7771949685951949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284.51168045933156</v>
      </c>
      <c r="H51" s="70">
        <f t="shared" si="1"/>
        <v>357.52628123697002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4.9850000000000003</v>
      </c>
      <c r="N51" s="14">
        <f>IF('Données projet'!$A$36&gt;35,N50+M51-V50,IF(A51&lt;'Données projet'!$A$36,$K$205^A51,IF(A51='Données projet'!$A$36,'Données projet'!$B$36,N50+M51-V50)))</f>
        <v>131.18000000000004</v>
      </c>
      <c r="O51" s="14">
        <f>N51*VLOOKUP('Données projet'!$B$9,Paramètres!$A$1:$I$89,3,0)*VLOOKUP('Données projet'!$B$9,Paramètres!$A$1:$I$89,5,0)</f>
        <v>76.740300000000033</v>
      </c>
      <c r="P51" s="14">
        <f t="shared" si="33"/>
        <v>21.338251176005773</v>
      </c>
      <c r="Q51" s="22">
        <f t="shared" si="53"/>
        <v>170.82014329821013</v>
      </c>
      <c r="R51" s="62">
        <f t="shared" si="0"/>
        <v>464.15347663154341</v>
      </c>
      <c r="S51" s="62">
        <f ca="1">AVERAGE(OFFSET($R$3,0,0,'Données projet'!$E$9+1,1))-AVERAGE(OFFSET($H$3,0,0,'Données projet'!$E$9+1,1))</f>
        <v>119.8678823908412</v>
      </c>
      <c r="T51" s="62">
        <f t="shared" si="34"/>
        <v>64.795406733086224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1.3785605460941623E-3</v>
      </c>
      <c r="AC51" s="24">
        <f t="shared" si="3"/>
        <v>1.3785605460941623E-3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28.665000000000031</v>
      </c>
      <c r="D52" s="12">
        <f t="shared" si="32"/>
        <v>8.9385740937056148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290.27320353035935</v>
      </c>
      <c r="H52" s="70">
        <f t="shared" si="1"/>
        <v>358.82622487987067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4.9850000000000003</v>
      </c>
      <c r="N52" s="14">
        <f>IF('Données projet'!$A$36&gt;35,N51+M52-V51,IF(A52&lt;'Données projet'!$A$36,$K$205^A52,IF(A52='Données projet'!$A$36,'Données projet'!$B$36,N51+M52-V51)))</f>
        <v>136.16500000000005</v>
      </c>
      <c r="O52" s="14">
        <f>N52*VLOOKUP('Données projet'!$B$9,Paramètres!$A$1:$I$89,3,0)*VLOOKUP('Données projet'!$B$9,Paramètres!$A$1:$I$89,5,0)</f>
        <v>79.65652500000003</v>
      </c>
      <c r="P52" s="14">
        <f t="shared" si="33"/>
        <v>22.053181686817258</v>
      </c>
      <c r="Q52" s="22">
        <f t="shared" si="53"/>
        <v>177.1444058128734</v>
      </c>
      <c r="R52" s="62">
        <f t="shared" si="0"/>
        <v>470.47773914620672</v>
      </c>
      <c r="S52" s="62">
        <f ca="1">AVERAGE(OFFSET($R$3,0,0,'Données projet'!$E$9+1,1))-AVERAGE(OFFSET($H$3,0,0,'Données projet'!$E$9+1,1))</f>
        <v>119.8678823908412</v>
      </c>
      <c r="T52" s="62">
        <f t="shared" si="34"/>
        <v>64.795406733086224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9.7478951041941235E-4</v>
      </c>
      <c r="AC52" s="24">
        <f t="shared" si="3"/>
        <v>9.7478951041941235E-4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29.250000000000032</v>
      </c>
      <c r="D53" s="12">
        <f t="shared" si="32"/>
        <v>9.099570287934581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296.03177064370578</v>
      </c>
      <c r="H53" s="70">
        <f t="shared" si="1"/>
        <v>360.1255015848194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4.9850000000000003</v>
      </c>
      <c r="N53" s="14">
        <f>IF('Données projet'!$A$36&gt;35,N52+M53-V52,IF(A53&lt;'Données projet'!$A$36,$K$205^A53,IF(A53='Données projet'!$A$36,'Données projet'!$B$36,N52+M53-V52)))</f>
        <v>141.15000000000006</v>
      </c>
      <c r="O53" s="14">
        <f>N53*VLOOKUP('Données projet'!$B$9,Paramètres!$A$1:$I$89,3,0)*VLOOKUP('Données projet'!$B$9,Paramètres!$A$1:$I$89,5,0)</f>
        <v>82.572750000000042</v>
      </c>
      <c r="P53" s="14">
        <f t="shared" si="33"/>
        <v>22.765071354982425</v>
      </c>
      <c r="Q53" s="22">
        <f t="shared" si="53"/>
        <v>183.46337219326111</v>
      </c>
      <c r="R53" s="62">
        <f t="shared" si="0"/>
        <v>476.79670552659445</v>
      </c>
      <c r="S53" s="62">
        <f ca="1">AVERAGE(OFFSET($R$3,0,0,'Données projet'!$E$9+1,1))-AVERAGE(OFFSET($H$3,0,0,'Données projet'!$E$9+1,1))</f>
        <v>119.8678823908412</v>
      </c>
      <c r="T53" s="62">
        <f t="shared" si="34"/>
        <v>64.795406733086224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6.8928027304708127E-4</v>
      </c>
      <c r="AC53" s="24">
        <f t="shared" si="3"/>
        <v>6.8928027304708127E-4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29.835000000000033</v>
      </c>
      <c r="D54" s="12">
        <f t="shared" si="32"/>
        <v>9.2601920925674737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301.78744773210008</v>
      </c>
      <c r="H54" s="70">
        <f t="shared" si="1"/>
        <v>361.42412622788839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4.9850000000000003</v>
      </c>
      <c r="N54" s="14">
        <f>IF('Données projet'!$A$36&gt;35,N53+M54-V53,IF(A54&lt;'Données projet'!$A$36,$K$205^A54,IF(A54='Données projet'!$A$36,'Données projet'!$B$36,N53+M54-V53)))</f>
        <v>146.13500000000008</v>
      </c>
      <c r="O54" s="14">
        <f>N54*VLOOKUP('Données projet'!$B$9,Paramètres!$A$1:$I$89,3,0)*VLOOKUP('Données projet'!$B$9,Paramètres!$A$1:$I$89,5,0)</f>
        <v>85.488975000000039</v>
      </c>
      <c r="P54" s="14">
        <f t="shared" si="33"/>
        <v>23.474039879160056</v>
      </c>
      <c r="Q54" s="22">
        <f t="shared" si="53"/>
        <v>189.77725091453715</v>
      </c>
      <c r="R54" s="62">
        <f t="shared" si="0"/>
        <v>483.11058424787046</v>
      </c>
      <c r="S54" s="62">
        <f ca="1">AVERAGE(OFFSET($R$3,0,0,'Données projet'!$E$9+1,1))-AVERAGE(OFFSET($H$3,0,0,'Données projet'!$E$9+1,1))</f>
        <v>119.8678823908412</v>
      </c>
      <c r="T54" s="62">
        <f t="shared" si="34"/>
        <v>64.795406733086224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4.8739475520970628E-4</v>
      </c>
      <c r="AC54" s="24">
        <f t="shared" si="3"/>
        <v>4.8739475520970628E-4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30.420000000000034</v>
      </c>
      <c r="D55" s="12">
        <f t="shared" si="32"/>
        <v>9.4204476947792148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307.54029799478718</v>
      </c>
      <c r="H55" s="70">
        <f t="shared" si="1"/>
        <v>362.72211306840717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4.9850000000000003</v>
      </c>
      <c r="N55" s="14">
        <f>IF('Données projet'!$A$36&gt;35,N54+M55-V54,IF(A55&lt;'Données projet'!$A$36,$K$205^A55,IF(A55='Données projet'!$A$36,'Données projet'!$B$36,N54+M55-V54)))</f>
        <v>151.12000000000009</v>
      </c>
      <c r="O55" s="14">
        <f>N55*VLOOKUP('Données projet'!$B$9,Paramètres!$A$1:$I$89,3,0)*VLOOKUP('Données projet'!$B$9,Paramètres!$A$1:$I$89,5,0)</f>
        <v>88.405200000000065</v>
      </c>
      <c r="P55" s="14">
        <f t="shared" si="33"/>
        <v>24.180198328373962</v>
      </c>
      <c r="Q55" s="22">
        <f t="shared" si="53"/>
        <v>196.08623542191808</v>
      </c>
      <c r="R55" s="62">
        <f t="shared" si="0"/>
        <v>489.41956875525136</v>
      </c>
      <c r="S55" s="62">
        <f ca="1">AVERAGE(OFFSET($R$3,0,0,'Données projet'!$E$9+1,1))-AVERAGE(OFFSET($H$3,0,0,'Données projet'!$E$9+1,1))</f>
        <v>119.8678823908412</v>
      </c>
      <c r="T55" s="62">
        <f t="shared" si="34"/>
        <v>64.795406733086224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3.4464013652354069E-4</v>
      </c>
      <c r="AC55" s="24">
        <f t="shared" si="3"/>
        <v>3.4464013652354069E-4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31.005000000000035</v>
      </c>
      <c r="D56" s="12">
        <f t="shared" si="32"/>
        <v>9.5803449488378725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313.29038206120487</v>
      </c>
      <c r="H56" s="70">
        <f t="shared" si="1"/>
        <v>364.01947578589267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4.9850000000000003</v>
      </c>
      <c r="N56" s="14">
        <f>IF('Données projet'!$A$36&gt;35,N55+M56-V55,IF(A56&lt;'Données projet'!$A$36,$K$205^A56,IF(A56='Données projet'!$A$36,'Données projet'!$B$36,N55+M56-V55)))</f>
        <v>156.1050000000001</v>
      </c>
      <c r="O56" s="14">
        <f>N56*VLOOKUP('Données projet'!$B$9,Paramètres!$A$1:$I$89,3,0)*VLOOKUP('Données projet'!$B$9,Paramètres!$A$1:$I$89,5,0)</f>
        <v>91.321425000000076</v>
      </c>
      <c r="P56" s="14">
        <f t="shared" si="33"/>
        <v>24.883650028101727</v>
      </c>
      <c r="Q56" s="22">
        <f t="shared" si="53"/>
        <v>202.39050567394395</v>
      </c>
      <c r="R56" s="62">
        <f t="shared" si="0"/>
        <v>495.72383900727726</v>
      </c>
      <c r="S56" s="62">
        <f ca="1">AVERAGE(OFFSET($R$3,0,0,'Données projet'!$E$9+1,1))-AVERAGE(OFFSET($H$3,0,0,'Données projet'!$E$9+1,1))</f>
        <v>119.8678823908412</v>
      </c>
      <c r="T56" s="62">
        <f t="shared" si="34"/>
        <v>64.795406733086224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2.4369737760485317E-4</v>
      </c>
      <c r="AC56" s="24">
        <f t="shared" si="3"/>
        <v>2.4369737760485317E-4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31.590000000000035</v>
      </c>
      <c r="D57" s="12">
        <f t="shared" si="32"/>
        <v>9.7398913956627631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319.03775814195848</v>
      </c>
      <c r="H57" s="70">
        <f t="shared" si="1"/>
        <v>365.31622751411271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4.9850000000000003</v>
      </c>
      <c r="N57" s="14">
        <f>IF('Données projet'!$A$36&gt;35,N56+M57-V56,IF(A57&lt;'Données projet'!$A$36,$K$205^A57,IF(A57='Données projet'!$A$36,'Données projet'!$B$36,N56+M57-V56)))</f>
        <v>161.09000000000012</v>
      </c>
      <c r="O57" s="14">
        <f>N57*VLOOKUP('Données projet'!$B$9,Paramètres!$A$1:$I$89,3,0)*VLOOKUP('Données projet'!$B$9,Paramètres!$A$1:$I$89,5,0)</f>
        <v>94.237650000000073</v>
      </c>
      <c r="P57" s="14">
        <f t="shared" si="33"/>
        <v>25.584491329999921</v>
      </c>
      <c r="Q57" s="22">
        <f t="shared" si="53"/>
        <v>208.6902294830833</v>
      </c>
      <c r="R57" s="62">
        <f t="shared" si="0"/>
        <v>502.02356281641664</v>
      </c>
      <c r="S57" s="62">
        <f ca="1">AVERAGE(OFFSET($R$3,0,0,'Données projet'!$E$9+1,1))-AVERAGE(OFFSET($H$3,0,0,'Données projet'!$E$9+1,1))</f>
        <v>119.8678823908412</v>
      </c>
      <c r="T57" s="62">
        <f t="shared" si="34"/>
        <v>64.795406733086224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1.7232006826177037E-4</v>
      </c>
      <c r="AC57" s="24">
        <f t="shared" si="3"/>
        <v>1.7232006826177037E-4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32.175000000000033</v>
      </c>
      <c r="D58" s="12">
        <f t="shared" si="32"/>
        <v>9.899094280892756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324.78248216829519</v>
      </c>
      <c r="H58" s="70">
        <f t="shared" si="1"/>
        <v>366.61238087255492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4.9850000000000003</v>
      </c>
      <c r="N58" s="14">
        <f>IF('Données projet'!$A$36&gt;35,N57+M58-V57,IF(A58&lt;'Données projet'!$A$36,$K$205^A58,IF(A58='Données projet'!$A$36,'Données projet'!$B$36,N57+M58-V57)))</f>
        <v>166.07500000000013</v>
      </c>
      <c r="O58" s="14">
        <f>N58*VLOOKUP('Données projet'!$B$9,Paramètres!$A$1:$I$89,3,0)*VLOOKUP('Données projet'!$B$9,Paramètres!$A$1:$I$89,5,0)</f>
        <v>97.153875000000085</v>
      </c>
      <c r="P58" s="14">
        <f t="shared" si="33"/>
        <v>26.282812283674605</v>
      </c>
      <c r="Q58" s="22">
        <f t="shared" si="53"/>
        <v>214.98556368573341</v>
      </c>
      <c r="R58" s="62">
        <f t="shared" si="0"/>
        <v>508.31889701906675</v>
      </c>
      <c r="S58" s="62">
        <f ca="1">AVERAGE(OFFSET($R$3,0,0,'Données projet'!$E$9+1,1))-AVERAGE(OFFSET($H$3,0,0,'Données projet'!$E$9+1,1))</f>
        <v>119.8678823908412</v>
      </c>
      <c r="T58" s="62">
        <f t="shared" si="34"/>
        <v>64.795406733086224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1.218486888024266E-4</v>
      </c>
      <c r="AC58" s="24">
        <f t="shared" si="3"/>
        <v>1.218486888024266E-4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32.760000000000034</v>
      </c>
      <c r="D59" s="12">
        <f t="shared" si="32"/>
        <v>10.057960571603438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330.52460792114965</v>
      </c>
      <c r="H59" s="70">
        <f t="shared" si="1"/>
        <v>367.90794799554271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4.9850000000000003</v>
      </c>
      <c r="N59" s="14">
        <f>IF('Données projet'!$A$36&gt;35,N58+M59-V58,IF(A59&lt;'Données projet'!$A$36,$K$205^A59,IF(A59='Données projet'!$A$36,'Données projet'!$B$36,N58+M59-V58)))</f>
        <v>171.06000000000014</v>
      </c>
      <c r="O59" s="14">
        <f>N59*VLOOKUP('Données projet'!$B$9,Paramètres!$A$1:$I$89,3,0)*VLOOKUP('Données projet'!$B$9,Paramètres!$A$1:$I$89,5,0)</f>
        <v>100.07010000000008</v>
      </c>
      <c r="P59" s="14">
        <f t="shared" si="33"/>
        <v>26.978697225528741</v>
      </c>
      <c r="Q59" s="22">
        <f t="shared" si="53"/>
        <v>221.27665516779601</v>
      </c>
      <c r="R59" s="62">
        <f t="shared" si="0"/>
        <v>514.60998850112935</v>
      </c>
      <c r="S59" s="62">
        <f ca="1">AVERAGE(OFFSET($R$3,0,0,'Données projet'!$E$9+1,1))-AVERAGE(OFFSET($H$3,0,0,'Données projet'!$E$9+1,1))</f>
        <v>119.8678823908412</v>
      </c>
      <c r="T59" s="62">
        <f t="shared" si="34"/>
        <v>64.795406733086224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8.6160034130885199E-5</v>
      </c>
      <c r="AC59" s="24">
        <f t="shared" si="3"/>
        <v>8.6160034130885199E-5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33.345000000000034</v>
      </c>
      <c r="D60" s="12">
        <f t="shared" si="32"/>
        <v>10.216496971796296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336.26418715070855</v>
      </c>
      <c r="H60" s="70">
        <f t="shared" si="1"/>
        <v>369.20294055921192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4.9850000000000003</v>
      </c>
      <c r="N60" s="14">
        <f>IF('Données projet'!$A$36&gt;35,N59+M60-V59,IF(A60&lt;'Données projet'!$A$36,$K$205^A60,IF(A60='Données projet'!$A$36,'Données projet'!$B$36,N59+M60-V59)))</f>
        <v>176.04500000000016</v>
      </c>
      <c r="O60" s="14">
        <f>N60*VLOOKUP('Données projet'!$B$9,Paramètres!$A$1:$I$89,3,0)*VLOOKUP('Données projet'!$B$9,Paramètres!$A$1:$I$89,5,0)</f>
        <v>102.98632500000011</v>
      </c>
      <c r="P60" s="14">
        <f t="shared" si="33"/>
        <v>27.672225297040249</v>
      </c>
      <c r="Q60" s="22">
        <f t="shared" si="53"/>
        <v>227.5636417673453</v>
      </c>
      <c r="R60" s="62">
        <f t="shared" si="0"/>
        <v>520.89697510067867</v>
      </c>
      <c r="S60" s="62">
        <f ca="1">AVERAGE(OFFSET($R$3,0,0,'Données projet'!$E$9+1,1))-AVERAGE(OFFSET($H$3,0,0,'Données projet'!$E$9+1,1))</f>
        <v>119.8678823908412</v>
      </c>
      <c r="T60" s="62">
        <f t="shared" si="34"/>
        <v>64.795406733086224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6.0924344401213313E-5</v>
      </c>
      <c r="AC60" s="24">
        <f t="shared" si="3"/>
        <v>6.0924344401213313E-5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33.930000000000035</v>
      </c>
      <c r="D61" s="12">
        <f t="shared" si="32"/>
        <v>10.374709936770245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342.00126968734958</v>
      </c>
      <c r="H61" s="70">
        <f t="shared" si="1"/>
        <v>370.49736980654154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4.9850000000000003</v>
      </c>
      <c r="N61" s="14">
        <f>IF('Données projet'!$A$36&gt;35,N60+M61-V60,IF(A61&lt;'Données projet'!$A$36,$K$205^A61,IF(A61='Données projet'!$A$36,'Données projet'!$B$36,N60+M61-V60)))</f>
        <v>181.03000000000017</v>
      </c>
      <c r="O61" s="14">
        <f>N61*VLOOKUP('Données projet'!$B$9,Paramètres!$A$1:$I$89,3,0)*VLOOKUP('Données projet'!$B$9,Paramètres!$A$1:$I$89,5,0)</f>
        <v>105.9025500000001</v>
      </c>
      <c r="P61" s="14">
        <f t="shared" si="33"/>
        <v>28.363470902686306</v>
      </c>
      <c r="Q61" s="22">
        <f t="shared" si="53"/>
        <v>233.84665307217884</v>
      </c>
      <c r="R61" s="62">
        <f t="shared" si="0"/>
        <v>527.17998640551218</v>
      </c>
      <c r="S61" s="62">
        <f ca="1">AVERAGE(OFFSET($R$3,0,0,'Données projet'!$E$9+1,1))-AVERAGE(OFFSET($H$3,0,0,'Données projet'!$E$9+1,1))</f>
        <v>119.8678823908412</v>
      </c>
      <c r="T61" s="62">
        <f t="shared" si="34"/>
        <v>64.795406733086224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4.3080017065442606E-5</v>
      </c>
      <c r="AC61" s="24">
        <f t="shared" si="3"/>
        <v>4.3080017065442606E-5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34.515000000000036</v>
      </c>
      <c r="D62" s="12">
        <f t="shared" si="32"/>
        <v>10.532605686473881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347.73590354471094</v>
      </c>
      <c r="H62" s="70">
        <f t="shared" si="1"/>
        <v>371.79124657060868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4.9850000000000003</v>
      </c>
      <c r="N62" s="14">
        <f>IF('Données projet'!$A$36&gt;35,N61+M62-V61,IF(A62&lt;'Données projet'!$A$36,$K$205^A62,IF(A62='Données projet'!$A$36,'Données projet'!$B$36,N61+M62-V61)))</f>
        <v>186.01500000000019</v>
      </c>
      <c r="O62" s="14">
        <f>N62*VLOOKUP('Données projet'!$B$9,Paramètres!$A$1:$I$89,3,0)*VLOOKUP('Données projet'!$B$9,Paramètres!$A$1:$I$89,5,0)</f>
        <v>108.81877500000012</v>
      </c>
      <c r="P62" s="14">
        <f t="shared" si="33"/>
        <v>29.052504116010553</v>
      </c>
      <c r="Q62" s="22">
        <f t="shared" si="53"/>
        <v>240.12581112705189</v>
      </c>
      <c r="R62" s="62">
        <f t="shared" si="0"/>
        <v>533.45914446038523</v>
      </c>
      <c r="S62" s="62">
        <f ca="1">AVERAGE(OFFSET($R$3,0,0,'Données projet'!$E$9+1,1))-AVERAGE(OFFSET($H$3,0,0,'Données projet'!$E$9+1,1))</f>
        <v>119.8678823908412</v>
      </c>
      <c r="T62" s="62">
        <f t="shared" si="34"/>
        <v>64.795406733086224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3.046217220060666E-5</v>
      </c>
      <c r="AC62" s="24">
        <f t="shared" si="3"/>
        <v>3.046217220060666E-5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35.100000000000037</v>
      </c>
      <c r="D63" s="12">
        <f t="shared" si="32"/>
        <v>10.690190217926908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353.46813501557648</v>
      </c>
      <c r="H63" s="70">
        <f t="shared" si="1"/>
        <v>373.08458129622272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191</v>
      </c>
      <c r="L63" s="13">
        <f>VLOOKUP(A63,'Données projet'!$A$35:$I$55,9,0)</f>
        <v>4.9850000000000003</v>
      </c>
      <c r="M63" s="13">
        <f t="array" ref="M63">INDEX(L:L,MIN(IF(ISNUMBER(L63:L259),ROW(L63:L259),"")))</f>
        <v>4.9850000000000003</v>
      </c>
      <c r="N63" s="14">
        <f>IF('Données projet'!$A$36&gt;35,N62+M63-V62,IF(A63&lt;'Données projet'!$A$36,$K$205^A63,IF(A63='Données projet'!$A$36,'Données projet'!$B$36,N62+M63-V62)))</f>
        <v>191.0000000000002</v>
      </c>
      <c r="O63" s="14">
        <f>N63*VLOOKUP('Données projet'!$B$9,Paramètres!$A$1:$I$89,3,0)*VLOOKUP('Données projet'!$B$9,Paramètres!$A$1:$I$89,5,0)</f>
        <v>111.73500000000011</v>
      </c>
      <c r="P63" s="14">
        <f t="shared" si="33"/>
        <v>29.73939104093721</v>
      </c>
      <c r="Q63" s="22">
        <f t="shared" si="53"/>
        <v>246.40123106296582</v>
      </c>
      <c r="R63" s="62">
        <f t="shared" si="0"/>
        <v>539.73456439629911</v>
      </c>
      <c r="S63" s="62">
        <f ca="1">AVERAGE(OFFSET($R$3,0,0,'Données projet'!$E$9+1,1))-AVERAGE(OFFSET($H$3,0,0,'Données projet'!$E$9+1,1))</f>
        <v>119.8678823908412</v>
      </c>
      <c r="T63" s="62">
        <f t="shared" si="34"/>
        <v>64.795406733086224</v>
      </c>
      <c r="U63" s="16">
        <f>IF(ISNA(VLOOKUP(A63,'Données projet'!$A$35:$I$55,3,0)),0,VLOOKUP(A63,'Données projet'!$A$35:$I$55,3,0))</f>
        <v>3</v>
      </c>
      <c r="V63" s="16">
        <f>IF(ISNA(VLOOKUP(A63,'Données projet'!$A$35:$I$55,4,0)),0,VLOOKUP(A63,'Données projet'!$A$35:$I$55,4,0))</f>
        <v>37.6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2.1540008532721307E-5</v>
      </c>
      <c r="AC63" s="24">
        <f t="shared" si="3"/>
        <v>2.1540008532721307E-5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35.685000000000038</v>
      </c>
      <c r="D64" s="12">
        <f t="shared" si="32"/>
        <v>10.847469316789951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359.19800876118592</v>
      </c>
      <c r="H64" s="70">
        <f t="shared" si="1"/>
        <v>374.37738406007588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6.3599999999999994</v>
      </c>
      <c r="N64" s="14">
        <f>IF('Données projet'!$A$36&gt;35,N63+M64-V63,IF(A64&lt;'Données projet'!$A$36,$K$205^A64,IF(A64='Données projet'!$A$36,'Données projet'!$B$36,N63+M64-V63)))</f>
        <v>159.76000000000019</v>
      </c>
      <c r="O64" s="14">
        <f>N64*VLOOKUP('Données projet'!$B$9,Paramètres!$A$1:$I$89,3,0)*VLOOKUP('Données projet'!$B$9,Paramètres!$A$1:$I$89,5,0)</f>
        <v>93.459600000000108</v>
      </c>
      <c r="P64" s="14">
        <f t="shared" si="33"/>
        <v>25.397756714588045</v>
      </c>
      <c r="Q64" s="22">
        <f t="shared" si="53"/>
        <v>207.0098962779077</v>
      </c>
      <c r="R64" s="62">
        <f t="shared" si="0"/>
        <v>500.34322961124099</v>
      </c>
      <c r="S64" s="62">
        <f ca="1">AVERAGE(OFFSET($R$3,0,0,'Données projet'!$E$9+1,1))-AVERAGE(OFFSET($H$3,0,0,'Données projet'!$E$9+1,1))</f>
        <v>119.8678823908412</v>
      </c>
      <c r="T64" s="62">
        <f t="shared" si="34"/>
        <v>64.795406733086224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1.5231086100303333E-5</v>
      </c>
      <c r="AC64" s="24">
        <f t="shared" si="3"/>
        <v>1.5231086100303333E-5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36.270000000000039</v>
      </c>
      <c r="D65" s="12">
        <f t="shared" si="32"/>
        <v>11.004448568154213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364.92556789452402</v>
      </c>
      <c r="H65" s="70">
        <f t="shared" si="1"/>
        <v>375.66966458953533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6.3599999999999994</v>
      </c>
      <c r="N65" s="14">
        <f>IF('Données projet'!$A$36&gt;35,N64+M65-V64,IF(A65&lt;'Données projet'!$A$36,$K$205^A65,IF(A65='Données projet'!$A$36,'Données projet'!$B$36,N64+M65-V64)))</f>
        <v>166.12000000000018</v>
      </c>
      <c r="O65" s="14">
        <f>N65*VLOOKUP('Données projet'!$B$9,Paramètres!$A$1:$I$89,3,0)*VLOOKUP('Données projet'!$B$9,Paramètres!$A$1:$I$89,5,0)</f>
        <v>97.180200000000099</v>
      </c>
      <c r="P65" s="14">
        <f t="shared" si="33"/>
        <v>26.289104866562784</v>
      </c>
      <c r="Q65" s="22">
        <f t="shared" si="53"/>
        <v>215.042372642597</v>
      </c>
      <c r="R65" s="62">
        <f t="shared" si="0"/>
        <v>508.37570597593032</v>
      </c>
      <c r="S65" s="62">
        <f ca="1">AVERAGE(OFFSET($R$3,0,0,'Données projet'!$E$9+1,1))-AVERAGE(OFFSET($H$3,0,0,'Données projet'!$E$9+1,1))</f>
        <v>119.8678823908412</v>
      </c>
      <c r="T65" s="62">
        <f t="shared" si="34"/>
        <v>64.795406733086224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1.0770004266360655E-5</v>
      </c>
      <c r="AC65" s="24">
        <f t="shared" si="3"/>
        <v>1.0770004266360655E-5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36.85500000000004</v>
      </c>
      <c r="D66" s="12">
        <f t="shared" si="32"/>
        <v>11.161133366615282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370.65085405808321</v>
      </c>
      <c r="H66" s="70">
        <f t="shared" si="1"/>
        <v>376.96143228018832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6.3599999999999994</v>
      </c>
      <c r="N66" s="14">
        <f>IF('Données projet'!$A$36&gt;35,N65+M66-V65,IF(A66&lt;'Données projet'!$A$36,$K$205^A66,IF(A66='Données projet'!$A$36,'Données projet'!$B$36,N65+M66-V65)))</f>
        <v>172.48000000000019</v>
      </c>
      <c r="O66" s="14">
        <f>N66*VLOOKUP('Données projet'!$B$9,Paramètres!$A$1:$I$89,3,0)*VLOOKUP('Données projet'!$B$9,Paramètres!$A$1:$I$89,5,0)</f>
        <v>100.90080000000012</v>
      </c>
      <c r="P66" s="14">
        <f t="shared" si="33"/>
        <v>27.176488592921562</v>
      </c>
      <c r="Q66" s="22">
        <f t="shared" si="53"/>
        <v>223.06794429933859</v>
      </c>
      <c r="R66" s="62">
        <f t="shared" si="0"/>
        <v>516.40127763267196</v>
      </c>
      <c r="S66" s="62">
        <f ca="1">AVERAGE(OFFSET($R$3,0,0,'Données projet'!$E$9+1,1))-AVERAGE(OFFSET($H$3,0,0,'Données projet'!$E$9+1,1))</f>
        <v>119.8678823908412</v>
      </c>
      <c r="T66" s="62">
        <f t="shared" si="34"/>
        <v>64.795406733086224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7.6155430501516675E-6</v>
      </c>
      <c r="AC66" s="24">
        <f t="shared" si="3"/>
        <v>7.6155430501516675E-6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37.44000000000004</v>
      </c>
      <c r="D67" s="12">
        <f t="shared" si="32"/>
        <v>11.317528925689196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376.37390749654855</v>
      </c>
      <c r="H67" s="70">
        <f t="shared" si="1"/>
        <v>378.25269621224209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6.3599999999999994</v>
      </c>
      <c r="N67" s="14">
        <f>IF('Données projet'!$A$36&gt;35,N66+M67-V66,IF(A67&lt;'Données projet'!$A$36,$K$205^A67,IF(A67='Données projet'!$A$36,'Données projet'!$B$36,N66+M67-V66)))</f>
        <v>178.8400000000002</v>
      </c>
      <c r="O67" s="14">
        <f>N67*VLOOKUP('Données projet'!$B$9,Paramètres!$A$1:$I$89,3,0)*VLOOKUP('Données projet'!$B$9,Paramètres!$A$1:$I$89,5,0)</f>
        <v>104.62140000000012</v>
      </c>
      <c r="P67" s="14">
        <f t="shared" si="33"/>
        <v>28.060070818420819</v>
      </c>
      <c r="Q67" s="22">
        <f t="shared" ref="Q67:Q98" si="54">(O67+P67)*0.475*44/12</f>
        <v>231.08689500874979</v>
      </c>
      <c r="R67" s="62">
        <f t="shared" ref="R67:R130" si="55">Q67+(I67+J67)*44/12</f>
        <v>524.42022834208308</v>
      </c>
      <c r="S67" s="62">
        <f ca="1">AVERAGE(OFFSET($R$3,0,0,'Données projet'!$E$9+1,1))-AVERAGE(OFFSET($H$3,0,0,'Données projet'!$E$9+1,1))</f>
        <v>119.8678823908412</v>
      </c>
      <c r="T67" s="62">
        <f t="shared" si="34"/>
        <v>64.795406733086224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5.3850021331803284E-6</v>
      </c>
      <c r="AC67" s="24">
        <f t="shared" si="3"/>
        <v>5.3850021331803284E-6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38.025000000000041</v>
      </c>
      <c r="D68" s="12">
        <f t="shared" si="32"/>
        <v>11.47364028662326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382.09476712481143</v>
      </c>
      <c r="H68" s="70">
        <f t="shared" ref="H68:H131" si="56">(B68+E68+F68)*44/12+(C68+D68)*0.475*44/12</f>
        <v>379.54346516586889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6.3599999999999994</v>
      </c>
      <c r="N68" s="14">
        <f>IF('Données projet'!$A$36&gt;35,N67+M68-V67,IF(A68&lt;'Données projet'!$A$36,$K$205^A68,IF(A68='Données projet'!$A$36,'Données projet'!$B$36,N67+M68-V67)))</f>
        <v>185.20000000000022</v>
      </c>
      <c r="O68" s="14">
        <f>N68*VLOOKUP('Données projet'!$B$9,Paramètres!$A$1:$I$89,3,0)*VLOOKUP('Données projet'!$B$9,Paramètres!$A$1:$I$89,5,0)</f>
        <v>108.34200000000014</v>
      </c>
      <c r="P68" s="14">
        <f t="shared" si="33"/>
        <v>28.940002222844107</v>
      </c>
      <c r="Q68" s="22">
        <f t="shared" si="54"/>
        <v>239.09948720478704</v>
      </c>
      <c r="R68" s="62">
        <f t="shared" si="55"/>
        <v>532.43282053812038</v>
      </c>
      <c r="S68" s="62">
        <f ca="1">AVERAGE(OFFSET($R$3,0,0,'Données projet'!$E$9+1,1))-AVERAGE(OFFSET($H$3,0,0,'Données projet'!$E$9+1,1))</f>
        <v>119.8678823908412</v>
      </c>
      <c r="T68" s="62">
        <f t="shared" si="34"/>
        <v>64.795406733086224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3.8077715250758342E-6</v>
      </c>
      <c r="AC68" s="24">
        <f t="shared" ref="AC68:AC131" si="57">SUM(Z68:AB68)</f>
        <v>3.8077715250758342E-6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38.610000000000042</v>
      </c>
      <c r="D69" s="12">
        <f t="shared" ref="D69:D132" si="86">IFERROR(EXP(-1.0587+0.8836*LN(C69)+0.284),0)</f>
        <v>11.629472326649358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387.81347059167956</v>
      </c>
      <c r="H69" s="70">
        <f t="shared" si="56"/>
        <v>380.83374763558101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6.3599999999999994</v>
      </c>
      <c r="N69" s="14">
        <f>IF('Données projet'!$A$36&gt;35,N68+M69-V68,IF(A69&lt;'Données projet'!$A$36,$K$205^A69,IF(A69='Données projet'!$A$36,'Données projet'!$B$36,N68+M69-V68)))</f>
        <v>191.56000000000023</v>
      </c>
      <c r="O69" s="14">
        <f>N69*VLOOKUP('Données projet'!$B$9,Paramètres!$A$1:$I$89,3,0)*VLOOKUP('Données projet'!$B$9,Paramètres!$A$1:$I$89,5,0)</f>
        <v>112.06260000000015</v>
      </c>
      <c r="P69" s="14">
        <f t="shared" ref="P69:P132" si="87">EXP(-1.0587+0.8836*LN(O69)+0.284)</f>
        <v>29.81642254991019</v>
      </c>
      <c r="Q69" s="22">
        <f t="shared" si="54"/>
        <v>247.10596427442715</v>
      </c>
      <c r="R69" s="62">
        <f t="shared" si="55"/>
        <v>540.43929760776041</v>
      </c>
      <c r="S69" s="62">
        <f ca="1">AVERAGE(OFFSET($R$3,0,0,'Données projet'!$E$9+1,1))-AVERAGE(OFFSET($H$3,0,0,'Données projet'!$E$9+1,1))</f>
        <v>119.8678823908412</v>
      </c>
      <c r="T69" s="62">
        <f t="shared" ref="T69:T132" si="88">$T$3</f>
        <v>64.795406733086224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2.6925010665901646E-6</v>
      </c>
      <c r="AC69" s="24">
        <f t="shared" si="57"/>
        <v>2.6925010665901646E-6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39.195000000000043</v>
      </c>
      <c r="D70" s="12">
        <f t="shared" si="86"/>
        <v>11.785029766722779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393.53005433961476</v>
      </c>
      <c r="H70" s="70">
        <f t="shared" si="56"/>
        <v>382.12355184370887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6.3599999999999994</v>
      </c>
      <c r="N70" s="14">
        <f>IF('Données projet'!$A$36&gt;35,N69+M70-V69,IF(A70&lt;'Données projet'!$A$36,$K$205^A70,IF(A70='Données projet'!$A$36,'Données projet'!$B$36,N69+M70-V69)))</f>
        <v>197.92000000000024</v>
      </c>
      <c r="O70" s="14">
        <f>N70*VLOOKUP('Données projet'!$B$9,Paramètres!$A$1:$I$89,3,0)*VLOOKUP('Données projet'!$B$9,Paramètres!$A$1:$I$89,5,0)</f>
        <v>115.78320000000014</v>
      </c>
      <c r="P70" s="14">
        <f t="shared" si="87"/>
        <v>30.689461737469113</v>
      </c>
      <c r="Q70" s="22">
        <f t="shared" si="54"/>
        <v>255.10655252609229</v>
      </c>
      <c r="R70" s="62">
        <f t="shared" si="55"/>
        <v>548.43988585942566</v>
      </c>
      <c r="S70" s="62">
        <f ca="1">AVERAGE(OFFSET($R$3,0,0,'Données projet'!$E$9+1,1))-AVERAGE(OFFSET($H$3,0,0,'Données projet'!$E$9+1,1))</f>
        <v>119.8678823908412</v>
      </c>
      <c r="T70" s="62">
        <f t="shared" si="88"/>
        <v>64.795406733086224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1.9038857625379175E-6</v>
      </c>
      <c r="AC70" s="24">
        <f t="shared" si="57"/>
        <v>1.9038857625379175E-6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39.780000000000044</v>
      </c>
      <c r="D71" s="12">
        <f t="shared" si="86"/>
        <v>11.940317178785941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399.24455366080406</v>
      </c>
      <c r="H71" s="70">
        <f t="shared" si="56"/>
        <v>383.41288575305225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6.3599999999999994</v>
      </c>
      <c r="N71" s="14">
        <f>IF('Données projet'!$A$36&gt;35,N70+M71-V70,IF(A71&lt;'Données projet'!$A$36,$K$205^A71,IF(A71='Données projet'!$A$36,'Données projet'!$B$36,N70+M71-V70)))</f>
        <v>204.28000000000026</v>
      </c>
      <c r="O71" s="14">
        <f>N71*VLOOKUP('Données projet'!$B$9,Paramètres!$A$1:$I$89,3,0)*VLOOKUP('Données projet'!$B$9,Paramètres!$A$1:$I$89,5,0)</f>
        <v>119.50380000000015</v>
      </c>
      <c r="P71" s="14">
        <f t="shared" si="87"/>
        <v>31.559240898345994</v>
      </c>
      <c r="Q71" s="22">
        <f t="shared" si="54"/>
        <v>263.10146289795284</v>
      </c>
      <c r="R71" s="62">
        <f t="shared" si="55"/>
        <v>556.4347962312861</v>
      </c>
      <c r="S71" s="62">
        <f ca="1">AVERAGE(OFFSET($R$3,0,0,'Données projet'!$E$9+1,1))-AVERAGE(OFFSET($H$3,0,0,'Données projet'!$E$9+1,1))</f>
        <v>119.8678823908412</v>
      </c>
      <c r="T71" s="62">
        <f t="shared" si="88"/>
        <v>64.795406733086224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1.3462505332950825E-6</v>
      </c>
      <c r="AC71" s="24">
        <f t="shared" si="57"/>
        <v>1.3462505332950825E-6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40.365000000000045</v>
      </c>
      <c r="D72" s="12">
        <f t="shared" si="86"/>
        <v>12.095338992592714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404.95700274983892</v>
      </c>
      <c r="H72" s="70">
        <f t="shared" si="56"/>
        <v>384.7017570787657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6.3599999999999994</v>
      </c>
      <c r="N72" s="14">
        <f>IF('Données projet'!$A$36&gt;35,N71+M72-V71,IF(A72&lt;'Données projet'!$A$36,$K$205^A72,IF(A72='Données projet'!$A$36,'Données projet'!$B$36,N71+M72-V71)))</f>
        <v>210.64000000000027</v>
      </c>
      <c r="O72" s="14">
        <f>N72*VLOOKUP('Données projet'!$B$9,Paramètres!$A$1:$I$89,3,0)*VLOOKUP('Données projet'!$B$9,Paramètres!$A$1:$I$89,5,0)</f>
        <v>123.22440000000016</v>
      </c>
      <c r="P72" s="14">
        <f t="shared" si="87"/>
        <v>32.425873175603563</v>
      </c>
      <c r="Q72" s="22">
        <f t="shared" si="54"/>
        <v>271.09089244750982</v>
      </c>
      <c r="R72" s="62">
        <f t="shared" si="55"/>
        <v>564.42422578084313</v>
      </c>
      <c r="S72" s="62">
        <f ca="1">AVERAGE(OFFSET($R$3,0,0,'Données projet'!$E$9+1,1))-AVERAGE(OFFSET($H$3,0,0,'Données projet'!$E$9+1,1))</f>
        <v>119.8678823908412</v>
      </c>
      <c r="T72" s="62">
        <f t="shared" si="88"/>
        <v>64.795406733086224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9.5194288126895886E-7</v>
      </c>
      <c r="AC72" s="24">
        <f t="shared" si="57"/>
        <v>9.5194288126895886E-7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40.950000000000045</v>
      </c>
      <c r="D73" s="12">
        <f t="shared" si="86"/>
        <v>12.250099502125854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410.66743475325262</v>
      </c>
      <c r="H73" s="70">
        <f t="shared" si="56"/>
        <v>385.99017329953591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217</v>
      </c>
      <c r="L73" s="13">
        <f>VLOOKUP(A73,'Données projet'!$A$35:$I$55,9,0)</f>
        <v>6.3599999999999994</v>
      </c>
      <c r="M73" s="13">
        <f t="array" ref="M73">INDEX(L:L,MIN(IF(ISNUMBER(L73:L269),ROW(L73:L269),"")))</f>
        <v>6.3599999999999994</v>
      </c>
      <c r="N73" s="14">
        <f>IF('Données projet'!$A$36&gt;35,N72+M73-V72,IF(A73&lt;'Données projet'!$A$36,$K$205^A73,IF(A73='Données projet'!$A$36,'Données projet'!$B$36,N72+M73-V72)))</f>
        <v>217.00000000000028</v>
      </c>
      <c r="O73" s="14">
        <f>N73*VLOOKUP('Données projet'!$B$9,Paramètres!$A$1:$I$89,3,0)*VLOOKUP('Données projet'!$B$9,Paramètres!$A$1:$I$89,5,0)</f>
        <v>126.94500000000018</v>
      </c>
      <c r="P73" s="14">
        <f t="shared" si="87"/>
        <v>33.289464491608889</v>
      </c>
      <c r="Q73" s="22">
        <f t="shared" si="54"/>
        <v>279.07502565621911</v>
      </c>
      <c r="R73" s="62">
        <f t="shared" si="55"/>
        <v>572.40835898955243</v>
      </c>
      <c r="S73" s="62">
        <f ca="1">AVERAGE(OFFSET($R$3,0,0,'Données projet'!$E$9+1,1))-AVERAGE(OFFSET($H$3,0,0,'Données projet'!$E$9+1,1))</f>
        <v>119.8678823908412</v>
      </c>
      <c r="T73" s="62">
        <f t="shared" si="88"/>
        <v>64.795406733086224</v>
      </c>
      <c r="U73" s="16">
        <f>IF(ISNA(VLOOKUP(A73,'Données projet'!$A$35:$I$55,3,0)),0,VLOOKUP(A73,'Données projet'!$A$35:$I$55,3,0))</f>
        <v>4</v>
      </c>
      <c r="V73" s="16">
        <f>IF(ISNA(VLOOKUP(A73,'Données projet'!$A$35:$I$55,4,0)),0,VLOOKUP(A73,'Données projet'!$A$35:$I$55,4,0))</f>
        <v>35.6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6.7312526664754136E-7</v>
      </c>
      <c r="AC73" s="24">
        <f t="shared" si="57"/>
        <v>6.7312526664754136E-7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41.535000000000046</v>
      </c>
      <c r="D74" s="12">
        <f t="shared" si="86"/>
        <v>12.40460287163736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416.37588181614842</v>
      </c>
      <c r="H74" s="70">
        <f t="shared" si="56"/>
        <v>387.2781416681018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4.08</v>
      </c>
      <c r="N74" s="14">
        <f>IF('Données projet'!$A$36&gt;35,N73+M74-V73,IF(A74&lt;'Données projet'!$A$36,$K$205^A74,IF(A74='Données projet'!$A$36,'Données projet'!$B$36,N73+M74-V73)))</f>
        <v>185.4800000000003</v>
      </c>
      <c r="O74" s="14">
        <f>N74*VLOOKUP('Données projet'!$B$9,Paramètres!$A$1:$I$89,3,0)*VLOOKUP('Données projet'!$B$9,Paramètres!$A$1:$I$89,5,0)</f>
        <v>108.50580000000018</v>
      </c>
      <c r="P74" s="14">
        <f t="shared" si="87"/>
        <v>28.978659665646685</v>
      </c>
      <c r="Q74" s="22">
        <f t="shared" si="54"/>
        <v>239.45210058433494</v>
      </c>
      <c r="R74" s="62">
        <f t="shared" si="55"/>
        <v>532.78543391766823</v>
      </c>
      <c r="S74" s="62">
        <f ca="1">AVERAGE(OFFSET($R$3,0,0,'Données projet'!$E$9+1,1))-AVERAGE(OFFSET($H$3,0,0,'Données projet'!$E$9+1,1))</f>
        <v>119.8678823908412</v>
      </c>
      <c r="T74" s="62">
        <f t="shared" si="88"/>
        <v>64.795406733086224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4.7597144063447953E-7</v>
      </c>
      <c r="AC74" s="24">
        <f t="shared" si="57"/>
        <v>4.7597144063447953E-7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42.120000000000047</v>
      </c>
      <c r="D75" s="12">
        <f t="shared" si="86"/>
        <v>12.558853141338764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422.08237512612419</v>
      </c>
      <c r="H75" s="70">
        <f t="shared" si="56"/>
        <v>388.56566922116508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4.08</v>
      </c>
      <c r="N75" s="14">
        <f>IF('Données projet'!$A$36&gt;35,N74+M75-V74,IF(A75&lt;'Données projet'!$A$36,$K$205^A75,IF(A75='Données projet'!$A$36,'Données projet'!$B$36,N74+M75-V74)))</f>
        <v>189.56000000000031</v>
      </c>
      <c r="O75" s="14">
        <f>N75*VLOOKUP('Données projet'!$B$9,Paramètres!$A$1:$I$89,3,0)*VLOOKUP('Données projet'!$B$9,Paramètres!$A$1:$I$89,5,0)</f>
        <v>110.8926000000002</v>
      </c>
      <c r="P75" s="14">
        <f t="shared" si="87"/>
        <v>29.541189073896792</v>
      </c>
      <c r="Q75" s="22">
        <f t="shared" si="54"/>
        <v>244.58884930370394</v>
      </c>
      <c r="R75" s="62">
        <f t="shared" si="55"/>
        <v>537.92218263703728</v>
      </c>
      <c r="S75" s="62">
        <f ca="1">AVERAGE(OFFSET($R$3,0,0,'Données projet'!$E$9+1,1))-AVERAGE(OFFSET($H$3,0,0,'Données projet'!$E$9+1,1))</f>
        <v>119.8678823908412</v>
      </c>
      <c r="T75" s="62">
        <f t="shared" si="88"/>
        <v>64.795406733086224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3.3656263332377073E-7</v>
      </c>
      <c r="AC75" s="24">
        <f t="shared" si="57"/>
        <v>3.3656263332377073E-7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42.705000000000048</v>
      </c>
      <c r="D76" s="12">
        <f t="shared" si="86"/>
        <v>12.712854232766428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427.78694495468858</v>
      </c>
      <c r="H76" s="70">
        <f t="shared" si="56"/>
        <v>389.85276278873494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4.08</v>
      </c>
      <c r="N76" s="14">
        <f>IF('Données projet'!$A$36&gt;35,N75+M76-V75,IF(A76&lt;'Données projet'!$A$36,$K$205^A76,IF(A76='Données projet'!$A$36,'Données projet'!$B$36,N75+M76-V75)))</f>
        <v>193.64000000000033</v>
      </c>
      <c r="O76" s="14">
        <f>N76*VLOOKUP('Données projet'!$B$9,Paramètres!$A$1:$I$89,3,0)*VLOOKUP('Données projet'!$B$9,Paramètres!$A$1:$I$89,5,0)</f>
        <v>113.27940000000019</v>
      </c>
      <c r="P76" s="14">
        <f t="shared" si="87"/>
        <v>30.102310804527391</v>
      </c>
      <c r="Q76" s="22">
        <f t="shared" si="54"/>
        <v>249.72314631788558</v>
      </c>
      <c r="R76" s="62">
        <f t="shared" si="55"/>
        <v>543.05647965121887</v>
      </c>
      <c r="S76" s="62">
        <f ca="1">AVERAGE(OFFSET($R$3,0,0,'Données projet'!$E$9+1,1))-AVERAGE(OFFSET($H$3,0,0,'Données projet'!$E$9+1,1))</f>
        <v>119.8678823908412</v>
      </c>
      <c r="T76" s="62">
        <f t="shared" si="88"/>
        <v>64.795406733086224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2.3798572031723979E-7</v>
      </c>
      <c r="AC76" s="24">
        <f t="shared" si="57"/>
        <v>2.3798572031723979E-7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43.290000000000049</v>
      </c>
      <c r="D77" s="12">
        <f t="shared" si="86"/>
        <v>12.866609953844357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433.48962069634285</v>
      </c>
      <c r="H77" s="70">
        <f t="shared" si="56"/>
        <v>391.13942900294563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4.08</v>
      </c>
      <c r="N77" s="14">
        <f>IF('Données projet'!$A$36&gt;35,N76+M77-V76,IF(A77&lt;'Données projet'!$A$36,$K$205^A77,IF(A77='Données projet'!$A$36,'Données projet'!$B$36,N76+M77-V76)))</f>
        <v>197.72000000000034</v>
      </c>
      <c r="O77" s="14">
        <f>N77*VLOOKUP('Données projet'!$B$9,Paramètres!$A$1:$I$89,3,0)*VLOOKUP('Données projet'!$B$9,Paramètres!$A$1:$I$89,5,0)</f>
        <v>115.66620000000022</v>
      </c>
      <c r="P77" s="14">
        <f t="shared" si="87"/>
        <v>30.662057934115474</v>
      </c>
      <c r="Q77" s="22">
        <f t="shared" si="54"/>
        <v>254.8550492352515</v>
      </c>
      <c r="R77" s="62">
        <f t="shared" si="55"/>
        <v>548.18838256858476</v>
      </c>
      <c r="S77" s="62">
        <f ca="1">AVERAGE(OFFSET($R$3,0,0,'Données projet'!$E$9+1,1))-AVERAGE(OFFSET($H$3,0,0,'Données projet'!$E$9+1,1))</f>
        <v>119.8678823908412</v>
      </c>
      <c r="T77" s="62">
        <f t="shared" si="88"/>
        <v>64.795406733086224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1.6828131666188539E-7</v>
      </c>
      <c r="AC77" s="24">
        <f t="shared" si="57"/>
        <v>1.6828131666188539E-7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43.87500000000005</v>
      </c>
      <c r="D78" s="12">
        <f t="shared" si="86"/>
        <v>13.020124003665703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439.19043090549008</v>
      </c>
      <c r="H78" s="70">
        <f t="shared" si="56"/>
        <v>392.42567430638451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4.08</v>
      </c>
      <c r="N78" s="14">
        <f>IF('Données projet'!$A$36&gt;35,N77+M78-V77,IF(A78&lt;'Données projet'!$A$36,$K$205^A78,IF(A78='Données projet'!$A$36,'Données projet'!$B$36,N77+M78-V77)))</f>
        <v>201.80000000000035</v>
      </c>
      <c r="O78" s="14">
        <f>N78*VLOOKUP('Données projet'!$B$9,Paramètres!$A$1:$I$89,3,0)*VLOOKUP('Données projet'!$B$9,Paramètres!$A$1:$I$89,5,0)</f>
        <v>118.05300000000021</v>
      </c>
      <c r="P78" s="14">
        <f t="shared" si="87"/>
        <v>31.22046209612968</v>
      </c>
      <c r="Q78" s="22">
        <f t="shared" si="54"/>
        <v>259.98461315075957</v>
      </c>
      <c r="R78" s="62">
        <f t="shared" si="55"/>
        <v>553.31794648409289</v>
      </c>
      <c r="S78" s="62">
        <f ca="1">AVERAGE(OFFSET($R$3,0,0,'Données projet'!$E$9+1,1))-AVERAGE(OFFSET($H$3,0,0,'Données projet'!$E$9+1,1))</f>
        <v>119.8678823908412</v>
      </c>
      <c r="T78" s="62">
        <f t="shared" si="88"/>
        <v>64.795406733086224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1.1899286015861992E-7</v>
      </c>
      <c r="AC78" s="24">
        <f t="shared" si="57"/>
        <v>1.1899286015861992E-7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44.460000000000051</v>
      </c>
      <c r="D79" s="12">
        <f t="shared" si="86"/>
        <v>13.173399977011865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444.88940333132012</v>
      </c>
      <c r="H79" s="70">
        <f t="shared" si="56"/>
        <v>393.71150495996238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4.08</v>
      </c>
      <c r="N79" s="14">
        <f>IF('Données projet'!$A$36&gt;35,N78+M79-V78,IF(A79&lt;'Données projet'!$A$36,$K$205^A79,IF(A79='Données projet'!$A$36,'Données projet'!$B$36,N78+M79-V78)))</f>
        <v>205.88000000000036</v>
      </c>
      <c r="O79" s="14">
        <f>N79*VLOOKUP('Données projet'!$B$9,Paramètres!$A$1:$I$89,3,0)*VLOOKUP('Données projet'!$B$9,Paramètres!$A$1:$I$89,5,0)</f>
        <v>120.43980000000023</v>
      </c>
      <c r="P79" s="14">
        <f t="shared" si="87"/>
        <v>31.777553571774856</v>
      </c>
      <c r="Q79" s="22">
        <f t="shared" si="54"/>
        <v>265.11189080417495</v>
      </c>
      <c r="R79" s="62">
        <f t="shared" si="55"/>
        <v>558.44522413750826</v>
      </c>
      <c r="S79" s="62">
        <f ca="1">AVERAGE(OFFSET($R$3,0,0,'Données projet'!$E$9+1,1))-AVERAGE(OFFSET($H$3,0,0,'Données projet'!$E$9+1,1))</f>
        <v>119.8678823908412</v>
      </c>
      <c r="T79" s="62">
        <f t="shared" si="88"/>
        <v>64.795406733086224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8.414065833094271E-8</v>
      </c>
      <c r="AC79" s="24">
        <f t="shared" si="57"/>
        <v>8.414065833094271E-8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45.045000000000051</v>
      </c>
      <c r="D80" s="12">
        <f t="shared" si="86"/>
        <v>13.326441368627087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450.58656495080601</v>
      </c>
      <c r="H80" s="70">
        <f t="shared" si="56"/>
        <v>394.99692705035892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4.08</v>
      </c>
      <c r="N80" s="14">
        <f>IF('Données projet'!$A$36&gt;35,N79+M80-V79,IF(A80&lt;'Données projet'!$A$36,$K$205^A80,IF(A80='Données projet'!$A$36,'Données projet'!$B$36,N79+M80-V79)))</f>
        <v>209.96000000000038</v>
      </c>
      <c r="O80" s="14">
        <f>N80*VLOOKUP('Données projet'!$B$9,Paramètres!$A$1:$I$89,3,0)*VLOOKUP('Données projet'!$B$9,Paramètres!$A$1:$I$89,5,0)</f>
        <v>122.82660000000023</v>
      </c>
      <c r="P80" s="14">
        <f t="shared" si="87"/>
        <v>32.333361373432012</v>
      </c>
      <c r="Q80" s="22">
        <f t="shared" si="54"/>
        <v>270.23693272539447</v>
      </c>
      <c r="R80" s="62">
        <f t="shared" si="55"/>
        <v>563.57026605872784</v>
      </c>
      <c r="S80" s="62">
        <f ca="1">AVERAGE(OFFSET($R$3,0,0,'Données projet'!$E$9+1,1))-AVERAGE(OFFSET($H$3,0,0,'Données projet'!$E$9+1,1))</f>
        <v>119.8678823908412</v>
      </c>
      <c r="T80" s="62">
        <f t="shared" si="88"/>
        <v>64.795406733086224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5.9496430079309968E-8</v>
      </c>
      <c r="AC80" s="24">
        <f t="shared" si="57"/>
        <v>5.9496430079309968E-8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45.630000000000052</v>
      </c>
      <c r="D81" s="12">
        <f t="shared" si="86"/>
        <v>13.479251577264574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456.28194199993754</v>
      </c>
      <c r="H81" s="70">
        <f t="shared" si="56"/>
        <v>396.28194649706921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4.08</v>
      </c>
      <c r="N81" s="14">
        <f>IF('Données projet'!$A$36&gt;35,N80+M81-V80,IF(A81&lt;'Données projet'!$A$36,$K$205^A81,IF(A81='Données projet'!$A$36,'Données projet'!$B$36,N80+M81-V80)))</f>
        <v>214.04000000000039</v>
      </c>
      <c r="O81" s="14">
        <f>N81*VLOOKUP('Données projet'!$B$9,Paramètres!$A$1:$I$89,3,0)*VLOOKUP('Données projet'!$B$9,Paramètres!$A$1:$I$89,5,0)</f>
        <v>125.21340000000025</v>
      </c>
      <c r="P81" s="14">
        <f t="shared" si="87"/>
        <v>32.887913321428982</v>
      </c>
      <c r="Q81" s="22">
        <f t="shared" si="54"/>
        <v>275.35978736815593</v>
      </c>
      <c r="R81" s="62">
        <f t="shared" si="55"/>
        <v>568.69312070148931</v>
      </c>
      <c r="S81" s="62">
        <f ca="1">AVERAGE(OFFSET($R$3,0,0,'Données projet'!$E$9+1,1))-AVERAGE(OFFSET($H$3,0,0,'Données projet'!$E$9+1,1))</f>
        <v>119.8678823908412</v>
      </c>
      <c r="T81" s="62">
        <f t="shared" si="88"/>
        <v>64.795406733086224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4.2070329165471362E-8</v>
      </c>
      <c r="AC81" s="24">
        <f t="shared" si="57"/>
        <v>4.2070329165471362E-8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46.215000000000053</v>
      </c>
      <c r="D82" s="12">
        <f t="shared" si="86"/>
        <v>13.63183390951929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461.97556000330724</v>
      </c>
      <c r="H82" s="70">
        <f t="shared" si="56"/>
        <v>397.56656905907948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4.08</v>
      </c>
      <c r="N82" s="14">
        <f>IF('Données projet'!$A$36&gt;35,N81+M82-V81,IF(A82&lt;'Données projet'!$A$36,$K$205^A82,IF(A82='Données projet'!$A$36,'Données projet'!$B$36,N81+M82-V81)))</f>
        <v>218.1200000000004</v>
      </c>
      <c r="O82" s="14">
        <f>N82*VLOOKUP('Données projet'!$B$9,Paramètres!$A$1:$I$89,3,0)*VLOOKUP('Données projet'!$B$9,Paramètres!$A$1:$I$89,5,0)</f>
        <v>127.60020000000024</v>
      </c>
      <c r="P82" s="14">
        <f t="shared" si="87"/>
        <v>33.441236114792332</v>
      </c>
      <c r="Q82" s="22">
        <f t="shared" si="54"/>
        <v>280.48050123326374</v>
      </c>
      <c r="R82" s="62">
        <f t="shared" si="55"/>
        <v>573.81383456659705</v>
      </c>
      <c r="S82" s="62">
        <f ca="1">AVERAGE(OFFSET($R$3,0,0,'Données projet'!$E$9+1,1))-AVERAGE(OFFSET($H$3,0,0,'Données projet'!$E$9+1,1))</f>
        <v>119.8678823908412</v>
      </c>
      <c r="T82" s="62">
        <f t="shared" si="88"/>
        <v>64.795406733086224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2.9748215039654987E-8</v>
      </c>
      <c r="AC82" s="24">
        <f t="shared" si="57"/>
        <v>2.9748215039654987E-8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46.800000000000054</v>
      </c>
      <c r="D83" s="12">
        <f t="shared" si="86"/>
        <v>13.784191583461146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467.66744380215664</v>
      </c>
      <c r="H83" s="70">
        <f t="shared" si="56"/>
        <v>398.85080034119488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4.08</v>
      </c>
      <c r="N83" s="14">
        <f>IF('Données projet'!$A$36&gt;35,N82+M83-V82,IF(A83&lt;'Données projet'!$A$36,$K$205^A83,IF(A83='Données projet'!$A$36,'Données projet'!$B$36,N82+M83-V82)))</f>
        <v>222.20000000000041</v>
      </c>
      <c r="O83" s="14">
        <f>N83*VLOOKUP('Données projet'!$B$9,Paramètres!$A$1:$I$89,3,0)*VLOOKUP('Données projet'!$B$9,Paramètres!$A$1:$I$89,5,0)</f>
        <v>129.98700000000025</v>
      </c>
      <c r="P83" s="14">
        <f t="shared" si="87"/>
        <v>33.993355396555749</v>
      </c>
      <c r="Q83" s="22">
        <f t="shared" si="54"/>
        <v>285.59911898233503</v>
      </c>
      <c r="R83" s="62">
        <f t="shared" si="55"/>
        <v>578.93245231566834</v>
      </c>
      <c r="S83" s="62">
        <f ca="1">AVERAGE(OFFSET($R$3,0,0,'Données projet'!$E$9+1,1))-AVERAGE(OFFSET($H$3,0,0,'Données projet'!$E$9+1,1))</f>
        <v>119.8678823908412</v>
      </c>
      <c r="T83" s="62">
        <f t="shared" si="88"/>
        <v>64.795406733086224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2.1035164582735684E-8</v>
      </c>
      <c r="AC83" s="24">
        <f t="shared" si="57"/>
        <v>2.1035164582735684E-8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47.385000000000055</v>
      </c>
      <c r="D84" s="12">
        <f t="shared" si="86"/>
        <v>13.936327732081306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473.35761758097891</v>
      </c>
      <c r="H84" s="70">
        <f t="shared" si="56"/>
        <v>400.13464580004165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4.08</v>
      </c>
      <c r="N84" s="14">
        <f>IF('Données projet'!$A$36&gt;35,N83+M84-V83,IF(A84&lt;'Données projet'!$A$36,$K$205^A84,IF(A84='Données projet'!$A$36,'Données projet'!$B$36,N83+M84-V83)))</f>
        <v>226.28000000000043</v>
      </c>
      <c r="O84" s="14">
        <f>N84*VLOOKUP('Données projet'!$B$9,Paramètres!$A$1:$I$89,3,0)*VLOOKUP('Données projet'!$B$9,Paramètres!$A$1:$I$89,5,0)</f>
        <v>132.37380000000024</v>
      </c>
      <c r="P84" s="14">
        <f t="shared" si="87"/>
        <v>34.544295814135815</v>
      </c>
      <c r="Q84" s="22">
        <f t="shared" si="54"/>
        <v>290.71568354295363</v>
      </c>
      <c r="R84" s="62">
        <f t="shared" si="55"/>
        <v>584.04901687628694</v>
      </c>
      <c r="S84" s="62">
        <f ca="1">AVERAGE(OFFSET($R$3,0,0,'Données projet'!$E$9+1,1))-AVERAGE(OFFSET($H$3,0,0,'Données projet'!$E$9+1,1))</f>
        <v>119.8678823908412</v>
      </c>
      <c r="T84" s="62">
        <f t="shared" si="88"/>
        <v>64.795406733086224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1.4874107519827497E-8</v>
      </c>
      <c r="AC84" s="24">
        <f t="shared" si="57"/>
        <v>1.4874107519827497E-8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47.970000000000056</v>
      </c>
      <c r="D85" s="12">
        <f t="shared" si="86"/>
        <v>14.088245406563498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479.04610489277138</v>
      </c>
      <c r="H85" s="70">
        <f t="shared" si="56"/>
        <v>401.41811074976482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4.08</v>
      </c>
      <c r="N85" s="14">
        <f>IF('Données projet'!$A$36&gt;35,N84+M85-V84,IF(A85&lt;'Données projet'!$A$36,$K$205^A85,IF(A85='Données projet'!$A$36,'Données projet'!$B$36,N84+M85-V84)))</f>
        <v>230.36000000000044</v>
      </c>
      <c r="O85" s="14">
        <f>N85*VLOOKUP('Données projet'!$B$9,Paramètres!$A$1:$I$89,3,0)*VLOOKUP('Données projet'!$B$9,Paramètres!$A$1:$I$89,5,0)</f>
        <v>134.76060000000027</v>
      </c>
      <c r="P85" s="14">
        <f t="shared" si="87"/>
        <v>35.094081075230285</v>
      </c>
      <c r="Q85" s="22">
        <f t="shared" si="54"/>
        <v>295.83023620602654</v>
      </c>
      <c r="R85" s="62">
        <f t="shared" si="55"/>
        <v>589.16356953935986</v>
      </c>
      <c r="S85" s="62">
        <f ca="1">AVERAGE(OFFSET($R$3,0,0,'Données projet'!$E$9+1,1))-AVERAGE(OFFSET($H$3,0,0,'Données projet'!$E$9+1,1))</f>
        <v>119.8678823908412</v>
      </c>
      <c r="T85" s="62">
        <f t="shared" si="88"/>
        <v>64.795406733086224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1.0517582291367844E-8</v>
      </c>
      <c r="AC85" s="24">
        <f t="shared" si="57"/>
        <v>1.0517582291367844E-8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48.555000000000057</v>
      </c>
      <c r="D86" s="12">
        <f t="shared" si="86"/>
        <v>14.239947579391218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484.73292868302042</v>
      </c>
      <c r="H86" s="70">
        <f t="shared" si="56"/>
        <v>402.70120036743981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4.08</v>
      </c>
      <c r="N86" s="14">
        <f>IF('Données projet'!$A$36&gt;35,N85+M86-V85,IF(A86&lt;'Données projet'!$A$36,$K$205^A86,IF(A86='Données projet'!$A$36,'Données projet'!$B$36,N85+M86-V85)))</f>
        <v>234.44000000000045</v>
      </c>
      <c r="O86" s="14">
        <f>N86*VLOOKUP('Données projet'!$B$9,Paramètres!$A$1:$I$89,3,0)*VLOOKUP('Données projet'!$B$9,Paramètres!$A$1:$I$89,5,0)</f>
        <v>137.14740000000026</v>
      </c>
      <c r="P86" s="14">
        <f t="shared" si="87"/>
        <v>35.642733999644001</v>
      </c>
      <c r="Q86" s="22">
        <f t="shared" si="54"/>
        <v>300.94281671604705</v>
      </c>
      <c r="R86" s="62">
        <f t="shared" si="55"/>
        <v>594.27615004938036</v>
      </c>
      <c r="S86" s="62">
        <f ca="1">AVERAGE(OFFSET($R$3,0,0,'Données projet'!$E$9+1,1))-AVERAGE(OFFSET($H$3,0,0,'Données projet'!$E$9+1,1))</f>
        <v>119.8678823908412</v>
      </c>
      <c r="T86" s="62">
        <f t="shared" si="88"/>
        <v>64.795406733086224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7.4370537599137493E-9</v>
      </c>
      <c r="AC86" s="24">
        <f t="shared" si="57"/>
        <v>7.4370537599137493E-9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49.140000000000057</v>
      </c>
      <c r="D87" s="12">
        <f t="shared" si="86"/>
        <v>14.391437147300881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490.41811131249847</v>
      </c>
      <c r="H87" s="70">
        <f t="shared" si="56"/>
        <v>403.9839196982158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4.08</v>
      </c>
      <c r="N87" s="14">
        <f>IF('Données projet'!$A$36&gt;35,N86+M87-V86,IF(A87&lt;'Données projet'!$A$36,$K$205^A87,IF(A87='Données projet'!$A$36,'Données projet'!$B$36,N86+M87-V86)))</f>
        <v>238.52000000000046</v>
      </c>
      <c r="O87" s="14">
        <f>N87*VLOOKUP('Données projet'!$B$9,Paramètres!$A$1:$I$89,3,0)*VLOOKUP('Données projet'!$B$9,Paramètres!$A$1:$I$89,5,0)</f>
        <v>139.53420000000028</v>
      </c>
      <c r="P87" s="14">
        <f t="shared" si="87"/>
        <v>36.190276567404936</v>
      </c>
      <c r="Q87" s="22">
        <f t="shared" si="54"/>
        <v>306.05346335489736</v>
      </c>
      <c r="R87" s="62">
        <f t="shared" si="55"/>
        <v>599.38679668823067</v>
      </c>
      <c r="S87" s="62">
        <f ca="1">AVERAGE(OFFSET($R$3,0,0,'Données projet'!$E$9+1,1))-AVERAGE(OFFSET($H$3,0,0,'Données projet'!$E$9+1,1))</f>
        <v>119.8678823908412</v>
      </c>
      <c r="T87" s="62">
        <f t="shared" si="88"/>
        <v>64.795406733086224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5.2587911456839227E-9</v>
      </c>
      <c r="AC87" s="24">
        <f t="shared" si="57"/>
        <v>5.2587911456839227E-9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49.725000000000058</v>
      </c>
      <c r="D88" s="12">
        <f t="shared" si="86"/>
        <v>14.542716934090356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496.10167457894363</v>
      </c>
      <c r="H88" s="70">
        <f t="shared" si="56"/>
        <v>405.26627366020745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4.08</v>
      </c>
      <c r="N88" s="14">
        <f>IF('Données projet'!$A$36&gt;35,N87+M88-V87,IF(A88&lt;'Données projet'!$A$36,$K$205^A88,IF(A88='Données projet'!$A$36,'Données projet'!$B$36,N87+M88-V87)))</f>
        <v>242.60000000000048</v>
      </c>
      <c r="O88" s="14">
        <f>N88*VLOOKUP('Données projet'!$B$9,Paramètres!$A$1:$I$89,3,0)*VLOOKUP('Données projet'!$B$9,Paramètres!$A$1:$I$89,5,0)</f>
        <v>141.92100000000028</v>
      </c>
      <c r="P88" s="14">
        <f t="shared" si="87"/>
        <v>36.736729963494739</v>
      </c>
      <c r="Q88" s="22">
        <f t="shared" si="54"/>
        <v>311.16221301975378</v>
      </c>
      <c r="R88" s="62">
        <f t="shared" si="55"/>
        <v>604.49554635308709</v>
      </c>
      <c r="S88" s="62">
        <f ca="1">AVERAGE(OFFSET($R$3,0,0,'Données projet'!$E$9+1,1))-AVERAGE(OFFSET($H$3,0,0,'Données projet'!$E$9+1,1))</f>
        <v>119.8678823908412</v>
      </c>
      <c r="T88" s="62">
        <f t="shared" si="88"/>
        <v>64.795406733086224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3.7185268799568755E-9</v>
      </c>
      <c r="AC88" s="24">
        <f t="shared" si="57"/>
        <v>3.7185268799568755E-9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50.310000000000059</v>
      </c>
      <c r="D89" s="12">
        <f t="shared" si="86"/>
        <v>14.693789693291563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501.78363973768973</v>
      </c>
      <c r="H89" s="70">
        <f t="shared" si="56"/>
        <v>406.54826704914956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4.08</v>
      </c>
      <c r="N89" s="14">
        <f>IF('Données projet'!$A$36&gt;35,N88+M89-V88,IF(A89&lt;'Données projet'!$A$36,$K$205^A89,IF(A89='Données projet'!$A$36,'Données projet'!$B$36,N88+M89-V88)))</f>
        <v>246.68000000000049</v>
      </c>
      <c r="O89" s="14">
        <f>N89*VLOOKUP('Données projet'!$B$9,Paramètres!$A$1:$I$89,3,0)*VLOOKUP('Données projet'!$B$9,Paramètres!$A$1:$I$89,5,0)</f>
        <v>144.3078000000003</v>
      </c>
      <c r="P89" s="14">
        <f t="shared" si="87"/>
        <v>37.28211461948505</v>
      </c>
      <c r="Q89" s="22">
        <f t="shared" si="54"/>
        <v>316.2691012956036</v>
      </c>
      <c r="R89" s="62">
        <f t="shared" si="55"/>
        <v>609.60243462893686</v>
      </c>
      <c r="S89" s="62">
        <f ca="1">AVERAGE(OFFSET($R$3,0,0,'Données projet'!$E$9+1,1))-AVERAGE(OFFSET($H$3,0,0,'Données projet'!$E$9+1,1))</f>
        <v>119.8678823908412</v>
      </c>
      <c r="T89" s="62">
        <f t="shared" si="88"/>
        <v>64.795406733086224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2.6293955728419618E-9</v>
      </c>
      <c r="AC89" s="24">
        <f t="shared" si="57"/>
        <v>2.6293955728419618E-9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50.89500000000006</v>
      </c>
      <c r="D90" s="12">
        <f t="shared" si="86"/>
        <v>14.844658110715219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507.46402752131098</v>
      </c>
      <c r="H90" s="70">
        <f t="shared" si="56"/>
        <v>407.82990454282907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4.08</v>
      </c>
      <c r="N90" s="14">
        <f>IF('Données projet'!$A$36&gt;35,N89+M90-V89,IF(A90&lt;'Données projet'!$A$36,$K$205^A90,IF(A90='Données projet'!$A$36,'Données projet'!$B$36,N89+M90-V89)))</f>
        <v>250.7600000000005</v>
      </c>
      <c r="O90" s="14">
        <f>N90*VLOOKUP('Données projet'!$B$9,Paramètres!$A$1:$I$89,3,0)*VLOOKUP('Données projet'!$B$9,Paramètres!$A$1:$I$89,5,0)</f>
        <v>146.69460000000029</v>
      </c>
      <c r="P90" s="14">
        <f t="shared" si="87"/>
        <v>37.826450252340962</v>
      </c>
      <c r="Q90" s="22">
        <f t="shared" si="54"/>
        <v>321.37416252282765</v>
      </c>
      <c r="R90" s="62">
        <f t="shared" si="55"/>
        <v>614.7074958561609</v>
      </c>
      <c r="S90" s="62">
        <f ca="1">AVERAGE(OFFSET($R$3,0,0,'Données projet'!$E$9+1,1))-AVERAGE(OFFSET($H$3,0,0,'Données projet'!$E$9+1,1))</f>
        <v>119.8678823908412</v>
      </c>
      <c r="T90" s="62">
        <f t="shared" si="88"/>
        <v>64.795406733086224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1.859263439978438E-9</v>
      </c>
      <c r="AC90" s="24">
        <f t="shared" si="57"/>
        <v>1.859263439978438E-9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51.480000000000061</v>
      </c>
      <c r="D91" s="12">
        <f t="shared" si="86"/>
        <v>14.995324806875246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513.1428581583358</v>
      </c>
      <c r="H91" s="70">
        <f t="shared" si="56"/>
        <v>409.11119070530782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4.08</v>
      </c>
      <c r="N91" s="14">
        <f>IF('Données projet'!$A$36&gt;35,N90+M91-V90,IF(A91&lt;'Données projet'!$A$36,$K$205^A91,IF(A91='Données projet'!$A$36,'Données projet'!$B$36,N90+M91-V90)))</f>
        <v>254.84000000000052</v>
      </c>
      <c r="O91" s="14">
        <f>N91*VLOOKUP('Données projet'!$B$9,Paramètres!$A$1:$I$89,3,0)*VLOOKUP('Données projet'!$B$9,Paramètres!$A$1:$I$89,5,0)</f>
        <v>149.08140000000031</v>
      </c>
      <c r="P91" s="14">
        <f t="shared" si="87"/>
        <v>38.369755900627688</v>
      </c>
      <c r="Q91" s="22">
        <f t="shared" si="54"/>
        <v>326.47742986026043</v>
      </c>
      <c r="R91" s="62">
        <f t="shared" si="55"/>
        <v>619.81076319359374</v>
      </c>
      <c r="S91" s="62">
        <f ca="1">AVERAGE(OFFSET($R$3,0,0,'Données projet'!$E$9+1,1))-AVERAGE(OFFSET($H$3,0,0,'Données projet'!$E$9+1,1))</f>
        <v>119.8678823908412</v>
      </c>
      <c r="T91" s="62">
        <f t="shared" si="88"/>
        <v>64.795406733086224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1.3146977864209811E-9</v>
      </c>
      <c r="AC91" s="24">
        <f t="shared" si="57"/>
        <v>1.3146977864209811E-9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52.065000000000062</v>
      </c>
      <c r="D92" s="12">
        <f t="shared" si="86"/>
        <v>15.145792339299836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518.82015139108694</v>
      </c>
      <c r="H92" s="70">
        <f t="shared" si="56"/>
        <v>410.3921299909473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4.08</v>
      </c>
      <c r="N92" s="14">
        <f>IF('Données projet'!$A$36&gt;35,N91+M92-V91,IF(A92&lt;'Données projet'!$A$36,$K$205^A92,IF(A92='Données projet'!$A$36,'Données projet'!$B$36,N91+M92-V91)))</f>
        <v>258.92000000000053</v>
      </c>
      <c r="O92" s="14">
        <f>N92*VLOOKUP('Données projet'!$B$9,Paramètres!$A$1:$I$89,3,0)*VLOOKUP('Données projet'!$B$9,Paramètres!$A$1:$I$89,5,0)</f>
        <v>151.46820000000031</v>
      </c>
      <c r="P92" s="14">
        <f t="shared" si="87"/>
        <v>38.912049958332602</v>
      </c>
      <c r="Q92" s="22">
        <f t="shared" si="54"/>
        <v>331.57893534409646</v>
      </c>
      <c r="R92" s="62">
        <f t="shared" si="55"/>
        <v>624.91226867742978</v>
      </c>
      <c r="S92" s="62">
        <f ca="1">AVERAGE(OFFSET($R$3,0,0,'Données projet'!$E$9+1,1))-AVERAGE(OFFSET($H$3,0,0,'Données projet'!$E$9+1,1))</f>
        <v>119.8678823908412</v>
      </c>
      <c r="T92" s="62">
        <f t="shared" si="88"/>
        <v>64.795406733086224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9.2963171998921908E-10</v>
      </c>
      <c r="AC92" s="24">
        <f t="shared" si="57"/>
        <v>9.2963171998921908E-10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52.650000000000063</v>
      </c>
      <c r="D93" s="12">
        <f t="shared" si="86"/>
        <v>15.296063204735706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524.49592649269709</v>
      </c>
      <c r="H93" s="70">
        <f t="shared" si="56"/>
        <v>411.67272674824812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263</v>
      </c>
      <c r="L93" s="13">
        <f>VLOOKUP(A93,'Données projet'!$A$35:$I$55,9,0)</f>
        <v>4.08</v>
      </c>
      <c r="M93" s="13">
        <f t="array" ref="M93">INDEX(L:L,MIN(IF(ISNUMBER(L93:L289),ROW(L93:L289),"")))</f>
        <v>4.08</v>
      </c>
      <c r="N93" s="14">
        <f>IF('Données projet'!$A$36&gt;35,N92+M93-V92,IF(A93&lt;'Données projet'!$A$36,$K$205^A93,IF(A93='Données projet'!$A$36,'Données projet'!$B$36,N92+M93-V92)))</f>
        <v>263.00000000000051</v>
      </c>
      <c r="O93" s="14">
        <f>N93*VLOOKUP('Données projet'!$B$9,Paramètres!$A$1:$I$89,3,0)*VLOOKUP('Données projet'!$B$9,Paramètres!$A$1:$I$89,5,0)</f>
        <v>153.8550000000003</v>
      </c>
      <c r="P93" s="14">
        <f t="shared" si="87"/>
        <v>39.45335020649501</v>
      </c>
      <c r="Q93" s="22">
        <f t="shared" si="54"/>
        <v>336.67870994297931</v>
      </c>
      <c r="R93" s="62">
        <f t="shared" si="55"/>
        <v>630.01204327631262</v>
      </c>
      <c r="S93" s="62">
        <f ca="1">AVERAGE(OFFSET($R$3,0,0,'Données projet'!$E$9+1,1))-AVERAGE(OFFSET($H$3,0,0,'Données projet'!$E$9+1,1))</f>
        <v>119.8678823908412</v>
      </c>
      <c r="T93" s="62">
        <f t="shared" si="88"/>
        <v>64.795406733086224</v>
      </c>
      <c r="U93" s="16">
        <f>IF(ISNA(VLOOKUP(A93,'Données projet'!$A$35:$I$55,3,0)),0,VLOOKUP(A93,'Données projet'!$A$35:$I$55,3,0))</f>
        <v>5</v>
      </c>
      <c r="V93" s="16">
        <f>IF(ISNA(VLOOKUP(A93,'Données projet'!$A$35:$I$55,4,0)),0,VLOOKUP(A93,'Données projet'!$A$35:$I$55,4,0))</f>
        <v>30.8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6.5734889321049064E-10</v>
      </c>
      <c r="AC93" s="24">
        <f t="shared" si="57"/>
        <v>6.5734889321049064E-10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53.235000000000063</v>
      </c>
      <c r="D94" s="12">
        <f t="shared" si="86"/>
        <v>15.44613984125151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530.17020228334559</v>
      </c>
      <c r="H94" s="70">
        <f t="shared" si="56"/>
        <v>412.95298522351317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3.3900000000000006</v>
      </c>
      <c r="N94" s="14">
        <f>IF('Données projet'!$A$36&gt;35,N93+M94-V93,IF(A94&lt;'Données projet'!$A$36,$K$205^A94,IF(A94='Données projet'!$A$36,'Données projet'!$B$36,N93+M94-V93)))</f>
        <v>235.59000000000049</v>
      </c>
      <c r="O94" s="14">
        <f>N94*VLOOKUP('Données projet'!$B$9,Paramètres!$A$1:$I$89,3,0)*VLOOKUP('Données projet'!$B$9,Paramètres!$A$1:$I$89,5,0)</f>
        <v>137.8201500000003</v>
      </c>
      <c r="P94" s="14">
        <f t="shared" si="87"/>
        <v>35.797177297356626</v>
      </c>
      <c r="Q94" s="22">
        <f t="shared" si="54"/>
        <v>302.38351170956327</v>
      </c>
      <c r="R94" s="62">
        <f t="shared" si="55"/>
        <v>595.71684504289658</v>
      </c>
      <c r="S94" s="62">
        <f ca="1">AVERAGE(OFFSET($R$3,0,0,'Données projet'!$E$9+1,1))-AVERAGE(OFFSET($H$3,0,0,'Données projet'!$E$9+1,1))</f>
        <v>119.8678823908412</v>
      </c>
      <c r="T94" s="62">
        <f t="shared" si="88"/>
        <v>64.795406733086224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4.6481585999460964E-10</v>
      </c>
      <c r="AC94" s="24">
        <f t="shared" si="57"/>
        <v>4.6481585999460964E-10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53.820000000000064</v>
      </c>
      <c r="D95" s="12">
        <f t="shared" si="86"/>
        <v>15.59602463024628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535.84299714576127</v>
      </c>
      <c r="H95" s="70">
        <f t="shared" si="56"/>
        <v>414.23290956434568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3.3900000000000006</v>
      </c>
      <c r="N95" s="14">
        <f>IF('Données projet'!$A$36&gt;35,N94+M95-V94,IF(A95&lt;'Données projet'!$A$36,$K$205^A95,IF(A95='Données projet'!$A$36,'Données projet'!$B$36,N94+M95-V94)))</f>
        <v>238.98000000000047</v>
      </c>
      <c r="O95" s="14">
        <f>N95*VLOOKUP('Données projet'!$B$9,Paramètres!$A$1:$I$89,3,0)*VLOOKUP('Données projet'!$B$9,Paramètres!$A$1:$I$89,5,0)</f>
        <v>139.80330000000029</v>
      </c>
      <c r="P95" s="14">
        <f t="shared" si="87"/>
        <v>36.251940600532258</v>
      </c>
      <c r="Q95" s="22">
        <f t="shared" si="54"/>
        <v>306.6295440459275</v>
      </c>
      <c r="R95" s="62">
        <f t="shared" si="55"/>
        <v>599.96287737926082</v>
      </c>
      <c r="S95" s="62">
        <f ca="1">AVERAGE(OFFSET($R$3,0,0,'Données projet'!$E$9+1,1))-AVERAGE(OFFSET($H$3,0,0,'Données projet'!$E$9+1,1))</f>
        <v>119.8678823908412</v>
      </c>
      <c r="T95" s="62">
        <f t="shared" si="88"/>
        <v>64.795406733086224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3.2867444660524537E-10</v>
      </c>
      <c r="AC95" s="24">
        <f t="shared" si="57"/>
        <v>3.2867444660524537E-10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54.405000000000065</v>
      </c>
      <c r="D96" s="12">
        <f t="shared" si="86"/>
        <v>15.745719898367955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541.51432904003389</v>
      </c>
      <c r="H96" s="70">
        <f t="shared" si="56"/>
        <v>415.51250382299094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3.3900000000000006</v>
      </c>
      <c r="N96" s="14">
        <f>IF('Données projet'!$A$36&gt;35,N95+M96-V95,IF(A96&lt;'Données projet'!$A$36,$K$205^A96,IF(A96='Données projet'!$A$36,'Données projet'!$B$36,N95+M96-V95)))</f>
        <v>242.37000000000046</v>
      </c>
      <c r="O96" s="14">
        <f>N96*VLOOKUP('Données projet'!$B$9,Paramètres!$A$1:$I$89,3,0)*VLOOKUP('Données projet'!$B$9,Paramètres!$A$1:$I$89,5,0)</f>
        <v>141.78645000000026</v>
      </c>
      <c r="P96" s="14">
        <f t="shared" si="87"/>
        <v>36.705953606314139</v>
      </c>
      <c r="Q96" s="22">
        <f t="shared" si="54"/>
        <v>310.8742696143309</v>
      </c>
      <c r="R96" s="62">
        <f t="shared" si="55"/>
        <v>604.20760294766421</v>
      </c>
      <c r="S96" s="62">
        <f ca="1">AVERAGE(OFFSET($R$3,0,0,'Données projet'!$E$9+1,1))-AVERAGE(OFFSET($H$3,0,0,'Données projet'!$E$9+1,1))</f>
        <v>119.8678823908412</v>
      </c>
      <c r="T96" s="62">
        <f t="shared" si="88"/>
        <v>64.795406733086224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2.3240792999730485E-10</v>
      </c>
      <c r="AC96" s="24">
        <f t="shared" si="57"/>
        <v>2.3240792999730485E-10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54.990000000000066</v>
      </c>
      <c r="D97" s="12">
        <f t="shared" si="86"/>
        <v>15.895227919347036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547.18421551776714</v>
      </c>
      <c r="H97" s="70">
        <f t="shared" si="56"/>
        <v>416.79177195952951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3.3900000000000006</v>
      </c>
      <c r="N97" s="14">
        <f>IF('Données projet'!$A$36&gt;35,N96+M97-V96,IF(A97&lt;'Données projet'!$A$36,$K$205^A97,IF(A97='Données projet'!$A$36,'Données projet'!$B$36,N96+M97-V96)))</f>
        <v>245.76000000000045</v>
      </c>
      <c r="O97" s="14">
        <f>N97*VLOOKUP('Données projet'!$B$9,Paramètres!$A$1:$I$89,3,0)*VLOOKUP('Données projet'!$B$9,Paramètres!$A$1:$I$89,5,0)</f>
        <v>143.76960000000025</v>
      </c>
      <c r="P97" s="14">
        <f t="shared" si="87"/>
        <v>37.159228021796658</v>
      </c>
      <c r="Q97" s="22">
        <f t="shared" si="54"/>
        <v>315.11770880462956</v>
      </c>
      <c r="R97" s="62">
        <f t="shared" si="55"/>
        <v>608.45104213796287</v>
      </c>
      <c r="S97" s="62">
        <f ca="1">AVERAGE(OFFSET($R$3,0,0,'Données projet'!$E$9+1,1))-AVERAGE(OFFSET($H$3,0,0,'Données projet'!$E$9+1,1))</f>
        <v>119.8678823908412</v>
      </c>
      <c r="T97" s="62">
        <f t="shared" si="88"/>
        <v>64.795406733086224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1.6433722330262271E-10</v>
      </c>
      <c r="AC97" s="24">
        <f t="shared" si="57"/>
        <v>1.6433722330262271E-10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55.575000000000067</v>
      </c>
      <c r="D98" s="12">
        <f t="shared" si="86"/>
        <v>16.044550915750058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552.8526737356151</v>
      </c>
      <c r="H98" s="70">
        <f t="shared" si="56"/>
        <v>418.07071784493144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3.3900000000000006</v>
      </c>
      <c r="N98" s="14">
        <f>IF('Données projet'!$A$36&gt;35,N97+M98-V97,IF(A98&lt;'Données projet'!$A$36,$K$205^A98,IF(A98='Données projet'!$A$36,'Données projet'!$B$36,N97+M98-V97)))</f>
        <v>249.15000000000043</v>
      </c>
      <c r="O98" s="14">
        <f>N98*VLOOKUP('Données projet'!$B$9,Paramètres!$A$1:$I$89,3,0)*VLOOKUP('Données projet'!$B$9,Paramètres!$A$1:$I$89,5,0)</f>
        <v>145.75275000000025</v>
      </c>
      <c r="P98" s="14">
        <f t="shared" si="87"/>
        <v>37.611775212544906</v>
      </c>
      <c r="Q98" s="22">
        <f t="shared" si="54"/>
        <v>319.35988141184941</v>
      </c>
      <c r="R98" s="62">
        <f t="shared" si="55"/>
        <v>612.69321474518279</v>
      </c>
      <c r="S98" s="62">
        <f ca="1">AVERAGE(OFFSET($R$3,0,0,'Données projet'!$E$9+1,1))-AVERAGE(OFFSET($H$3,0,0,'Données projet'!$E$9+1,1))</f>
        <v>119.8678823908412</v>
      </c>
      <c r="T98" s="62">
        <f t="shared" si="88"/>
        <v>64.795406733086224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1.1620396499865245E-10</v>
      </c>
      <c r="AC98" s="24">
        <f t="shared" si="57"/>
        <v>1.1620396499865245E-10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56.160000000000068</v>
      </c>
      <c r="D99" s="12">
        <f t="shared" si="86"/>
        <v>16.193691060657052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558.5197204682305</v>
      </c>
      <c r="H99" s="70">
        <f t="shared" si="56"/>
        <v>419.3493452639778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3.3900000000000006</v>
      </c>
      <c r="N99" s="14">
        <f>IF('Données projet'!$A$36&gt;35,N98+M99-V98,IF(A99&lt;'Données projet'!$A$36,$K$205^A99,IF(A99='Données projet'!$A$36,'Données projet'!$B$36,N98+M99-V98)))</f>
        <v>252.54000000000042</v>
      </c>
      <c r="O99" s="14">
        <f>N99*VLOOKUP('Données projet'!$B$9,Paramètres!$A$1:$I$89,3,0)*VLOOKUP('Données projet'!$B$9,Paramètres!$A$1:$I$89,5,0)</f>
        <v>147.73590000000024</v>
      </c>
      <c r="P99" s="14">
        <f t="shared" si="87"/>
        <v>38.063606217066905</v>
      </c>
      <c r="Q99" s="22">
        <f t="shared" ref="Q99:Q130" si="107">(O99+P99)*0.475*44/12</f>
        <v>323.60080666139191</v>
      </c>
      <c r="R99" s="62">
        <f t="shared" si="55"/>
        <v>616.93413999472523</v>
      </c>
      <c r="S99" s="62">
        <f ca="1">AVERAGE(OFFSET($R$3,0,0,'Données projet'!$E$9+1,1))-AVERAGE(OFFSET($H$3,0,0,'Données projet'!$E$9+1,1))</f>
        <v>119.8678823908412</v>
      </c>
      <c r="T99" s="62">
        <f t="shared" si="88"/>
        <v>64.795406733086224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8.2168611651311369E-11</v>
      </c>
      <c r="AC99" s="24">
        <f t="shared" si="57"/>
        <v>8.2168611651311369E-11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56.745000000000068</v>
      </c>
      <c r="D100" s="12">
        <f t="shared" si="86"/>
        <v>16.342650479267164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564.18537212065939</v>
      </c>
      <c r="H100" s="70">
        <f t="shared" si="56"/>
        <v>420.62765791805708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3.3900000000000006</v>
      </c>
      <c r="N100" s="14">
        <f>IF('Données projet'!$A$36&gt;35,N99+M100-V99,IF(A100&lt;'Données projet'!$A$36,$K$205^A100,IF(A100='Données projet'!$A$36,'Données projet'!$B$36,N99+M100-V99)))</f>
        <v>255.9300000000004</v>
      </c>
      <c r="O100" s="14">
        <f>N100*VLOOKUP('Données projet'!$B$9,Paramètres!$A$1:$I$89,3,0)*VLOOKUP('Données projet'!$B$9,Paramètres!$A$1:$I$89,5,0)</f>
        <v>149.71905000000024</v>
      </c>
      <c r="P100" s="14">
        <f t="shared" si="87"/>
        <v>38.514731760486292</v>
      </c>
      <c r="Q100" s="22">
        <f t="shared" si="107"/>
        <v>327.84050323284737</v>
      </c>
      <c r="R100" s="62">
        <f t="shared" si="55"/>
        <v>621.17383656618063</v>
      </c>
      <c r="S100" s="62">
        <f ca="1">AVERAGE(OFFSET($R$3,0,0,'Données projet'!$E$9+1,1))-AVERAGE(OFFSET($H$3,0,0,'Données projet'!$E$9+1,1))</f>
        <v>119.8678823908412</v>
      </c>
      <c r="T100" s="62">
        <f t="shared" si="88"/>
        <v>64.795406733086224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5.8101982499326231E-11</v>
      </c>
      <c r="AC100" s="24">
        <f t="shared" si="57"/>
        <v>5.8101982499326231E-11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57.330000000000069</v>
      </c>
      <c r="D101" s="12">
        <f t="shared" si="86"/>
        <v>16.491431250436101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569.8496447402091</v>
      </c>
      <c r="H101" s="70">
        <f t="shared" si="56"/>
        <v>421.90565942784298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3.3900000000000006</v>
      </c>
      <c r="N101" s="14">
        <f>IF('Données projet'!$A$36&gt;35,N100+M101-V100,IF(A101&lt;'Données projet'!$A$36,$K$205^A101,IF(A101='Données projet'!$A$36,'Données projet'!$B$36,N100+M101-V100)))</f>
        <v>259.32000000000039</v>
      </c>
      <c r="O101" s="14">
        <f>N101*VLOOKUP('Données projet'!$B$9,Paramètres!$A$1:$I$89,3,0)*VLOOKUP('Données projet'!$B$9,Paramètres!$A$1:$I$89,5,0)</f>
        <v>151.70220000000023</v>
      </c>
      <c r="P101" s="14">
        <f t="shared" si="87"/>
        <v>38.965162267470241</v>
      </c>
      <c r="Q101" s="22">
        <f t="shared" si="107"/>
        <v>332.07898928251103</v>
      </c>
      <c r="R101" s="62">
        <f t="shared" si="55"/>
        <v>625.41232261584435</v>
      </c>
      <c r="S101" s="62">
        <f ca="1">AVERAGE(OFFSET($R$3,0,0,'Données projet'!$E$9+1,1))-AVERAGE(OFFSET($H$3,0,0,'Données projet'!$E$9+1,1))</f>
        <v>119.8678823908412</v>
      </c>
      <c r="T101" s="62">
        <f t="shared" si="88"/>
        <v>64.795406733086224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4.1084305825655691E-11</v>
      </c>
      <c r="AC101" s="24">
        <f t="shared" si="57"/>
        <v>4.1084305825655691E-11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57.91500000000007</v>
      </c>
      <c r="D102" s="12">
        <f t="shared" si="86"/>
        <v>16.640035408149146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575.51255402781862</v>
      </c>
      <c r="H102" s="70">
        <f t="shared" si="56"/>
        <v>423.18335333585986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3.3900000000000006</v>
      </c>
      <c r="N102" s="14">
        <f>IF('Données projet'!$A$36&gt;35,N101+M102-V101,IF(A102&lt;'Données projet'!$A$36,$K$205^A102,IF(A102='Données projet'!$A$36,'Données projet'!$B$36,N101+M102-V101)))</f>
        <v>262.71000000000038</v>
      </c>
      <c r="O102" s="14">
        <f>N102*VLOOKUP('Données projet'!$B$9,Paramètres!$A$1:$I$89,3,0)*VLOOKUP('Données projet'!$B$9,Paramètres!$A$1:$I$89,5,0)</f>
        <v>153.68535000000023</v>
      </c>
      <c r="P102" s="14">
        <f t="shared" si="87"/>
        <v>39.414907874461882</v>
      </c>
      <c r="Q102" s="22">
        <f t="shared" si="107"/>
        <v>336.31628246468813</v>
      </c>
      <c r="R102" s="62">
        <f t="shared" si="55"/>
        <v>629.64961579802139</v>
      </c>
      <c r="S102" s="62">
        <f ca="1">AVERAGE(OFFSET($R$3,0,0,'Données projet'!$E$9+1,1))-AVERAGE(OFFSET($H$3,0,0,'Données projet'!$E$9+1,1))</f>
        <v>119.8678823908412</v>
      </c>
      <c r="T102" s="62">
        <f t="shared" si="88"/>
        <v>64.795406733086224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2.9050991249663122E-11</v>
      </c>
      <c r="AC102" s="24">
        <f t="shared" si="57"/>
        <v>2.9050991249663122E-11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58.500000000000071</v>
      </c>
      <c r="D103" s="12">
        <f t="shared" si="86"/>
        <v>16.788464942932816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581.17411534895575</v>
      </c>
      <c r="H103" s="70">
        <f t="shared" si="56"/>
        <v>424.46074310894141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3.3900000000000006</v>
      </c>
      <c r="N103" s="14">
        <f>IF('Données projet'!$A$36&gt;35,N102+M103-V102,IF(A103&lt;'Données projet'!$A$36,$K$205^A103,IF(A103='Données projet'!$A$36,'Données projet'!$B$36,N102+M103-V102)))</f>
        <v>266.10000000000036</v>
      </c>
      <c r="O103" s="14">
        <f>N103*VLOOKUP('Données projet'!$B$9,Paramètres!$A$1:$I$89,3,0)*VLOOKUP('Données projet'!$B$9,Paramètres!$A$1:$I$89,5,0)</f>
        <v>155.66850000000022</v>
      </c>
      <c r="P103" s="14">
        <f t="shared" si="87"/>
        <v>39.863978441263505</v>
      </c>
      <c r="Q103" s="22">
        <f t="shared" si="107"/>
        <v>340.55239995186759</v>
      </c>
      <c r="R103" s="62">
        <f t="shared" si="55"/>
        <v>633.8857332852009</v>
      </c>
      <c r="S103" s="62">
        <f ca="1">AVERAGE(OFFSET($R$3,0,0,'Données projet'!$E$9+1,1))-AVERAGE(OFFSET($H$3,0,0,'Données projet'!$E$9+1,1))</f>
        <v>119.8678823908412</v>
      </c>
      <c r="T103" s="62">
        <f t="shared" si="88"/>
        <v>64.795406733086224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2.0542152912827849E-11</v>
      </c>
      <c r="AC103" s="24">
        <f t="shared" si="57"/>
        <v>2.0542152912827849E-11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59.085000000000072</v>
      </c>
      <c r="D104" s="12">
        <f t="shared" si="86"/>
        <v>16.936721803208584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586.83434374406693</v>
      </c>
      <c r="H104" s="70">
        <f t="shared" si="56"/>
        <v>425.73783214058835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3.3900000000000006</v>
      </c>
      <c r="N104" s="14">
        <f>IF('Données projet'!$A$36&gt;35,N103+M104-V103,IF(A104&lt;'Données projet'!$A$36,$K$205^A104,IF(A104='Données projet'!$A$36,'Données projet'!$B$36,N103+M104-V103)))</f>
        <v>269.49000000000035</v>
      </c>
      <c r="O104" s="14">
        <f>N104*VLOOKUP('Données projet'!$B$9,Paramètres!$A$1:$I$89,3,0)*VLOOKUP('Données projet'!$B$9,Paramètres!$A$1:$I$89,5,0)</f>
        <v>157.65165000000022</v>
      </c>
      <c r="P104" s="14">
        <f t="shared" si="87"/>
        <v>40.312383562012933</v>
      </c>
      <c r="Q104" s="22">
        <f t="shared" si="107"/>
        <v>344.78735845383954</v>
      </c>
      <c r="R104" s="62">
        <f t="shared" si="55"/>
        <v>638.12069178717286</v>
      </c>
      <c r="S104" s="62">
        <f ca="1">AVERAGE(OFFSET($R$3,0,0,'Données projet'!$E$9+1,1))-AVERAGE(OFFSET($H$3,0,0,'Données projet'!$E$9+1,1))</f>
        <v>119.8678823908412</v>
      </c>
      <c r="T104" s="62">
        <f t="shared" si="88"/>
        <v>64.795406733086224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1.4525495624831563E-11</v>
      </c>
      <c r="AC104" s="24">
        <f t="shared" si="57"/>
        <v>1.4525495624831563E-11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59.670000000000073</v>
      </c>
      <c r="D105" s="12">
        <f t="shared" si="86"/>
        <v>17.084807896591347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592.49325393860045</v>
      </c>
      <c r="H105" s="70">
        <f t="shared" si="56"/>
        <v>427.01462375323001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3.3900000000000006</v>
      </c>
      <c r="N105" s="14">
        <f>IF('Données projet'!$A$36&gt;35,N104+M105-V104,IF(A105&lt;'Données projet'!$A$36,$K$205^A105,IF(A105='Données projet'!$A$36,'Données projet'!$B$36,N104+M105-V104)))</f>
        <v>272.88000000000034</v>
      </c>
      <c r="O105" s="14">
        <f>N105*VLOOKUP('Données projet'!$B$9,Paramètres!$A$1:$I$89,3,0)*VLOOKUP('Données projet'!$B$9,Paramètres!$A$1:$I$89,5,0)</f>
        <v>159.63480000000021</v>
      </c>
      <c r="P105" s="14">
        <f t="shared" si="87"/>
        <v>40.760132575591193</v>
      </c>
      <c r="Q105" s="22">
        <f t="shared" si="107"/>
        <v>349.02117423582166</v>
      </c>
      <c r="R105" s="62">
        <f t="shared" si="55"/>
        <v>642.35450756915498</v>
      </c>
      <c r="S105" s="62">
        <f ca="1">AVERAGE(OFFSET($R$3,0,0,'Données projet'!$E$9+1,1))-AVERAGE(OFFSET($H$3,0,0,'Données projet'!$E$9+1,1))</f>
        <v>119.8678823908412</v>
      </c>
      <c r="T105" s="62">
        <f t="shared" si="88"/>
        <v>64.795406733086224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1.0271076456413926E-11</v>
      </c>
      <c r="AC105" s="24">
        <f t="shared" si="57"/>
        <v>1.0271076456413926E-11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60.255000000000074</v>
      </c>
      <c r="D106" s="12">
        <f t="shared" si="86"/>
        <v>17.232725091135531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598.15086035262573</v>
      </c>
      <c r="H106" s="70">
        <f t="shared" si="56"/>
        <v>428.29112120039451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3.3900000000000006</v>
      </c>
      <c r="N106" s="14">
        <f>IF('Données projet'!$A$36&gt;35,N105+M106-V105,IF(A106&lt;'Données projet'!$A$36,$K$205^A106,IF(A106='Données projet'!$A$36,'Données projet'!$B$36,N105+M106-V105)))</f>
        <v>276.27000000000032</v>
      </c>
      <c r="O106" s="14">
        <f>N106*VLOOKUP('Données projet'!$B$9,Paramètres!$A$1:$I$89,3,0)*VLOOKUP('Données projet'!$B$9,Paramètres!$A$1:$I$89,5,0)</f>
        <v>161.61795000000018</v>
      </c>
      <c r="P106" s="14">
        <f t="shared" si="87"/>
        <v>41.207234575499079</v>
      </c>
      <c r="Q106" s="22">
        <f t="shared" si="107"/>
        <v>353.25386313566122</v>
      </c>
      <c r="R106" s="62">
        <f t="shared" si="55"/>
        <v>646.58719646899453</v>
      </c>
      <c r="S106" s="62">
        <f ca="1">AVERAGE(OFFSET($R$3,0,0,'Données projet'!$E$9+1,1))-AVERAGE(OFFSET($H$3,0,0,'Données projet'!$E$9+1,1))</f>
        <v>119.8678823908412</v>
      </c>
      <c r="T106" s="62">
        <f t="shared" si="88"/>
        <v>64.795406733086224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7.2627478124157821E-12</v>
      </c>
      <c r="AC106" s="24">
        <f t="shared" si="57"/>
        <v>7.2627478124157821E-12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60.840000000000074</v>
      </c>
      <c r="D107" s="12">
        <f t="shared" si="86"/>
        <v>17.380475216531472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603.80717711006821</v>
      </c>
      <c r="H107" s="70">
        <f t="shared" si="56"/>
        <v>429.56732766879247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3.3900000000000006</v>
      </c>
      <c r="N107" s="14">
        <f>IF('Données projet'!$A$36&gt;35,N106+M107-V106,IF(A107&lt;'Données projet'!$A$36,$K$205^A107,IF(A107='Données projet'!$A$36,'Données projet'!$B$36,N106+M107-V106)))</f>
        <v>279.66000000000031</v>
      </c>
      <c r="O107" s="14">
        <f>N107*VLOOKUP('Données projet'!$B$9,Paramètres!$A$1:$I$89,3,0)*VLOOKUP('Données projet'!$B$9,Paramètres!$A$1:$I$89,5,0)</f>
        <v>163.60110000000017</v>
      </c>
      <c r="P107" s="14">
        <f t="shared" si="87"/>
        <v>41.653698419234438</v>
      </c>
      <c r="Q107" s="22">
        <f t="shared" si="107"/>
        <v>357.48544058016699</v>
      </c>
      <c r="R107" s="62">
        <f t="shared" si="55"/>
        <v>650.81877391350031</v>
      </c>
      <c r="S107" s="62">
        <f ca="1">AVERAGE(OFFSET($R$3,0,0,'Données projet'!$E$9+1,1))-AVERAGE(OFFSET($H$3,0,0,'Données projet'!$E$9+1,1))</f>
        <v>119.8678823908412</v>
      </c>
      <c r="T107" s="62">
        <f t="shared" si="88"/>
        <v>64.795406733086224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5.1355382282069638E-12</v>
      </c>
      <c r="AC107" s="24">
        <f t="shared" si="57"/>
        <v>5.1355382282069638E-12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61.425000000000075</v>
      </c>
      <c r="D108" s="12">
        <f t="shared" si="86"/>
        <v>17.528060065254458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609.46221804757886</v>
      </c>
      <c r="H108" s="70">
        <f t="shared" si="56"/>
        <v>430.84324628031828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3.3900000000000006</v>
      </c>
      <c r="N108" s="14">
        <f>IF('Données projet'!$A$36&gt;35,N107+M108-V107,IF(A108&lt;'Données projet'!$A$36,$K$205^A108,IF(A108='Données projet'!$A$36,'Données projet'!$B$36,N107+M108-V107)))</f>
        <v>283.0500000000003</v>
      </c>
      <c r="O108" s="14">
        <f>N108*VLOOKUP('Données projet'!$B$9,Paramètres!$A$1:$I$89,3,0)*VLOOKUP('Données projet'!$B$9,Paramètres!$A$1:$I$89,5,0)</f>
        <v>165.58425000000017</v>
      </c>
      <c r="P108" s="14">
        <f t="shared" si="87"/>
        <v>42.099532737202409</v>
      </c>
      <c r="Q108" s="22">
        <f t="shared" si="107"/>
        <v>361.71592160062784</v>
      </c>
      <c r="R108" s="62">
        <f t="shared" si="55"/>
        <v>655.04925493396115</v>
      </c>
      <c r="S108" s="62">
        <f ca="1">AVERAGE(OFFSET($R$3,0,0,'Données projet'!$E$9+1,1))-AVERAGE(OFFSET($H$3,0,0,'Données projet'!$E$9+1,1))</f>
        <v>119.8678823908412</v>
      </c>
      <c r="T108" s="62">
        <f t="shared" si="88"/>
        <v>64.795406733086224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3.6313739062078919E-12</v>
      </c>
      <c r="AC108" s="24">
        <f t="shared" si="57"/>
        <v>3.6313739062078919E-12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62.010000000000076</v>
      </c>
      <c r="D109" s="12">
        <f t="shared" si="86"/>
        <v>17.675481393668697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615.11599672305715</v>
      </c>
      <c r="H109" s="70">
        <f t="shared" si="56"/>
        <v>432.11888009397308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3.3900000000000006</v>
      </c>
      <c r="N109" s="14">
        <f>IF('Données projet'!$A$36&gt;35,N108+M109-V108,IF(A109&lt;'Données projet'!$A$36,$K$205^A109,IF(A109='Données projet'!$A$36,'Données projet'!$B$36,N108+M109-V108)))</f>
        <v>286.44000000000028</v>
      </c>
      <c r="O109" s="14">
        <f>N109*VLOOKUP('Données projet'!$B$9,Paramètres!$A$1:$I$89,3,0)*VLOOKUP('Données projet'!$B$9,Paramètres!$A$1:$I$89,5,0)</f>
        <v>167.56740000000019</v>
      </c>
      <c r="P109" s="14">
        <f t="shared" si="87"/>
        <v>42.544745941186022</v>
      </c>
      <c r="Q109" s="22">
        <f t="shared" si="107"/>
        <v>365.94532084756594</v>
      </c>
      <c r="R109" s="62">
        <f t="shared" si="55"/>
        <v>659.27865418089925</v>
      </c>
      <c r="S109" s="62">
        <f ca="1">AVERAGE(OFFSET($R$3,0,0,'Données projet'!$E$9+1,1))-AVERAGE(OFFSET($H$3,0,0,'Données projet'!$E$9+1,1))</f>
        <v>119.8678823908412</v>
      </c>
      <c r="T109" s="62">
        <f t="shared" si="88"/>
        <v>64.795406733086224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2.5677691141034823E-12</v>
      </c>
      <c r="AC109" s="24">
        <f t="shared" si="57"/>
        <v>2.5677691141034823E-12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62.595000000000077</v>
      </c>
      <c r="D110" s="12">
        <f t="shared" si="86"/>
        <v>17.822740923088439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620.76852642384119</v>
      </c>
      <c r="H110" s="70">
        <f t="shared" si="56"/>
        <v>433.39423210771247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3.3900000000000006</v>
      </c>
      <c r="N110" s="14">
        <f>IF('Données projet'!$A$36&gt;35,N109+M110-V109,IF(A110&lt;'Données projet'!$A$36,$K$205^A110,IF(A110='Données projet'!$A$36,'Données projet'!$B$36,N109+M110-V109)))</f>
        <v>289.83000000000027</v>
      </c>
      <c r="O110" s="14">
        <f>N110*VLOOKUP('Données projet'!$B$9,Paramètres!$A$1:$I$89,3,0)*VLOOKUP('Données projet'!$B$9,Paramètres!$A$1:$I$89,5,0)</f>
        <v>169.55055000000019</v>
      </c>
      <c r="P110" s="14">
        <f t="shared" si="87"/>
        <v>42.989346232405182</v>
      </c>
      <c r="Q110" s="22">
        <f t="shared" si="107"/>
        <v>370.17365260477271</v>
      </c>
      <c r="R110" s="62">
        <f t="shared" si="55"/>
        <v>663.50698593810603</v>
      </c>
      <c r="S110" s="62">
        <f ca="1">AVERAGE(OFFSET($R$3,0,0,'Données projet'!$E$9+1,1))-AVERAGE(OFFSET($H$3,0,0,'Données projet'!$E$9+1,1))</f>
        <v>119.8678823908412</v>
      </c>
      <c r="T110" s="62">
        <f t="shared" si="88"/>
        <v>64.795406733086224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1.8156869531039461E-12</v>
      </c>
      <c r="AC110" s="24">
        <f t="shared" si="57"/>
        <v>1.8156869531039461E-12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63.180000000000078</v>
      </c>
      <c r="D111" s="12">
        <f t="shared" si="86"/>
        <v>17.969840340798399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626.41982017458474</v>
      </c>
      <c r="H111" s="70">
        <f t="shared" si="56"/>
        <v>434.66930526022395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3.3900000000000006</v>
      </c>
      <c r="N111" s="14">
        <f>IF('Données projet'!$A$36&gt;35,N110+M111-V110,IF(A111&lt;'Données projet'!$A$36,$K$205^A111,IF(A111='Données projet'!$A$36,'Données projet'!$B$36,N110+M111-V110)))</f>
        <v>293.22000000000025</v>
      </c>
      <c r="O111" s="14">
        <f>N111*VLOOKUP('Données projet'!$B$9,Paramètres!$A$1:$I$89,3,0)*VLOOKUP('Données projet'!$B$9,Paramètres!$A$1:$I$89,5,0)</f>
        <v>171.53370000000018</v>
      </c>
      <c r="P111" s="14">
        <f t="shared" si="87"/>
        <v>43.433341609186776</v>
      </c>
      <c r="Q111" s="22">
        <f t="shared" si="107"/>
        <v>374.40093080266729</v>
      </c>
      <c r="R111" s="62">
        <f t="shared" si="55"/>
        <v>667.73426413600055</v>
      </c>
      <c r="S111" s="62">
        <f ca="1">AVERAGE(OFFSET($R$3,0,0,'Données projet'!$E$9+1,1))-AVERAGE(OFFSET($H$3,0,0,'Données projet'!$E$9+1,1))</f>
        <v>119.8678823908412</v>
      </c>
      <c r="T111" s="62">
        <f t="shared" si="88"/>
        <v>64.795406733086224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1.2838845570517414E-12</v>
      </c>
      <c r="AC111" s="24">
        <f t="shared" si="57"/>
        <v>1.2838845570517414E-12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63.765000000000079</v>
      </c>
      <c r="D112" s="12">
        <f t="shared" si="86"/>
        <v>18.116781301035097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632.06989074483295</v>
      </c>
      <c r="H112" s="70">
        <f t="shared" si="56"/>
        <v>435.94410243263621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3.3900000000000006</v>
      </c>
      <c r="N112" s="14">
        <f>IF('Données projet'!$A$36&gt;35,N111+M112-V111,IF(A112&lt;'Données projet'!$A$36,$K$205^A112,IF(A112='Données projet'!$A$36,'Données projet'!$B$36,N111+M112-V111)))</f>
        <v>296.61000000000024</v>
      </c>
      <c r="O112" s="14">
        <f>N112*VLOOKUP('Données projet'!$B$9,Paramètres!$A$1:$I$89,3,0)*VLOOKUP('Données projet'!$B$9,Paramètres!$A$1:$I$89,5,0)</f>
        <v>173.51685000000018</v>
      </c>
      <c r="P112" s="14">
        <f t="shared" si="87"/>
        <v>43.876739874271131</v>
      </c>
      <c r="Q112" s="22">
        <f t="shared" si="107"/>
        <v>378.6271690310225</v>
      </c>
      <c r="R112" s="62">
        <f t="shared" si="55"/>
        <v>671.96050236435576</v>
      </c>
      <c r="S112" s="62">
        <f ca="1">AVERAGE(OFFSET($R$3,0,0,'Données projet'!$E$9+1,1))-AVERAGE(OFFSET($H$3,0,0,'Données projet'!$E$9+1,1))</f>
        <v>119.8678823908412</v>
      </c>
      <c r="T112" s="62">
        <f t="shared" si="88"/>
        <v>64.795406733086224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9.0784347655197327E-13</v>
      </c>
      <c r="AC112" s="24">
        <f t="shared" si="57"/>
        <v>9.0784347655197327E-13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64.35000000000008</v>
      </c>
      <c r="D113" s="12">
        <f t="shared" si="86"/>
        <v>18.263565425931414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637.71875065631332</v>
      </c>
      <c r="H113" s="70">
        <f t="shared" si="56"/>
        <v>437.21862645016404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300</v>
      </c>
      <c r="L113" s="13">
        <f>VLOOKUP(A113,'Données projet'!$A$35:$I$55,9,0)</f>
        <v>3.3900000000000006</v>
      </c>
      <c r="M113" s="13">
        <f t="array" ref="M113">INDEX(L:L,MIN(IF(ISNUMBER(L113:L309),ROW(L113:L309),"")))</f>
        <v>3.3900000000000006</v>
      </c>
      <c r="N113" s="14">
        <f>IF('Données projet'!$A$36&gt;35,N112+M113-V112,IF(A113&lt;'Données projet'!$A$36,$K$205^A113,IF(A113='Données projet'!$A$36,'Données projet'!$B$36,N112+M113-V112)))</f>
        <v>300.00000000000023</v>
      </c>
      <c r="O113" s="14">
        <f>N113*VLOOKUP('Données projet'!$B$9,Paramètres!$A$1:$I$89,3,0)*VLOOKUP('Données projet'!$B$9,Paramètres!$A$1:$I$89,5,0)</f>
        <v>175.50000000000014</v>
      </c>
      <c r="P113" s="14">
        <f t="shared" si="87"/>
        <v>44.319548641773906</v>
      </c>
      <c r="Q113" s="22">
        <f t="shared" si="107"/>
        <v>382.85238055108977</v>
      </c>
      <c r="R113" s="62">
        <f t="shared" si="55"/>
        <v>676.18571388442308</v>
      </c>
      <c r="S113" s="62">
        <f ca="1">AVERAGE(OFFSET($R$3,0,0,'Données projet'!$E$9+1,1))-AVERAGE(OFFSET($H$3,0,0,'Données projet'!$E$9+1,1))</f>
        <v>119.8678823908412</v>
      </c>
      <c r="T113" s="62">
        <f t="shared" si="88"/>
        <v>64.795406733086224</v>
      </c>
      <c r="U113" s="16">
        <f>IF(ISNA(VLOOKUP(A113,'Données projet'!$A$35:$I$55,3,0)),0,VLOOKUP(A113,'Données projet'!$A$35:$I$55,3,0))</f>
        <v>6</v>
      </c>
      <c r="V113" s="16">
        <f>IF(ISNA(VLOOKUP(A113,'Données projet'!$A$35:$I$55,4,0)),0,VLOOKUP(A113,'Données projet'!$A$35:$I$55,4,0))</f>
        <v>26.1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6.4194227852587078E-13</v>
      </c>
      <c r="AC113" s="24">
        <f t="shared" si="57"/>
        <v>6.4194227852587078E-13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64.935000000000073</v>
      </c>
      <c r="D114" s="12">
        <f t="shared" si="86"/>
        <v>18.410194306425623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643.36641218995271</v>
      </c>
      <c r="H114" s="70">
        <f t="shared" si="56"/>
        <v>438.49288008369138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273.9000000000002</v>
      </c>
      <c r="O114" s="14">
        <f>N114*VLOOKUP('Données projet'!$B$9,Paramètres!$A$1:$I$89,3,0)*VLOOKUP('Données projet'!$B$9,Paramètres!$A$1:$I$89,5,0)</f>
        <v>160.23150000000012</v>
      </c>
      <c r="P114" s="14">
        <f t="shared" si="87"/>
        <v>40.894726483288288</v>
      </c>
      <c r="Q114" s="22">
        <f t="shared" si="107"/>
        <v>350.29484445839398</v>
      </c>
      <c r="R114" s="62">
        <f t="shared" si="55"/>
        <v>643.62817779172724</v>
      </c>
      <c r="S114" s="62">
        <f ca="1">AVERAGE(OFFSET($R$3,0,0,'Données projet'!$E$9+1,1))-AVERAGE(OFFSET($H$3,0,0,'Données projet'!$E$9+1,1))</f>
        <v>119.8678823908412</v>
      </c>
      <c r="T114" s="62">
        <f t="shared" si="88"/>
        <v>64.795406733086224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4.5392173827598669E-13</v>
      </c>
      <c r="AC114" s="24">
        <f t="shared" si="57"/>
        <v>4.5392173827598669E-13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65.520000000000067</v>
      </c>
      <c r="D115" s="12">
        <f t="shared" si="86"/>
        <v>18.556669503136742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649.01288739263498</v>
      </c>
      <c r="H115" s="70">
        <f t="shared" si="56"/>
        <v>439.76686605129657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273.9000000000002</v>
      </c>
      <c r="O115" s="14">
        <f>N115*VLOOKUP('Données projet'!$B$9,Paramètres!$A$1:$I$89,3,0)*VLOOKUP('Données projet'!$B$9,Paramètres!$A$1:$I$89,5,0)</f>
        <v>160.23150000000012</v>
      </c>
      <c r="P115" s="14">
        <f t="shared" si="87"/>
        <v>40.894726483288288</v>
      </c>
      <c r="Q115" s="22">
        <f t="shared" si="107"/>
        <v>350.29484445839398</v>
      </c>
      <c r="R115" s="62">
        <f t="shared" si="55"/>
        <v>643.62817779172724</v>
      </c>
      <c r="S115" s="62">
        <f ca="1">AVERAGE(OFFSET($R$3,0,0,'Données projet'!$E$9+1,1))-AVERAGE(OFFSET($H$3,0,0,'Données projet'!$E$9+1,1))</f>
        <v>119.8678823908412</v>
      </c>
      <c r="T115" s="62">
        <f t="shared" si="88"/>
        <v>64.795406733086224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3.2097113926293544E-13</v>
      </c>
      <c r="AC115" s="24">
        <f t="shared" si="57"/>
        <v>3.2097113926293544E-13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66.105000000000061</v>
      </c>
      <c r="D116" s="12">
        <f t="shared" si="86"/>
        <v>18.702992547207863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654.65818808371034</v>
      </c>
      <c r="H116" s="70">
        <f t="shared" si="56"/>
        <v>441.04058701972042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273.9000000000002</v>
      </c>
      <c r="O116" s="14">
        <f>N116*VLOOKUP('Données projet'!$B$9,Paramètres!$A$1:$I$89,3,0)*VLOOKUP('Données projet'!$B$9,Paramètres!$A$1:$I$89,5,0)</f>
        <v>160.23150000000012</v>
      </c>
      <c r="P116" s="14">
        <f t="shared" si="87"/>
        <v>40.894726483288288</v>
      </c>
      <c r="Q116" s="22">
        <f t="shared" si="107"/>
        <v>350.29484445839398</v>
      </c>
      <c r="R116" s="62">
        <f t="shared" si="55"/>
        <v>643.62817779172724</v>
      </c>
      <c r="S116" s="62">
        <f ca="1">AVERAGE(OFFSET($R$3,0,0,'Données projet'!$E$9+1,1))-AVERAGE(OFFSET($H$3,0,0,'Données projet'!$E$9+1,1))</f>
        <v>119.8678823908412</v>
      </c>
      <c r="T116" s="62">
        <f t="shared" si="88"/>
        <v>64.795406733086224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2.2696086913799337E-13</v>
      </c>
      <c r="AC116" s="24">
        <f t="shared" si="57"/>
        <v>2.2696086913799337E-13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66.690000000000055</v>
      </c>
      <c r="D117" s="12">
        <f t="shared" si="86"/>
        <v>18.849164941118637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660.30232586126704</v>
      </c>
      <c r="H117" s="70">
        <f t="shared" si="56"/>
        <v>442.31404560578164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273.9000000000002</v>
      </c>
      <c r="O117" s="14">
        <f>N117*VLOOKUP('Données projet'!$B$9,Paramètres!$A$1:$I$89,3,0)*VLOOKUP('Données projet'!$B$9,Paramètres!$A$1:$I$89,5,0)</f>
        <v>160.23150000000012</v>
      </c>
      <c r="P117" s="14">
        <f t="shared" si="87"/>
        <v>40.894726483288288</v>
      </c>
      <c r="Q117" s="22">
        <f t="shared" si="107"/>
        <v>350.29484445839398</v>
      </c>
      <c r="R117" s="62">
        <f t="shared" si="55"/>
        <v>643.62817779172724</v>
      </c>
      <c r="S117" s="62">
        <f ca="1">AVERAGE(OFFSET($R$3,0,0,'Données projet'!$E$9+1,1))-AVERAGE(OFFSET($H$3,0,0,'Données projet'!$E$9+1,1))</f>
        <v>119.8678823908412</v>
      </c>
      <c r="T117" s="62">
        <f t="shared" si="88"/>
        <v>64.795406733086224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1.6048556963146775E-13</v>
      </c>
      <c r="AC117" s="24">
        <f t="shared" si="57"/>
        <v>1.6048556963146775E-13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67.275000000000048</v>
      </c>
      <c r="D118" s="12">
        <f t="shared" si="86"/>
        <v>18.995188159468483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665.9453121081782</v>
      </c>
      <c r="H118" s="70">
        <f t="shared" si="56"/>
        <v>443.587244377741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273.9000000000002</v>
      </c>
      <c r="O118" s="14">
        <f>N118*VLOOKUP('Données projet'!$B$9,Paramètres!$A$1:$I$89,3,0)*VLOOKUP('Données projet'!$B$9,Paramètres!$A$1:$I$89,5,0)</f>
        <v>160.23150000000012</v>
      </c>
      <c r="P118" s="14">
        <f t="shared" si="87"/>
        <v>40.894726483288288</v>
      </c>
      <c r="Q118" s="22">
        <f t="shared" si="107"/>
        <v>350.29484445839398</v>
      </c>
      <c r="R118" s="62">
        <f t="shared" si="55"/>
        <v>643.62817779172724</v>
      </c>
      <c r="S118" s="62">
        <f ca="1">AVERAGE(OFFSET($R$3,0,0,'Données projet'!$E$9+1,1))-AVERAGE(OFFSET($H$3,0,0,'Données projet'!$E$9+1,1))</f>
        <v>119.8678823908412</v>
      </c>
      <c r="T118" s="62">
        <f t="shared" si="88"/>
        <v>64.795406733086224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1.1348043456899671E-13</v>
      </c>
      <c r="AC118" s="24">
        <f t="shared" si="57"/>
        <v>1.1348043456899671E-13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67.860000000000042</v>
      </c>
      <c r="D119" s="12">
        <f t="shared" si="86"/>
        <v>19.141063649731766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671.58715799792969</v>
      </c>
      <c r="H119" s="70">
        <f t="shared" si="56"/>
        <v>444.86018585661623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273.9000000000002</v>
      </c>
      <c r="O119" s="14">
        <f>N119*VLOOKUP('Données projet'!$B$9,Paramètres!$A$1:$I$89,3,0)*VLOOKUP('Données projet'!$B$9,Paramètres!$A$1:$I$89,5,0)</f>
        <v>160.23150000000012</v>
      </c>
      <c r="P119" s="14">
        <f t="shared" si="87"/>
        <v>40.894726483288288</v>
      </c>
      <c r="Q119" s="22">
        <f t="shared" si="107"/>
        <v>350.29484445839398</v>
      </c>
      <c r="R119" s="62">
        <f t="shared" si="55"/>
        <v>643.62817779172724</v>
      </c>
      <c r="S119" s="62">
        <f ca="1">AVERAGE(OFFSET($R$3,0,0,'Données projet'!$E$9+1,1))-AVERAGE(OFFSET($H$3,0,0,'Données projet'!$E$9+1,1))</f>
        <v>119.8678823908412</v>
      </c>
      <c r="T119" s="62">
        <f t="shared" si="88"/>
        <v>64.795406733086224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8.0242784815733885E-14</v>
      </c>
      <c r="AC119" s="24">
        <f t="shared" si="57"/>
        <v>8.0242784815733885E-14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68.445000000000036</v>
      </c>
      <c r="D120" s="12">
        <f t="shared" si="86"/>
        <v>19.286792832986229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677.22787450024487</v>
      </c>
      <c r="H120" s="70">
        <f t="shared" si="56"/>
        <v>446.13287251745101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273.9000000000002</v>
      </c>
      <c r="O120" s="14">
        <f>N120*VLOOKUP('Données projet'!$B$9,Paramètres!$A$1:$I$89,3,0)*VLOOKUP('Données projet'!$B$9,Paramètres!$A$1:$I$89,5,0)</f>
        <v>160.23150000000012</v>
      </c>
      <c r="P120" s="14">
        <f t="shared" si="87"/>
        <v>40.894726483288288</v>
      </c>
      <c r="Q120" s="22">
        <f t="shared" si="107"/>
        <v>350.29484445839398</v>
      </c>
      <c r="R120" s="62">
        <f t="shared" si="55"/>
        <v>643.62817779172724</v>
      </c>
      <c r="S120" s="62">
        <f ca="1">AVERAGE(OFFSET($R$3,0,0,'Données projet'!$E$9+1,1))-AVERAGE(OFFSET($H$3,0,0,'Données projet'!$E$9+1,1))</f>
        <v>119.8678823908412</v>
      </c>
      <c r="T120" s="62">
        <f t="shared" si="88"/>
        <v>64.795406733086224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5.6740217284498361E-14</v>
      </c>
      <c r="AC120" s="24">
        <f t="shared" si="57"/>
        <v>5.6740217284498361E-14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69.03000000000003</v>
      </c>
      <c r="D121" s="12">
        <f t="shared" si="86"/>
        <v>19.432377104615718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682.86747238650753</v>
      </c>
      <c r="H121" s="70">
        <f t="shared" si="56"/>
        <v>447.40530679053904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273.9000000000002</v>
      </c>
      <c r="O121" s="14">
        <f>N121*VLOOKUP('Données projet'!$B$9,Paramètres!$A$1:$I$89,3,0)*VLOOKUP('Données projet'!$B$9,Paramètres!$A$1:$I$89,5,0)</f>
        <v>160.23150000000012</v>
      </c>
      <c r="P121" s="14">
        <f t="shared" si="87"/>
        <v>40.894726483288288</v>
      </c>
      <c r="Q121" s="22">
        <f t="shared" si="107"/>
        <v>350.29484445839398</v>
      </c>
      <c r="R121" s="62">
        <f t="shared" si="55"/>
        <v>643.62817779172724</v>
      </c>
      <c r="S121" s="62">
        <f ca="1">AVERAGE(OFFSET($R$3,0,0,'Données projet'!$E$9+1,1))-AVERAGE(OFFSET($H$3,0,0,'Données projet'!$E$9+1,1))</f>
        <v>119.8678823908412</v>
      </c>
      <c r="T121" s="62">
        <f t="shared" si="88"/>
        <v>64.795406733086224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4.0121392407866949E-14</v>
      </c>
      <c r="AC121" s="24">
        <f t="shared" si="57"/>
        <v>4.0121392407866949E-14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69.615000000000023</v>
      </c>
      <c r="D122" s="12">
        <f t="shared" si="86"/>
        <v>19.577817834988529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688.5059622349994</v>
      </c>
      <c r="H122" s="70">
        <f t="shared" si="56"/>
        <v>448.67749106260499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273.9000000000002</v>
      </c>
      <c r="O122" s="14">
        <f>N122*VLOOKUP('Données projet'!$B$9,Paramètres!$A$1:$I$89,3,0)*VLOOKUP('Données projet'!$B$9,Paramètres!$A$1:$I$89,5,0)</f>
        <v>160.23150000000012</v>
      </c>
      <c r="P122" s="14">
        <f t="shared" si="87"/>
        <v>40.894726483288288</v>
      </c>
      <c r="Q122" s="22">
        <f t="shared" si="107"/>
        <v>350.29484445839398</v>
      </c>
      <c r="R122" s="62">
        <f t="shared" si="55"/>
        <v>643.62817779172724</v>
      </c>
      <c r="S122" s="62">
        <f ca="1">AVERAGE(OFFSET($R$3,0,0,'Données projet'!$E$9+1,1))-AVERAGE(OFFSET($H$3,0,0,'Données projet'!$E$9+1,1))</f>
        <v>119.8678823908412</v>
      </c>
      <c r="T122" s="62">
        <f t="shared" si="88"/>
        <v>64.795406733086224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2.8370108642249187E-14</v>
      </c>
      <c r="AC122" s="24">
        <f t="shared" si="57"/>
        <v>2.8370108642249187E-14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70.200000000000017</v>
      </c>
      <c r="D123" s="12">
        <f t="shared" si="86"/>
        <v>19.723116370112194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694.14335443595394</v>
      </c>
      <c r="H123" s="70">
        <f t="shared" si="56"/>
        <v>449.94942767794544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273.9000000000002</v>
      </c>
      <c r="O123" s="14">
        <f>N123*VLOOKUP('Données projet'!$B$9,Paramètres!$A$1:$I$89,3,0)*VLOOKUP('Données projet'!$B$9,Paramètres!$A$1:$I$89,5,0)</f>
        <v>160.23150000000012</v>
      </c>
      <c r="P123" s="14">
        <f t="shared" si="87"/>
        <v>40.894726483288288</v>
      </c>
      <c r="Q123" s="22">
        <f t="shared" si="107"/>
        <v>350.29484445839398</v>
      </c>
      <c r="R123" s="62">
        <f t="shared" si="55"/>
        <v>643.62817779172724</v>
      </c>
      <c r="S123" s="62">
        <f ca="1">AVERAGE(OFFSET($R$3,0,0,'Données projet'!$E$9+1,1))-AVERAGE(OFFSET($H$3,0,0,'Données projet'!$E$9+1,1))</f>
        <v>119.8678823908412</v>
      </c>
      <c r="T123" s="62">
        <f t="shared" si="88"/>
        <v>64.795406733086224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2.0060696203933478E-14</v>
      </c>
      <c r="AC123" s="24">
        <f t="shared" si="57"/>
        <v>2.0060696203933478E-14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70.785000000000011</v>
      </c>
      <c r="D124" s="12">
        <f t="shared" si="86"/>
        <v>19.86827403226582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699.77965919643793</v>
      </c>
      <c r="H124" s="70">
        <f t="shared" si="56"/>
        <v>451.22111893952962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273.9000000000002</v>
      </c>
      <c r="O124" s="14">
        <f>N124*VLOOKUP('Données projet'!$B$9,Paramètres!$A$1:$I$89,3,0)*VLOOKUP('Données projet'!$B$9,Paramètres!$A$1:$I$89,5,0)</f>
        <v>160.23150000000012</v>
      </c>
      <c r="P124" s="14">
        <f t="shared" si="87"/>
        <v>40.894726483288288</v>
      </c>
      <c r="Q124" s="22">
        <f t="shared" si="107"/>
        <v>350.29484445839398</v>
      </c>
      <c r="R124" s="62">
        <f t="shared" si="55"/>
        <v>643.62817779172724</v>
      </c>
      <c r="S124" s="62">
        <f ca="1">AVERAGE(OFFSET($R$3,0,0,'Données projet'!$E$9+1,1))-AVERAGE(OFFSET($H$3,0,0,'Données projet'!$E$9+1,1))</f>
        <v>119.8678823908412</v>
      </c>
      <c r="T124" s="62">
        <f t="shared" si="88"/>
        <v>64.795406733086224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1.4185054321124595E-14</v>
      </c>
      <c r="AC124" s="24">
        <f t="shared" si="57"/>
        <v>1.4185054321124595E-14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71.37</v>
      </c>
      <c r="D125" s="12">
        <f t="shared" si="86"/>
        <v>20.013292120611013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705.41488654506747</v>
      </c>
      <c r="H125" s="70">
        <f t="shared" si="56"/>
        <v>452.49256711006416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273.9000000000002</v>
      </c>
      <c r="O125" s="14">
        <f>N125*VLOOKUP('Données projet'!$B$9,Paramètres!$A$1:$I$89,3,0)*VLOOKUP('Données projet'!$B$9,Paramètres!$A$1:$I$89,5,0)</f>
        <v>160.23150000000012</v>
      </c>
      <c r="P125" s="14">
        <f t="shared" si="87"/>
        <v>40.894726483288288</v>
      </c>
      <c r="Q125" s="22">
        <f t="shared" si="107"/>
        <v>350.29484445839398</v>
      </c>
      <c r="R125" s="62">
        <f t="shared" si="55"/>
        <v>643.62817779172724</v>
      </c>
      <c r="S125" s="62">
        <f ca="1">AVERAGE(OFFSET($R$3,0,0,'Données projet'!$E$9+1,1))-AVERAGE(OFFSET($H$3,0,0,'Données projet'!$E$9+1,1))</f>
        <v>119.8678823908412</v>
      </c>
      <c r="T125" s="62">
        <f t="shared" si="88"/>
        <v>64.795406733086224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1.003034810196674E-14</v>
      </c>
      <c r="AC125" s="24">
        <f t="shared" si="57"/>
        <v>1.003034810196674E-14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71.954999999999998</v>
      </c>
      <c r="D126" s="12">
        <f t="shared" si="86"/>
        <v>20.158171911782144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711.04904633656395</v>
      </c>
      <c r="H126" s="70">
        <f t="shared" si="56"/>
        <v>453.76377441302054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273.9000000000002</v>
      </c>
      <c r="O126" s="14">
        <f>N126*VLOOKUP('Données projet'!$B$9,Paramètres!$A$1:$I$89,3,0)*VLOOKUP('Données projet'!$B$9,Paramètres!$A$1:$I$89,5,0)</f>
        <v>160.23150000000012</v>
      </c>
      <c r="P126" s="14">
        <f t="shared" si="87"/>
        <v>40.894726483288288</v>
      </c>
      <c r="Q126" s="22">
        <f t="shared" si="107"/>
        <v>350.29484445839398</v>
      </c>
      <c r="R126" s="62">
        <f t="shared" si="55"/>
        <v>643.62817779172724</v>
      </c>
      <c r="S126" s="62">
        <f ca="1">AVERAGE(OFFSET($R$3,0,0,'Données projet'!$E$9+1,1))-AVERAGE(OFFSET($H$3,0,0,'Données projet'!$E$9+1,1))</f>
        <v>119.8678823908412</v>
      </c>
      <c r="T126" s="62">
        <f t="shared" si="88"/>
        <v>64.795406733086224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7.0925271605622983E-15</v>
      </c>
      <c r="AC126" s="24">
        <f t="shared" si="57"/>
        <v>7.0925271605622983E-15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72.539999999999992</v>
      </c>
      <c r="D127" s="12">
        <f t="shared" si="86"/>
        <v>20.302914660456786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716.68214825615769</v>
      </c>
      <c r="H127" s="70">
        <f t="shared" si="56"/>
        <v>455.03474303362884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273.9000000000002</v>
      </c>
      <c r="O127" s="14">
        <f>N127*VLOOKUP('Données projet'!$B$9,Paramètres!$A$1:$I$89,3,0)*VLOOKUP('Données projet'!$B$9,Paramètres!$A$1:$I$89,5,0)</f>
        <v>160.23150000000012</v>
      </c>
      <c r="P127" s="14">
        <f t="shared" si="87"/>
        <v>40.894726483288288</v>
      </c>
      <c r="Q127" s="22">
        <f t="shared" si="107"/>
        <v>350.29484445839398</v>
      </c>
      <c r="R127" s="62">
        <f t="shared" si="55"/>
        <v>643.62817779172724</v>
      </c>
      <c r="S127" s="62">
        <f ca="1">AVERAGE(OFFSET($R$3,0,0,'Données projet'!$E$9+1,1))-AVERAGE(OFFSET($H$3,0,0,'Données projet'!$E$9+1,1))</f>
        <v>119.8678823908412</v>
      </c>
      <c r="T127" s="62">
        <f t="shared" si="88"/>
        <v>64.795406733086224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5.015174050983371E-15</v>
      </c>
      <c r="AC127" s="24">
        <f t="shared" si="57"/>
        <v>5.015174050983371E-15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73.124999999999986</v>
      </c>
      <c r="D128" s="12">
        <f t="shared" si="86"/>
        <v>20.447521599907429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722.3142018238467</v>
      </c>
      <c r="H128" s="70">
        <f t="shared" si="56"/>
        <v>456.30547511983877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273.9000000000002</v>
      </c>
      <c r="O128" s="14">
        <f>N128*VLOOKUP('Données projet'!$B$9,Paramètres!$A$1:$I$89,3,0)*VLOOKUP('Données projet'!$B$9,Paramètres!$A$1:$I$89,5,0)</f>
        <v>160.23150000000012</v>
      </c>
      <c r="P128" s="14">
        <f t="shared" si="87"/>
        <v>40.894726483288288</v>
      </c>
      <c r="Q128" s="22">
        <f t="shared" si="107"/>
        <v>350.29484445839398</v>
      </c>
      <c r="R128" s="62">
        <f t="shared" si="55"/>
        <v>643.62817779172724</v>
      </c>
      <c r="S128" s="62">
        <f ca="1">AVERAGE(OFFSET($R$3,0,0,'Données projet'!$E$9+1,1))-AVERAGE(OFFSET($H$3,0,0,'Données projet'!$E$9+1,1))</f>
        <v>119.8678823908412</v>
      </c>
      <c r="T128" s="62">
        <f t="shared" si="88"/>
        <v>64.795406733086224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3.5462635802811499E-15</v>
      </c>
      <c r="AC128" s="24">
        <f t="shared" si="57"/>
        <v>3.5462635802811499E-15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73.70999999999998</v>
      </c>
      <c r="D129" s="12">
        <f t="shared" si="86"/>
        <v>20.591993942534767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727.94521639851394</v>
      </c>
      <c r="H129" s="70">
        <f t="shared" si="56"/>
        <v>457.57597278324795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273.9000000000002</v>
      </c>
      <c r="O129" s="14">
        <f>N129*VLOOKUP('Données projet'!$B$9,Paramètres!$A$1:$I$89,3,0)*VLOOKUP('Données projet'!$B$9,Paramètres!$A$1:$I$89,5,0)</f>
        <v>160.23150000000012</v>
      </c>
      <c r="P129" s="14">
        <f t="shared" si="87"/>
        <v>40.894726483288288</v>
      </c>
      <c r="Q129" s="22">
        <f t="shared" si="107"/>
        <v>350.29484445839398</v>
      </c>
      <c r="R129" s="62">
        <f t="shared" si="55"/>
        <v>643.62817779172724</v>
      </c>
      <c r="S129" s="62">
        <f ca="1">AVERAGE(OFFSET($R$3,0,0,'Données projet'!$E$9+1,1))-AVERAGE(OFFSET($H$3,0,0,'Données projet'!$E$9+1,1))</f>
        <v>119.8678823908412</v>
      </c>
      <c r="T129" s="62">
        <f t="shared" si="88"/>
        <v>64.795406733086224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2.5075870254916859E-15</v>
      </c>
      <c r="AC129" s="24">
        <f t="shared" si="57"/>
        <v>2.5075870254916859E-15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74.294999999999973</v>
      </c>
      <c r="D130" s="12">
        <f t="shared" si="86"/>
        <v>20.736332880383827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733.57520118191007</v>
      </c>
      <c r="H130" s="70">
        <f t="shared" si="56"/>
        <v>458.84623810000176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273.9000000000002</v>
      </c>
      <c r="O130" s="14">
        <f>N130*VLOOKUP('Données projet'!$B$9,Paramètres!$A$1:$I$89,3,0)*VLOOKUP('Données projet'!$B$9,Paramètres!$A$1:$I$89,5,0)</f>
        <v>160.23150000000012</v>
      </c>
      <c r="P130" s="14">
        <f t="shared" si="87"/>
        <v>40.894726483288288</v>
      </c>
      <c r="Q130" s="22">
        <f t="shared" si="107"/>
        <v>350.29484445839398</v>
      </c>
      <c r="R130" s="62">
        <f t="shared" si="55"/>
        <v>643.62817779172724</v>
      </c>
      <c r="S130" s="62">
        <f ca="1">AVERAGE(OFFSET($R$3,0,0,'Données projet'!$E$9+1,1))-AVERAGE(OFFSET($H$3,0,0,'Données projet'!$E$9+1,1))</f>
        <v>119.8678823908412</v>
      </c>
      <c r="T130" s="62">
        <f t="shared" si="88"/>
        <v>64.795406733086224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1.7731317901405752E-15</v>
      </c>
      <c r="AC130" s="24">
        <f t="shared" si="57"/>
        <v>1.7731317901405752E-15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74.879999999999967</v>
      </c>
      <c r="D131" s="12">
        <f t="shared" si="86"/>
        <v>20.880539585643213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739.20416522250878</v>
      </c>
      <c r="H131" s="70">
        <f t="shared" si="56"/>
        <v>460.11627311166183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273.9000000000002</v>
      </c>
      <c r="O131" s="14">
        <f>N131*VLOOKUP('Données projet'!$B$9,Paramètres!$A$1:$I$89,3,0)*VLOOKUP('Données projet'!$B$9,Paramètres!$A$1:$I$89,5,0)</f>
        <v>160.23150000000012</v>
      </c>
      <c r="P131" s="14">
        <f t="shared" si="87"/>
        <v>40.894726483288288</v>
      </c>
      <c r="Q131" s="22">
        <f t="shared" ref="Q131:Q153" si="108">(O131+P131)*0.475*44/12</f>
        <v>350.29484445839398</v>
      </c>
      <c r="R131" s="62">
        <f t="shared" ref="R131:R194" si="109">Q131+(I131+J131)*44/12</f>
        <v>643.62817779172724</v>
      </c>
      <c r="S131" s="62">
        <f ca="1">AVERAGE(OFFSET($R$3,0,0,'Données projet'!$E$9+1,1))-AVERAGE(OFFSET($H$3,0,0,'Données projet'!$E$9+1,1))</f>
        <v>119.8678823908412</v>
      </c>
      <c r="T131" s="62">
        <f t="shared" si="88"/>
        <v>64.795406733086224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1.2537935127458431E-15</v>
      </c>
      <c r="AC131" s="24">
        <f t="shared" si="57"/>
        <v>1.2537935127458431E-15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75.464999999999961</v>
      </c>
      <c r="D132" s="12">
        <f t="shared" si="86"/>
        <v>21.024615211128339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744.83211741923594</v>
      </c>
      <c r="H132" s="70">
        <f t="shared" ref="H132:H195" si="110">(B132+E132+F132)*44/12+(C132+D132)*0.475*44/12</f>
        <v>461.38607982604844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273.9000000000002</v>
      </c>
      <c r="O132" s="14">
        <f>N132*VLOOKUP('Données projet'!$B$9,Paramètres!$A$1:$I$89,3,0)*VLOOKUP('Données projet'!$B$9,Paramètres!$A$1:$I$89,5,0)</f>
        <v>160.23150000000012</v>
      </c>
      <c r="P132" s="14">
        <f t="shared" si="87"/>
        <v>40.894726483288288</v>
      </c>
      <c r="Q132" s="22">
        <f t="shared" si="108"/>
        <v>350.29484445839398</v>
      </c>
      <c r="R132" s="62">
        <f t="shared" si="109"/>
        <v>643.62817779172724</v>
      </c>
      <c r="S132" s="62">
        <f ca="1">AVERAGE(OFFSET($R$3,0,0,'Données projet'!$E$9+1,1))-AVERAGE(OFFSET($H$3,0,0,'Données projet'!$E$9+1,1))</f>
        <v>119.8678823908412</v>
      </c>
      <c r="T132" s="62">
        <f t="shared" si="88"/>
        <v>64.795406733086224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8.8656589507028778E-16</v>
      </c>
      <c r="AC132" s="24">
        <f t="shared" ref="AC132:AC153" si="111">SUM(Z132:AB132)</f>
        <v>8.8656589507028778E-16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76.049999999999955</v>
      </c>
      <c r="D133" s="12">
        <f t="shared" ref="D133:D196" si="140">IFERROR(EXP(-1.0587+0.8836*LN(C133)+0.284),0)</f>
        <v>21.168560890749262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750.45906652508165</v>
      </c>
      <c r="H133" s="70">
        <f t="shared" si="110"/>
        <v>462.65566021805489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273.9000000000002</v>
      </c>
      <c r="O133" s="14">
        <f>N133*VLOOKUP('Données projet'!$B$9,Paramètres!$A$1:$I$89,3,0)*VLOOKUP('Données projet'!$B$9,Paramètres!$A$1:$I$89,5,0)</f>
        <v>160.23150000000012</v>
      </c>
      <c r="P133" s="14">
        <f t="shared" ref="P133:P196" si="141">EXP(-1.0587+0.8836*LN(O133)+0.284)</f>
        <v>40.894726483288288</v>
      </c>
      <c r="Q133" s="22">
        <f t="shared" si="108"/>
        <v>350.29484445839398</v>
      </c>
      <c r="R133" s="62">
        <f t="shared" si="109"/>
        <v>643.62817779172724</v>
      </c>
      <c r="S133" s="62">
        <f ca="1">AVERAGE(OFFSET($R$3,0,0,'Données projet'!$E$9+1,1))-AVERAGE(OFFSET($H$3,0,0,'Données projet'!$E$9+1,1))</f>
        <v>119.8678823908412</v>
      </c>
      <c r="T133" s="62">
        <f t="shared" ref="T133:T196" si="142">$T$3</f>
        <v>64.795406733086224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6.2689675637292167E-16</v>
      </c>
      <c r="AC133" s="24">
        <f t="shared" si="111"/>
        <v>6.2689675637292167E-16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76.634999999999948</v>
      </c>
      <c r="D134" s="12">
        <f t="shared" si="140"/>
        <v>21.312377739963708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756.08502115059662</v>
      </c>
      <c r="H134" s="70">
        <f t="shared" si="110"/>
        <v>463.92501623043665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273.9000000000002</v>
      </c>
      <c r="O134" s="14">
        <f>N134*VLOOKUP('Données projet'!$B$9,Paramètres!$A$1:$I$89,3,0)*VLOOKUP('Données projet'!$B$9,Paramètres!$A$1:$I$89,5,0)</f>
        <v>160.23150000000012</v>
      </c>
      <c r="P134" s="14">
        <f t="shared" si="141"/>
        <v>40.894726483288288</v>
      </c>
      <c r="Q134" s="22">
        <f t="shared" si="108"/>
        <v>350.29484445839398</v>
      </c>
      <c r="R134" s="62">
        <f t="shared" si="109"/>
        <v>643.62817779172724</v>
      </c>
      <c r="S134" s="62">
        <f ca="1">AVERAGE(OFFSET($R$3,0,0,'Données projet'!$E$9+1,1))-AVERAGE(OFFSET($H$3,0,0,'Données projet'!$E$9+1,1))</f>
        <v>119.8678823908412</v>
      </c>
      <c r="T134" s="62">
        <f t="shared" si="142"/>
        <v>64.795406733086224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4.4328294753514394E-16</v>
      </c>
      <c r="AC134" s="24">
        <f t="shared" si="111"/>
        <v>4.4328294753514394E-16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77.219999999999942</v>
      </c>
      <c r="D135" s="12">
        <f t="shared" si="140"/>
        <v>21.456066856215866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761.70998976728004</v>
      </c>
      <c r="H135" s="70">
        <f t="shared" si="110"/>
        <v>465.19414977457586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273.9000000000002</v>
      </c>
      <c r="O135" s="14">
        <f>N135*VLOOKUP('Données projet'!$B$9,Paramètres!$A$1:$I$89,3,0)*VLOOKUP('Données projet'!$B$9,Paramètres!$A$1:$I$89,5,0)</f>
        <v>160.23150000000012</v>
      </c>
      <c r="P135" s="14">
        <f t="shared" si="141"/>
        <v>40.894726483288288</v>
      </c>
      <c r="Q135" s="22">
        <f t="shared" si="108"/>
        <v>350.29484445839398</v>
      </c>
      <c r="R135" s="62">
        <f t="shared" si="109"/>
        <v>643.62817779172724</v>
      </c>
      <c r="S135" s="62">
        <f ca="1">AVERAGE(OFFSET($R$3,0,0,'Données projet'!$E$9+1,1))-AVERAGE(OFFSET($H$3,0,0,'Données projet'!$E$9+1,1))</f>
        <v>119.8678823908412</v>
      </c>
      <c r="T135" s="62">
        <f t="shared" si="142"/>
        <v>64.795406733086224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3.1344837818646088E-16</v>
      </c>
      <c r="AC135" s="24">
        <f t="shared" si="111"/>
        <v>3.1344837818646088E-16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77.804999999999936</v>
      </c>
      <c r="D136" s="12">
        <f t="shared" si="140"/>
        <v>21.59962931936149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767.33398071086015</v>
      </c>
      <c r="H136" s="70">
        <f t="shared" si="110"/>
        <v>466.46306273122116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273.9000000000002</v>
      </c>
      <c r="O136" s="14">
        <f>N136*VLOOKUP('Données projet'!$B$9,Paramètres!$A$1:$I$89,3,0)*VLOOKUP('Données projet'!$B$9,Paramètres!$A$1:$I$89,5,0)</f>
        <v>160.23150000000012</v>
      </c>
      <c r="P136" s="14">
        <f t="shared" si="141"/>
        <v>40.894726483288288</v>
      </c>
      <c r="Q136" s="22">
        <f t="shared" si="108"/>
        <v>350.29484445839398</v>
      </c>
      <c r="R136" s="62">
        <f t="shared" si="109"/>
        <v>643.62817779172724</v>
      </c>
      <c r="S136" s="62">
        <f ca="1">AVERAGE(OFFSET($R$3,0,0,'Données projet'!$E$9+1,1))-AVERAGE(OFFSET($H$3,0,0,'Données projet'!$E$9+1,1))</f>
        <v>119.8678823908412</v>
      </c>
      <c r="T136" s="62">
        <f t="shared" si="142"/>
        <v>64.795406733086224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2.2164147376757202E-16</v>
      </c>
      <c r="AC136" s="24">
        <f t="shared" si="111"/>
        <v>2.2164147376757202E-16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78.38999999999993</v>
      </c>
      <c r="D137" s="12">
        <f t="shared" si="140"/>
        <v>21.743066192079855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772.95700218447553</v>
      </c>
      <c r="H137" s="70">
        <f t="shared" si="110"/>
        <v>467.73175695120563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273.9000000000002</v>
      </c>
      <c r="O137" s="14">
        <f>N137*VLOOKUP('Données projet'!$B$9,Paramètres!$A$1:$I$89,3,0)*VLOOKUP('Données projet'!$B$9,Paramètres!$A$1:$I$89,5,0)</f>
        <v>160.23150000000012</v>
      </c>
      <c r="P137" s="14">
        <f t="shared" si="141"/>
        <v>40.894726483288288</v>
      </c>
      <c r="Q137" s="22">
        <f t="shared" si="108"/>
        <v>350.29484445839398</v>
      </c>
      <c r="R137" s="62">
        <f t="shared" si="109"/>
        <v>643.62817779172724</v>
      </c>
      <c r="S137" s="62">
        <f ca="1">AVERAGE(OFFSET($R$3,0,0,'Données projet'!$E$9+1,1))-AVERAGE(OFFSET($H$3,0,0,'Données projet'!$E$9+1,1))</f>
        <v>119.8678823908412</v>
      </c>
      <c r="T137" s="62">
        <f t="shared" si="142"/>
        <v>64.795406733086224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1.5672418909323047E-16</v>
      </c>
      <c r="AC137" s="24">
        <f t="shared" si="111"/>
        <v>1.5672418909323047E-16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78.974999999999923</v>
      </c>
      <c r="D138" s="12">
        <f t="shared" si="140"/>
        <v>21.886378520273084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778.57906226175658</v>
      </c>
      <c r="H138" s="70">
        <f t="shared" si="110"/>
        <v>469.00023425614211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273.9000000000002</v>
      </c>
      <c r="O138" s="14">
        <f>N138*VLOOKUP('Données projet'!$B$9,Paramètres!$A$1:$I$89,3,0)*VLOOKUP('Données projet'!$B$9,Paramètres!$A$1:$I$89,5,0)</f>
        <v>160.23150000000012</v>
      </c>
      <c r="P138" s="14">
        <f t="shared" si="141"/>
        <v>40.894726483288288</v>
      </c>
      <c r="Q138" s="22">
        <f t="shared" si="108"/>
        <v>350.29484445839398</v>
      </c>
      <c r="R138" s="62">
        <f t="shared" si="109"/>
        <v>643.62817779172724</v>
      </c>
      <c r="S138" s="62">
        <f ca="1">AVERAGE(OFFSET($R$3,0,0,'Données projet'!$E$9+1,1))-AVERAGE(OFFSET($H$3,0,0,'Données projet'!$E$9+1,1))</f>
        <v>119.8678823908412</v>
      </c>
      <c r="T138" s="62">
        <f t="shared" si="142"/>
        <v>64.795406733086224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1.1082073688378602E-16</v>
      </c>
      <c r="AC138" s="24">
        <f t="shared" si="111"/>
        <v>1.1082073688378602E-16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79.559999999999917</v>
      </c>
      <c r="D139" s="12">
        <f t="shared" si="140"/>
        <v>22.029567333453301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784.20016888981445</v>
      </c>
      <c r="H139" s="70">
        <f t="shared" si="110"/>
        <v>470.2684964390977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273.9000000000002</v>
      </c>
      <c r="O139" s="14">
        <f>N139*VLOOKUP('Données projet'!$B$9,Paramètres!$A$1:$I$89,3,0)*VLOOKUP('Données projet'!$B$9,Paramètres!$A$1:$I$89,5,0)</f>
        <v>160.23150000000012</v>
      </c>
      <c r="P139" s="14">
        <f t="shared" si="141"/>
        <v>40.894726483288288</v>
      </c>
      <c r="Q139" s="22">
        <f t="shared" si="108"/>
        <v>350.29484445839398</v>
      </c>
      <c r="R139" s="62">
        <f t="shared" si="109"/>
        <v>643.62817779172724</v>
      </c>
      <c r="S139" s="62">
        <f ca="1">AVERAGE(OFFSET($R$3,0,0,'Données projet'!$E$9+1,1))-AVERAGE(OFFSET($H$3,0,0,'Données projet'!$E$9+1,1))</f>
        <v>119.8678823908412</v>
      </c>
      <c r="T139" s="62">
        <f t="shared" si="142"/>
        <v>64.795406733086224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7.8362094546615246E-17</v>
      </c>
      <c r="AC139" s="24">
        <f t="shared" si="111"/>
        <v>7.8362094546615246E-17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80.144999999999911</v>
      </c>
      <c r="D140" s="12">
        <f t="shared" si="140"/>
        <v>22.172633645117969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789.82032989213803</v>
      </c>
      <c r="H140" s="70">
        <f t="shared" si="110"/>
        <v>471.5365452652469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273.9000000000002</v>
      </c>
      <c r="O140" s="14">
        <f>N140*VLOOKUP('Données projet'!$B$9,Paramètres!$A$1:$I$89,3,0)*VLOOKUP('Données projet'!$B$9,Paramètres!$A$1:$I$89,5,0)</f>
        <v>160.23150000000012</v>
      </c>
      <c r="P140" s="14">
        <f t="shared" si="141"/>
        <v>40.894726483288288</v>
      </c>
      <c r="Q140" s="22">
        <f t="shared" si="108"/>
        <v>350.29484445839398</v>
      </c>
      <c r="R140" s="62">
        <f t="shared" si="109"/>
        <v>643.62817779172724</v>
      </c>
      <c r="S140" s="62">
        <f ca="1">AVERAGE(OFFSET($R$3,0,0,'Données projet'!$E$9+1,1))-AVERAGE(OFFSET($H$3,0,0,'Données projet'!$E$9+1,1))</f>
        <v>119.8678823908412</v>
      </c>
      <c r="T140" s="62">
        <f t="shared" si="142"/>
        <v>64.795406733086224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5.5410368441893017E-17</v>
      </c>
      <c r="AC140" s="24">
        <f t="shared" si="111"/>
        <v>5.5410368441893017E-17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41" s="12">
        <f t="shared" si="140"/>
        <v>22.31557845311416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795.4395529714069</v>
      </c>
      <c r="H141" s="70">
        <f t="shared" si="110"/>
        <v>472.80438247250697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273.9000000000002</v>
      </c>
      <c r="O141" s="14">
        <f>N141*VLOOKUP('Données projet'!$B$9,Paramètres!$A$1:$I$89,3,0)*VLOOKUP('Données projet'!$B$9,Paramètres!$A$1:$I$89,5,0)</f>
        <v>160.23150000000012</v>
      </c>
      <c r="P141" s="14">
        <f t="shared" si="141"/>
        <v>40.894726483288288</v>
      </c>
      <c r="Q141" s="22">
        <f t="shared" si="108"/>
        <v>350.29484445839398</v>
      </c>
      <c r="R141" s="62">
        <f t="shared" si="109"/>
        <v>643.62817779172724</v>
      </c>
      <c r="S141" s="62">
        <f ca="1">AVERAGE(OFFSET($R$3,0,0,'Données projet'!$E$9+1,1))-AVERAGE(OFFSET($H$3,0,0,'Données projet'!$E$9+1,1))</f>
        <v>119.8678823908412</v>
      </c>
      <c r="T141" s="62">
        <f t="shared" si="142"/>
        <v>64.795406733086224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3.9181047273307629E-17</v>
      </c>
      <c r="AC141" s="24">
        <f t="shared" si="111"/>
        <v>3.9181047273307629E-17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81.314999999999898</v>
      </c>
      <c r="D142" s="12">
        <f t="shared" si="140"/>
        <v>22.45840273999174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801.05784571221614</v>
      </c>
      <c r="H142" s="70">
        <f t="shared" si="110"/>
        <v>474.07200977215206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273.9000000000002</v>
      </c>
      <c r="O142" s="14">
        <f>N142*VLOOKUP('Données projet'!$B$9,Paramètres!$A$1:$I$89,3,0)*VLOOKUP('Données projet'!$B$9,Paramètres!$A$1:$I$89,5,0)</f>
        <v>160.23150000000012</v>
      </c>
      <c r="P142" s="14">
        <f t="shared" si="141"/>
        <v>40.894726483288288</v>
      </c>
      <c r="Q142" s="22">
        <f t="shared" si="108"/>
        <v>350.29484445839398</v>
      </c>
      <c r="R142" s="62">
        <f t="shared" si="109"/>
        <v>643.62817779172724</v>
      </c>
      <c r="S142" s="62">
        <f ca="1">AVERAGE(OFFSET($R$3,0,0,'Données projet'!$E$9+1,1))-AVERAGE(OFFSET($H$3,0,0,'Données projet'!$E$9+1,1))</f>
        <v>119.8678823908412</v>
      </c>
      <c r="T142" s="62">
        <f t="shared" si="142"/>
        <v>64.795406733086224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2.7705184220946515E-17</v>
      </c>
      <c r="AC142" s="24">
        <f t="shared" si="111"/>
        <v>2.7705184220946515E-17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81.899999999999892</v>
      </c>
      <c r="D143" s="12">
        <f t="shared" si="140"/>
        <v>22.6011074733463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806.67521558372516</v>
      </c>
      <c r="H143" s="70">
        <f t="shared" si="110"/>
        <v>475.33942884941126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273.9000000000002</v>
      </c>
      <c r="O143" s="14">
        <f>N143*VLOOKUP('Données projet'!$B$9,Paramètres!$A$1:$I$89,3,0)*VLOOKUP('Données projet'!$B$9,Paramètres!$A$1:$I$89,5,0)</f>
        <v>160.23150000000012</v>
      </c>
      <c r="P143" s="14">
        <f t="shared" si="141"/>
        <v>40.894726483288288</v>
      </c>
      <c r="Q143" s="22">
        <f t="shared" si="108"/>
        <v>350.29484445839398</v>
      </c>
      <c r="R143" s="62">
        <f t="shared" si="109"/>
        <v>643.62817779172724</v>
      </c>
      <c r="S143" s="62">
        <f ca="1">AVERAGE(OFFSET($R$3,0,0,'Données projet'!$E$9+1,1))-AVERAGE(OFFSET($H$3,0,0,'Données projet'!$E$9+1,1))</f>
        <v>119.8678823908412</v>
      </c>
      <c r="T143" s="62">
        <f t="shared" si="142"/>
        <v>64.795406733086224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1.9590523636653818E-17</v>
      </c>
      <c r="AC143" s="24">
        <f t="shared" si="111"/>
        <v>1.9590523636653818E-17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82.484999999999886</v>
      </c>
      <c r="D144" s="12">
        <f t="shared" si="140"/>
        <v>22.743693606151847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812.29166994222396</v>
      </c>
      <c r="H144" s="70">
        <f t="shared" si="110"/>
        <v>476.60664136404762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273.9000000000002</v>
      </c>
      <c r="O144" s="14">
        <f>N144*VLOOKUP('Données projet'!$B$9,Paramètres!$A$1:$I$89,3,0)*VLOOKUP('Données projet'!$B$9,Paramètres!$A$1:$I$89,5,0)</f>
        <v>160.23150000000012</v>
      </c>
      <c r="P144" s="14">
        <f t="shared" si="141"/>
        <v>40.894726483288288</v>
      </c>
      <c r="Q144" s="22">
        <f t="shared" si="108"/>
        <v>350.29484445839398</v>
      </c>
      <c r="R144" s="62">
        <f t="shared" si="109"/>
        <v>643.62817779172724</v>
      </c>
      <c r="S144" s="62">
        <f ca="1">AVERAGE(OFFSET($R$3,0,0,'Données projet'!$E$9+1,1))-AVERAGE(OFFSET($H$3,0,0,'Données projet'!$E$9+1,1))</f>
        <v>119.8678823908412</v>
      </c>
      <c r="T144" s="62">
        <f t="shared" si="142"/>
        <v>64.795406733086224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1.3852592110473259E-17</v>
      </c>
      <c r="AC144" s="24">
        <f t="shared" si="111"/>
        <v>1.3852592110473259E-17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83.069999999999879</v>
      </c>
      <c r="D145" s="12">
        <f t="shared" si="140"/>
        <v>22.886162077083828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817.90721603362863</v>
      </c>
      <c r="H145" s="70">
        <f t="shared" si="110"/>
        <v>477.87364895092071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273.9000000000002</v>
      </c>
      <c r="O145" s="14">
        <f>N145*VLOOKUP('Données projet'!$B$9,Paramètres!$A$1:$I$89,3,0)*VLOOKUP('Données projet'!$B$9,Paramètres!$A$1:$I$89,5,0)</f>
        <v>160.23150000000012</v>
      </c>
      <c r="P145" s="14">
        <f t="shared" si="141"/>
        <v>40.894726483288288</v>
      </c>
      <c r="Q145" s="22">
        <f t="shared" si="108"/>
        <v>350.29484445839398</v>
      </c>
      <c r="R145" s="62">
        <f t="shared" si="109"/>
        <v>643.62817779172724</v>
      </c>
      <c r="S145" s="62">
        <f ca="1">AVERAGE(OFFSET($R$3,0,0,'Données projet'!$E$9+1,1))-AVERAGE(OFFSET($H$3,0,0,'Données projet'!$E$9+1,1))</f>
        <v>119.8678823908412</v>
      </c>
      <c r="T145" s="62">
        <f t="shared" si="142"/>
        <v>64.795406733086224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9.7952618183269103E-18</v>
      </c>
      <c r="AC145" s="24">
        <f t="shared" si="111"/>
        <v>9.7952618183269103E-18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83.654999999999873</v>
      </c>
      <c r="D146" s="12">
        <f t="shared" si="140"/>
        <v>23.028513810832866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823.52186099590187</v>
      </c>
      <c r="H146" s="70">
        <f t="shared" si="110"/>
        <v>479.14045322053369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273.9000000000002</v>
      </c>
      <c r="O146" s="14">
        <f>N146*VLOOKUP('Données projet'!$B$9,Paramètres!$A$1:$I$89,3,0)*VLOOKUP('Données projet'!$B$9,Paramètres!$A$1:$I$89,5,0)</f>
        <v>160.23150000000012</v>
      </c>
      <c r="P146" s="14">
        <f t="shared" si="141"/>
        <v>40.894726483288288</v>
      </c>
      <c r="Q146" s="22">
        <f t="shared" si="108"/>
        <v>350.29484445839398</v>
      </c>
      <c r="R146" s="62">
        <f t="shared" si="109"/>
        <v>643.62817779172724</v>
      </c>
      <c r="S146" s="62">
        <f ca="1">AVERAGE(OFFSET($R$3,0,0,'Données projet'!$E$9+1,1))-AVERAGE(OFFSET($H$3,0,0,'Données projet'!$E$9+1,1))</f>
        <v>119.8678823908412</v>
      </c>
      <c r="T146" s="62">
        <f t="shared" si="142"/>
        <v>64.795406733086224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6.926296055236631E-18</v>
      </c>
      <c r="AC146" s="24">
        <f t="shared" si="111"/>
        <v>6.926296055236631E-18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84.239999999999867</v>
      </c>
      <c r="D147" s="12">
        <f t="shared" si="140"/>
        <v>23.170749718409446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829.13561186140521</v>
      </c>
      <c r="H147" s="70">
        <f t="shared" si="110"/>
        <v>480.40705575956287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273.9000000000002</v>
      </c>
      <c r="O147" s="14">
        <f>N147*VLOOKUP('Données projet'!$B$9,Paramètres!$A$1:$I$89,3,0)*VLOOKUP('Données projet'!$B$9,Paramètres!$A$1:$I$89,5,0)</f>
        <v>160.23150000000012</v>
      </c>
      <c r="P147" s="14">
        <f t="shared" si="141"/>
        <v>40.894726483288288</v>
      </c>
      <c r="Q147" s="22">
        <f t="shared" si="108"/>
        <v>350.29484445839398</v>
      </c>
      <c r="R147" s="62">
        <f t="shared" si="109"/>
        <v>643.62817779172724</v>
      </c>
      <c r="S147" s="62">
        <f ca="1">AVERAGE(OFFSET($R$3,0,0,'Données projet'!$E$9+1,1))-AVERAGE(OFFSET($H$3,0,0,'Données projet'!$E$9+1,1))</f>
        <v>119.8678823908412</v>
      </c>
      <c r="T147" s="62">
        <f t="shared" si="142"/>
        <v>64.795406733086224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4.8976309091634559E-18</v>
      </c>
      <c r="AC147" s="24">
        <f t="shared" si="111"/>
        <v>4.8976309091634559E-18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84.824999999999861</v>
      </c>
      <c r="D148" s="12">
        <f t="shared" si="140"/>
        <v>23.312870697439745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834.74847555918302</v>
      </c>
      <c r="H148" s="70">
        <f t="shared" si="110"/>
        <v>481.67345813137399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273.9000000000002</v>
      </c>
      <c r="O148" s="14">
        <f>N148*VLOOKUP('Données projet'!$B$9,Paramètres!$A$1:$I$89,3,0)*VLOOKUP('Données projet'!$B$9,Paramètres!$A$1:$I$89,5,0)</f>
        <v>160.23150000000012</v>
      </c>
      <c r="P148" s="14">
        <f t="shared" si="141"/>
        <v>40.894726483288288</v>
      </c>
      <c r="Q148" s="22">
        <f t="shared" si="108"/>
        <v>350.29484445839398</v>
      </c>
      <c r="R148" s="62">
        <f t="shared" si="109"/>
        <v>643.62817779172724</v>
      </c>
      <c r="S148" s="62">
        <f ca="1">AVERAGE(OFFSET($R$3,0,0,'Données projet'!$E$9+1,1))-AVERAGE(OFFSET($H$3,0,0,'Données projet'!$E$9+1,1))</f>
        <v>119.8678823908412</v>
      </c>
      <c r="T148" s="62">
        <f t="shared" si="142"/>
        <v>64.795406733086224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3.4631480276183159E-18</v>
      </c>
      <c r="AC148" s="24">
        <f t="shared" si="111"/>
        <v>3.4631480276183159E-18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85.409999999999854</v>
      </c>
      <c r="D149" s="12">
        <f t="shared" si="140"/>
        <v>23.454877632453325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840.36045891718243</v>
      </c>
      <c r="H149" s="70">
        <f t="shared" si="110"/>
        <v>482.93966187652262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273.9000000000002</v>
      </c>
      <c r="O149" s="14">
        <f>N149*VLOOKUP('Données projet'!$B$9,Paramètres!$A$1:$I$89,3,0)*VLOOKUP('Données projet'!$B$9,Paramètres!$A$1:$I$89,5,0)</f>
        <v>160.23150000000012</v>
      </c>
      <c r="P149" s="14">
        <f t="shared" si="141"/>
        <v>40.894726483288288</v>
      </c>
      <c r="Q149" s="22">
        <f t="shared" si="108"/>
        <v>350.29484445839398</v>
      </c>
      <c r="R149" s="62">
        <f t="shared" si="109"/>
        <v>643.62817779172724</v>
      </c>
      <c r="S149" s="62">
        <f ca="1">AVERAGE(OFFSET($R$3,0,0,'Données projet'!$E$9+1,1))-AVERAGE(OFFSET($H$3,0,0,'Données projet'!$E$9+1,1))</f>
        <v>119.8678823908412</v>
      </c>
      <c r="T149" s="62">
        <f t="shared" si="142"/>
        <v>64.795406733086224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2.4488154545817284E-18</v>
      </c>
      <c r="AC149" s="24">
        <f t="shared" si="111"/>
        <v>2.4488154545817284E-18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85.994999999999848</v>
      </c>
      <c r="D150" s="12">
        <f t="shared" si="140"/>
        <v>23.596771395162492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845.97156866441094</v>
      </c>
      <c r="H150" s="70">
        <f t="shared" si="110"/>
        <v>484.20566851324105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273.9000000000002</v>
      </c>
      <c r="O150" s="14">
        <f>N150*VLOOKUP('Données projet'!$B$9,Paramètres!$A$1:$I$89,3,0)*VLOOKUP('Données projet'!$B$9,Paramètres!$A$1:$I$89,5,0)</f>
        <v>160.23150000000012</v>
      </c>
      <c r="P150" s="14">
        <f t="shared" si="141"/>
        <v>40.894726483288288</v>
      </c>
      <c r="Q150" s="22">
        <f t="shared" si="108"/>
        <v>350.29484445839398</v>
      </c>
      <c r="R150" s="62">
        <f t="shared" si="109"/>
        <v>643.62817779172724</v>
      </c>
      <c r="S150" s="62">
        <f ca="1">AVERAGE(OFFSET($R$3,0,0,'Données projet'!$E$9+1,1))-AVERAGE(OFFSET($H$3,0,0,'Données projet'!$E$9+1,1))</f>
        <v>119.8678823908412</v>
      </c>
      <c r="T150" s="62">
        <f t="shared" si="142"/>
        <v>64.795406733086224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1.7315740138091581E-18</v>
      </c>
      <c r="AC150" s="24">
        <f t="shared" si="111"/>
        <v>1.7315740138091581E-18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86.579999999999842</v>
      </c>
      <c r="D151" s="12">
        <f t="shared" si="140"/>
        <v>23.738552844733945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851.58181143303284</v>
      </c>
      <c r="H151" s="70">
        <f t="shared" si="110"/>
        <v>485.47147953791136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273.9000000000002</v>
      </c>
      <c r="O151" s="14">
        <f>N151*VLOOKUP('Données projet'!$B$9,Paramètres!$A$1:$I$89,3,0)*VLOOKUP('Données projet'!$B$9,Paramètres!$A$1:$I$89,5,0)</f>
        <v>160.23150000000012</v>
      </c>
      <c r="P151" s="14">
        <f t="shared" si="141"/>
        <v>40.894726483288288</v>
      </c>
      <c r="Q151" s="22">
        <f t="shared" si="108"/>
        <v>350.29484445839398</v>
      </c>
      <c r="R151" s="62">
        <f t="shared" si="109"/>
        <v>643.62817779172724</v>
      </c>
      <c r="S151" s="62">
        <f ca="1">AVERAGE(OFFSET($R$3,0,0,'Données projet'!$E$9+1,1))-AVERAGE(OFFSET($H$3,0,0,'Données projet'!$E$9+1,1))</f>
        <v>119.8678823908412</v>
      </c>
      <c r="T151" s="62">
        <f t="shared" si="142"/>
        <v>64.795406733086224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1.2244077272908644E-18</v>
      </c>
      <c r="AC151" s="24">
        <f t="shared" si="111"/>
        <v>1.2244077272908644E-18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87.164999999999836</v>
      </c>
      <c r="D152" s="12">
        <f t="shared" si="140"/>
        <v>23.88022282805284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857.19119376040669</v>
      </c>
      <c r="H152" s="70">
        <f t="shared" si="110"/>
        <v>486.73709642552501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273.9000000000002</v>
      </c>
      <c r="O152" s="14">
        <f>N152*VLOOKUP('Données projet'!$B$9,Paramètres!$A$1:$I$89,3,0)*VLOOKUP('Données projet'!$B$9,Paramètres!$A$1:$I$89,5,0)</f>
        <v>160.23150000000012</v>
      </c>
      <c r="P152" s="14">
        <f t="shared" si="141"/>
        <v>40.894726483288288</v>
      </c>
      <c r="Q152" s="22">
        <f t="shared" si="108"/>
        <v>350.29484445839398</v>
      </c>
      <c r="R152" s="62">
        <f t="shared" si="109"/>
        <v>643.62817779172724</v>
      </c>
      <c r="S152" s="62">
        <f ca="1">AVERAGE(OFFSET($R$3,0,0,'Données projet'!$E$9+1,1))-AVERAGE(OFFSET($H$3,0,0,'Données projet'!$E$9+1,1))</f>
        <v>119.8678823908412</v>
      </c>
      <c r="T152" s="62">
        <f t="shared" si="142"/>
        <v>64.795406733086224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8.6578700690457926E-19</v>
      </c>
      <c r="AC152" s="24">
        <f t="shared" si="111"/>
        <v>8.6578700690457926E-19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87.749999999999829</v>
      </c>
      <c r="D153" s="12">
        <f t="shared" si="140"/>
        <v>24.021782179979635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862.79972209106961</v>
      </c>
      <c r="H153" s="70">
        <f t="shared" si="110"/>
        <v>488.0025206301309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273.9000000000002</v>
      </c>
      <c r="O153" s="14">
        <f>N153*VLOOKUP('Données projet'!$B$9,Paramètres!$A$1:$I$89,3,0)*VLOOKUP('Données projet'!$B$9,Paramètres!$A$1:$I$89,5,0)</f>
        <v>160.23150000000012</v>
      </c>
      <c r="P153" s="14">
        <f t="shared" si="141"/>
        <v>40.894726483288288</v>
      </c>
      <c r="Q153" s="22">
        <f t="shared" si="108"/>
        <v>350.29484445839398</v>
      </c>
      <c r="R153" s="62">
        <f t="shared" si="109"/>
        <v>643.62817779172724</v>
      </c>
      <c r="S153" s="62">
        <f ca="1">AVERAGE(OFFSET($R$3,0,0,'Données projet'!$E$9+1,1))-AVERAGE(OFFSET($H$3,0,0,'Données projet'!$E$9+1,1))</f>
        <v>119.8678823908412</v>
      </c>
      <c r="T153" s="62">
        <f t="shared" si="142"/>
        <v>64.795406733086224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6.1220386364543228E-19</v>
      </c>
      <c r="AC153" s="24">
        <f t="shared" si="111"/>
        <v>6.1220386364543228E-19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88.334999999999823</v>
      </c>
      <c r="D154" s="12">
        <f t="shared" si="140"/>
        <v>24.163231723599718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868.40740277866314</v>
      </c>
      <c r="H154" s="70">
        <f t="shared" si="110"/>
        <v>489.26775358526919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273.9000000000002</v>
      </c>
      <c r="O154" s="14">
        <f>N154*VLOOKUP('Données projet'!$B$9,Paramètres!$A$1:$I$89,3,0)*VLOOKUP('Données projet'!$B$9,Paramètres!$A$1:$I$89,5,0)</f>
        <v>160.23150000000012</v>
      </c>
      <c r="P154" s="14">
        <f t="shared" si="141"/>
        <v>40.894726483288288</v>
      </c>
      <c r="Q154" s="22">
        <f t="shared" ref="Q154:Q203" si="162">(O154+P154)*0.475*44/12</f>
        <v>350.29484445839398</v>
      </c>
      <c r="R154" s="62">
        <f t="shared" si="109"/>
        <v>643.62817779172724</v>
      </c>
      <c r="S154" s="62">
        <f ca="1">AVERAGE(OFFSET($R$3,0,0,'Données projet'!$E$9+1,1))-AVERAGE(OFFSET($H$3,0,0,'Données projet'!$E$9+1,1))</f>
        <v>119.8678823908412</v>
      </c>
      <c r="T154" s="62">
        <f t="shared" si="142"/>
        <v>64.795406733086224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4.3289350345228968E-19</v>
      </c>
      <c r="AC154" s="24">
        <f t="shared" ref="AC154:AC203" si="163">SUM(Z154:AB154)</f>
        <v>4.3289350345228968E-19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88.919999999999817</v>
      </c>
      <c r="D155" s="12">
        <f t="shared" si="140"/>
        <v>24.304572270466434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874.01424208780963</v>
      </c>
      <c r="H155" s="70">
        <f t="shared" si="110"/>
        <v>490.53279670439537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273.9000000000002</v>
      </c>
      <c r="O155" s="14">
        <f>N155*VLOOKUP('Données projet'!$B$9,Paramètres!$A$1:$I$89,3,0)*VLOOKUP('Données projet'!$B$9,Paramètres!$A$1:$I$89,5,0)</f>
        <v>160.23150000000012</v>
      </c>
      <c r="P155" s="14">
        <f t="shared" si="141"/>
        <v>40.894726483288288</v>
      </c>
      <c r="Q155" s="22">
        <f t="shared" si="162"/>
        <v>350.29484445839398</v>
      </c>
      <c r="R155" s="62">
        <f t="shared" si="109"/>
        <v>643.62817779172724</v>
      </c>
      <c r="S155" s="62">
        <f ca="1">AVERAGE(OFFSET($R$3,0,0,'Données projet'!$E$9+1,1))-AVERAGE(OFFSET($H$3,0,0,'Données projet'!$E$9+1,1))</f>
        <v>119.8678823908412</v>
      </c>
      <c r="T155" s="62">
        <f t="shared" si="142"/>
        <v>64.795406733086224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3.0610193182271619E-19</v>
      </c>
      <c r="AC155" s="24">
        <f t="shared" si="163"/>
        <v>3.0610193182271619E-19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89.504999999999811</v>
      </c>
      <c r="D156" s="12">
        <f t="shared" si="140"/>
        <v>24.445804620837364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879.62024619593615</v>
      </c>
      <c r="H156" s="70">
        <f t="shared" si="110"/>
        <v>491.79765138129136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273.9000000000002</v>
      </c>
      <c r="O156" s="14">
        <f>N156*VLOOKUP('Données projet'!$B$9,Paramètres!$A$1:$I$89,3,0)*VLOOKUP('Données projet'!$B$9,Paramètres!$A$1:$I$89,5,0)</f>
        <v>160.23150000000012</v>
      </c>
      <c r="P156" s="14">
        <f t="shared" si="141"/>
        <v>40.894726483288288</v>
      </c>
      <c r="Q156" s="22">
        <f t="shared" si="162"/>
        <v>350.29484445839398</v>
      </c>
      <c r="R156" s="62">
        <f t="shared" si="109"/>
        <v>643.62817779172724</v>
      </c>
      <c r="S156" s="62">
        <f ca="1">AVERAGE(OFFSET($R$3,0,0,'Données projet'!$E$9+1,1))-AVERAGE(OFFSET($H$3,0,0,'Données projet'!$E$9+1,1))</f>
        <v>119.8678823908412</v>
      </c>
      <c r="T156" s="62">
        <f t="shared" si="142"/>
        <v>64.795406733086224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2.1644675172614489E-19</v>
      </c>
      <c r="AC156" s="24">
        <f t="shared" si="163"/>
        <v>2.1644675172614489E-19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90.089999999999804</v>
      </c>
      <c r="D157" s="12">
        <f t="shared" si="140"/>
        <v>24.586929563904409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885.22542119505022</v>
      </c>
      <c r="H157" s="70">
        <f t="shared" si="110"/>
        <v>493.06231899046645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273.9000000000002</v>
      </c>
      <c r="O157" s="14">
        <f>N157*VLOOKUP('Données projet'!$B$9,Paramètres!$A$1:$I$89,3,0)*VLOOKUP('Données projet'!$B$9,Paramètres!$A$1:$I$89,5,0)</f>
        <v>160.23150000000012</v>
      </c>
      <c r="P157" s="14">
        <f t="shared" si="141"/>
        <v>40.894726483288288</v>
      </c>
      <c r="Q157" s="22">
        <f t="shared" si="162"/>
        <v>350.29484445839398</v>
      </c>
      <c r="R157" s="62">
        <f t="shared" si="109"/>
        <v>643.62817779172724</v>
      </c>
      <c r="S157" s="62">
        <f ca="1">AVERAGE(OFFSET($R$3,0,0,'Données projet'!$E$9+1,1))-AVERAGE(OFFSET($H$3,0,0,'Données projet'!$E$9+1,1))</f>
        <v>119.8678823908412</v>
      </c>
      <c r="T157" s="62">
        <f t="shared" si="142"/>
        <v>64.795406733086224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1.5305096591135812E-19</v>
      </c>
      <c r="AC157" s="24">
        <f t="shared" si="163"/>
        <v>1.5305096591135812E-19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90.674999999999798</v>
      </c>
      <c r="D158" s="12">
        <f t="shared" si="140"/>
        <v>24.727947878017524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890.82977309346722</v>
      </c>
      <c r="H158" s="70">
        <f t="shared" si="110"/>
        <v>494.32680088754682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273.9000000000002</v>
      </c>
      <c r="O158" s="14">
        <f>N158*VLOOKUP('Données projet'!$B$9,Paramètres!$A$1:$I$89,3,0)*VLOOKUP('Données projet'!$B$9,Paramètres!$A$1:$I$89,5,0)</f>
        <v>160.23150000000012</v>
      </c>
      <c r="P158" s="14">
        <f t="shared" si="141"/>
        <v>40.894726483288288</v>
      </c>
      <c r="Q158" s="22">
        <f t="shared" si="162"/>
        <v>350.29484445839398</v>
      </c>
      <c r="R158" s="62">
        <f t="shared" si="109"/>
        <v>643.62817779172724</v>
      </c>
      <c r="S158" s="62">
        <f ca="1">AVERAGE(OFFSET($R$3,0,0,'Données projet'!$E$9+1,1))-AVERAGE(OFFSET($H$3,0,0,'Données projet'!$E$9+1,1))</f>
        <v>119.8678823908412</v>
      </c>
      <c r="T158" s="62">
        <f t="shared" si="142"/>
        <v>64.795406733086224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1.0822337586307246E-19</v>
      </c>
      <c r="AC158" s="24">
        <f t="shared" si="163"/>
        <v>1.0822337586307246E-19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91.259999999999792</v>
      </c>
      <c r="D159" s="12">
        <f t="shared" si="140"/>
        <v>24.868860330902734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896.43330781749319</v>
      </c>
      <c r="H159" s="70">
        <f t="shared" si="110"/>
        <v>495.59109840965522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273.9000000000002</v>
      </c>
      <c r="O159" s="14">
        <f>N159*VLOOKUP('Données projet'!$B$9,Paramètres!$A$1:$I$89,3,0)*VLOOKUP('Données projet'!$B$9,Paramètres!$A$1:$I$89,5,0)</f>
        <v>160.23150000000012</v>
      </c>
      <c r="P159" s="14">
        <f t="shared" si="141"/>
        <v>40.894726483288288</v>
      </c>
      <c r="Q159" s="22">
        <f t="shared" si="162"/>
        <v>350.29484445839398</v>
      </c>
      <c r="R159" s="62">
        <f t="shared" si="109"/>
        <v>643.62817779172724</v>
      </c>
      <c r="S159" s="62">
        <f ca="1">AVERAGE(OFFSET($R$3,0,0,'Données projet'!$E$9+1,1))-AVERAGE(OFFSET($H$3,0,0,'Données projet'!$E$9+1,1))</f>
        <v>119.8678823908412</v>
      </c>
      <c r="T159" s="62">
        <f t="shared" si="142"/>
        <v>64.795406733086224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7.6525482955679071E-20</v>
      </c>
      <c r="AC159" s="24">
        <f t="shared" si="163"/>
        <v>7.6525482955679071E-20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91.844999999999786</v>
      </c>
      <c r="D160" s="12">
        <f t="shared" si="140"/>
        <v>25.009667679874273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902.03603121306298</v>
      </c>
      <c r="H160" s="70">
        <f t="shared" si="110"/>
        <v>496.85521287578064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273.9000000000002</v>
      </c>
      <c r="O160" s="14">
        <f>N160*VLOOKUP('Données projet'!$B$9,Paramètres!$A$1:$I$89,3,0)*VLOOKUP('Données projet'!$B$9,Paramètres!$A$1:$I$89,5,0)</f>
        <v>160.23150000000012</v>
      </c>
      <c r="P160" s="14">
        <f t="shared" si="141"/>
        <v>40.894726483288288</v>
      </c>
      <c r="Q160" s="22">
        <f t="shared" si="162"/>
        <v>350.29484445839398</v>
      </c>
      <c r="R160" s="62">
        <f t="shared" si="109"/>
        <v>643.62817779172724</v>
      </c>
      <c r="S160" s="62">
        <f ca="1">AVERAGE(OFFSET($R$3,0,0,'Données projet'!$E$9+1,1))-AVERAGE(OFFSET($H$3,0,0,'Données projet'!$E$9+1,1))</f>
        <v>119.8678823908412</v>
      </c>
      <c r="T160" s="62">
        <f t="shared" si="142"/>
        <v>64.795406733086224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5.411168793153624E-20</v>
      </c>
      <c r="AC160" s="24">
        <f t="shared" si="163"/>
        <v>5.411168793153624E-20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92.429999999999779</v>
      </c>
      <c r="D161" s="12">
        <f t="shared" si="140"/>
        <v>25.150370672041134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907.63794904733334</v>
      </c>
      <c r="H161" s="70">
        <f t="shared" si="110"/>
        <v>498.11914558713789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273.9000000000002</v>
      </c>
      <c r="O161" s="14">
        <f>N161*VLOOKUP('Données projet'!$B$9,Paramètres!$A$1:$I$89,3,0)*VLOOKUP('Données projet'!$B$9,Paramètres!$A$1:$I$89,5,0)</f>
        <v>160.23150000000012</v>
      </c>
      <c r="P161" s="14">
        <f t="shared" si="141"/>
        <v>40.894726483288288</v>
      </c>
      <c r="Q161" s="22">
        <f t="shared" si="162"/>
        <v>350.29484445839398</v>
      </c>
      <c r="R161" s="62">
        <f t="shared" si="109"/>
        <v>643.62817779172724</v>
      </c>
      <c r="S161" s="62">
        <f ca="1">AVERAGE(OFFSET($R$3,0,0,'Données projet'!$E$9+1,1))-AVERAGE(OFFSET($H$3,0,0,'Données projet'!$E$9+1,1))</f>
        <v>119.8678823908412</v>
      </c>
      <c r="T161" s="62">
        <f t="shared" si="142"/>
        <v>64.795406733086224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3.8262741477839542E-20</v>
      </c>
      <c r="AC161" s="24">
        <f t="shared" si="163"/>
        <v>3.8262741477839542E-20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93.014999999999773</v>
      </c>
      <c r="D162" s="12">
        <f t="shared" si="140"/>
        <v>25.290970044508342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913.23906701023805</v>
      </c>
      <c r="H162" s="70">
        <f t="shared" si="110"/>
        <v>499.38289782751826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273.9000000000002</v>
      </c>
      <c r="O162" s="14">
        <f>N162*VLOOKUP('Données projet'!$B$9,Paramètres!$A$1:$I$89,3,0)*VLOOKUP('Données projet'!$B$9,Paramètres!$A$1:$I$89,5,0)</f>
        <v>160.23150000000012</v>
      </c>
      <c r="P162" s="14">
        <f t="shared" si="141"/>
        <v>40.894726483288288</v>
      </c>
      <c r="Q162" s="22">
        <f t="shared" si="162"/>
        <v>350.29484445839398</v>
      </c>
      <c r="R162" s="62">
        <f t="shared" si="109"/>
        <v>643.62817779172724</v>
      </c>
      <c r="S162" s="62">
        <f ca="1">AVERAGE(OFFSET($R$3,0,0,'Données projet'!$E$9+1,1))-AVERAGE(OFFSET($H$3,0,0,'Données projet'!$E$9+1,1))</f>
        <v>119.8678823908412</v>
      </c>
      <c r="T162" s="62">
        <f t="shared" si="142"/>
        <v>64.795406733086224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2.7055843965768123E-20</v>
      </c>
      <c r="AC162" s="24">
        <f t="shared" si="163"/>
        <v>2.7055843965768123E-20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93.599999999999767</v>
      </c>
      <c r="D163" s="12">
        <f t="shared" si="140"/>
        <v>25.431466524572894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918.83939071599946</v>
      </c>
      <c r="H163" s="70">
        <f t="shared" si="110"/>
        <v>500.64647086363073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273.9000000000002</v>
      </c>
      <c r="O163" s="14">
        <f>N163*VLOOKUP('Données projet'!$B$9,Paramètres!$A$1:$I$89,3,0)*VLOOKUP('Données projet'!$B$9,Paramètres!$A$1:$I$89,5,0)</f>
        <v>160.23150000000012</v>
      </c>
      <c r="P163" s="14">
        <f t="shared" si="141"/>
        <v>40.894726483288288</v>
      </c>
      <c r="Q163" s="22">
        <f t="shared" si="162"/>
        <v>350.29484445839398</v>
      </c>
      <c r="R163" s="62">
        <f t="shared" si="109"/>
        <v>643.62817779172724</v>
      </c>
      <c r="S163" s="62">
        <f ca="1">AVERAGE(OFFSET($R$3,0,0,'Données projet'!$E$9+1,1))-AVERAGE(OFFSET($H$3,0,0,'Données projet'!$E$9+1,1))</f>
        <v>119.8678823908412</v>
      </c>
      <c r="T163" s="62">
        <f t="shared" si="142"/>
        <v>64.795406733086224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1.9131370738919774E-20</v>
      </c>
      <c r="AC163" s="24">
        <f t="shared" si="163"/>
        <v>1.9131370738919774E-20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94.184999999999761</v>
      </c>
      <c r="D164" s="12">
        <f t="shared" si="140"/>
        <v>25.571860829914826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924.43892570460378</v>
      </c>
      <c r="H164" s="70">
        <f t="shared" si="110"/>
        <v>501.90986594543455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273.9000000000002</v>
      </c>
      <c r="O164" s="14">
        <f>N164*VLOOKUP('Données projet'!$B$9,Paramètres!$A$1:$I$89,3,0)*VLOOKUP('Données projet'!$B$9,Paramètres!$A$1:$I$89,5,0)</f>
        <v>160.23150000000012</v>
      </c>
      <c r="P164" s="14">
        <f t="shared" si="141"/>
        <v>40.894726483288288</v>
      </c>
      <c r="Q164" s="22">
        <f t="shared" si="162"/>
        <v>350.29484445839398</v>
      </c>
      <c r="R164" s="62">
        <f t="shared" si="109"/>
        <v>643.62817779172724</v>
      </c>
      <c r="S164" s="62">
        <f ca="1">AVERAGE(OFFSET($R$3,0,0,'Données projet'!$E$9+1,1))-AVERAGE(OFFSET($H$3,0,0,'Données projet'!$E$9+1,1))</f>
        <v>119.8678823908412</v>
      </c>
      <c r="T164" s="62">
        <f t="shared" si="142"/>
        <v>64.795406733086224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1.3527921982884063E-20</v>
      </c>
      <c r="AC164" s="24">
        <f t="shared" si="163"/>
        <v>1.3527921982884063E-20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94.769999999999754</v>
      </c>
      <c r="D165" s="12">
        <f t="shared" si="140"/>
        <v>25.712153668783284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930.0376774432375</v>
      </c>
      <c r="H165" s="70">
        <f t="shared" si="110"/>
        <v>503.17308430646381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273.9000000000002</v>
      </c>
      <c r="O165" s="14">
        <f>N165*VLOOKUP('Données projet'!$B$9,Paramètres!$A$1:$I$89,3,0)*VLOOKUP('Données projet'!$B$9,Paramètres!$A$1:$I$89,5,0)</f>
        <v>160.23150000000012</v>
      </c>
      <c r="P165" s="14">
        <f t="shared" si="141"/>
        <v>40.894726483288288</v>
      </c>
      <c r="Q165" s="22">
        <f t="shared" si="162"/>
        <v>350.29484445839398</v>
      </c>
      <c r="R165" s="62">
        <f t="shared" si="109"/>
        <v>643.62817779172724</v>
      </c>
      <c r="S165" s="62">
        <f ca="1">AVERAGE(OFFSET($R$3,0,0,'Données projet'!$E$9+1,1))-AVERAGE(OFFSET($H$3,0,0,'Données projet'!$E$9+1,1))</f>
        <v>119.8678823908412</v>
      </c>
      <c r="T165" s="62">
        <f t="shared" si="142"/>
        <v>64.795406733086224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9.5656853694598884E-21</v>
      </c>
      <c r="AC165" s="24">
        <f t="shared" si="163"/>
        <v>9.5656853694598884E-21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95.354999999999748</v>
      </c>
      <c r="D166" s="12">
        <f t="shared" si="140"/>
        <v>25.852345740177796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935.63565132768633</v>
      </c>
      <c r="H166" s="70">
        <f t="shared" si="110"/>
        <v>504.43612716414253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273.9000000000002</v>
      </c>
      <c r="O166" s="14">
        <f>N166*VLOOKUP('Données projet'!$B$9,Paramètres!$A$1:$I$89,3,0)*VLOOKUP('Données projet'!$B$9,Paramètres!$A$1:$I$89,5,0)</f>
        <v>160.23150000000012</v>
      </c>
      <c r="P166" s="14">
        <f t="shared" si="141"/>
        <v>40.894726483288288</v>
      </c>
      <c r="Q166" s="22">
        <f t="shared" si="162"/>
        <v>350.29484445839398</v>
      </c>
      <c r="R166" s="62">
        <f t="shared" si="109"/>
        <v>643.62817779172724</v>
      </c>
      <c r="S166" s="62">
        <f ca="1">AVERAGE(OFFSET($R$3,0,0,'Données projet'!$E$9+1,1))-AVERAGE(OFFSET($H$3,0,0,'Données projet'!$E$9+1,1))</f>
        <v>119.8678823908412</v>
      </c>
      <c r="T166" s="62">
        <f t="shared" si="142"/>
        <v>64.795406733086224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6.763960991442033E-21</v>
      </c>
      <c r="AC166" s="24">
        <f t="shared" si="163"/>
        <v>6.763960991442033E-21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95.939999999999742</v>
      </c>
      <c r="D167" s="12">
        <f t="shared" si="140"/>
        <v>25.99243773402512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941.2328526837008</v>
      </c>
      <c r="H167" s="70">
        <f t="shared" si="110"/>
        <v>505.69899572009331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273.9000000000002</v>
      </c>
      <c r="O167" s="14">
        <f>N167*VLOOKUP('Données projet'!$B$9,Paramètres!$A$1:$I$89,3,0)*VLOOKUP('Données projet'!$B$9,Paramètres!$A$1:$I$89,5,0)</f>
        <v>160.23150000000012</v>
      </c>
      <c r="P167" s="14">
        <f t="shared" si="141"/>
        <v>40.894726483288288</v>
      </c>
      <c r="Q167" s="22">
        <f t="shared" si="162"/>
        <v>350.29484445839398</v>
      </c>
      <c r="R167" s="62">
        <f t="shared" si="109"/>
        <v>643.62817779172724</v>
      </c>
      <c r="S167" s="62">
        <f ca="1">AVERAGE(OFFSET($R$3,0,0,'Données projet'!$E$9+1,1))-AVERAGE(OFFSET($H$3,0,0,'Données projet'!$E$9+1,1))</f>
        <v>119.8678823908412</v>
      </c>
      <c r="T167" s="62">
        <f t="shared" si="142"/>
        <v>64.795406733086224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4.782842684729945E-21</v>
      </c>
      <c r="AC167" s="24">
        <f t="shared" si="163"/>
        <v>4.782842684729945E-21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96.524999999999736</v>
      </c>
      <c r="D168" s="12">
        <f t="shared" si="140"/>
        <v>26.132430331351639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946.8292867683266</v>
      </c>
      <c r="H168" s="70">
        <f t="shared" si="110"/>
        <v>506.96169116043694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273.9000000000002</v>
      </c>
      <c r="O168" s="14">
        <f>N168*VLOOKUP('Données projet'!$B$9,Paramètres!$A$1:$I$89,3,0)*VLOOKUP('Données projet'!$B$9,Paramètres!$A$1:$I$89,5,0)</f>
        <v>160.23150000000012</v>
      </c>
      <c r="P168" s="14">
        <f t="shared" si="141"/>
        <v>40.894726483288288</v>
      </c>
      <c r="Q168" s="22">
        <f t="shared" si="162"/>
        <v>350.29484445839398</v>
      </c>
      <c r="R168" s="62">
        <f t="shared" si="109"/>
        <v>643.62817779172724</v>
      </c>
      <c r="S168" s="62">
        <f ca="1">AVERAGE(OFFSET($R$3,0,0,'Données projet'!$E$9+1,1))-AVERAGE(OFFSET($H$3,0,0,'Données projet'!$E$9+1,1))</f>
        <v>119.8678823908412</v>
      </c>
      <c r="T168" s="62">
        <f t="shared" si="142"/>
        <v>64.795406733086224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3.3819804957210169E-21</v>
      </c>
      <c r="AC168" s="24">
        <f t="shared" si="163"/>
        <v>3.3819804957210169E-21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97.109999999999729</v>
      </c>
      <c r="D169" s="12">
        <f t="shared" si="140"/>
        <v>26.272324204451319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952.42495877120109</v>
      </c>
      <c r="H169" s="70">
        <f t="shared" si="110"/>
        <v>508.22421465608556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273.9000000000002</v>
      </c>
      <c r="O169" s="14">
        <f>N169*VLOOKUP('Données projet'!$B$9,Paramètres!$A$1:$I$89,3,0)*VLOOKUP('Données projet'!$B$9,Paramètres!$A$1:$I$89,5,0)</f>
        <v>160.23150000000012</v>
      </c>
      <c r="P169" s="14">
        <f t="shared" si="141"/>
        <v>40.894726483288288</v>
      </c>
      <c r="Q169" s="22">
        <f t="shared" si="162"/>
        <v>350.29484445839398</v>
      </c>
      <c r="R169" s="62">
        <f t="shared" si="109"/>
        <v>643.62817779172724</v>
      </c>
      <c r="S169" s="62">
        <f ca="1">AVERAGE(OFFSET($R$3,0,0,'Données projet'!$E$9+1,1))-AVERAGE(OFFSET($H$3,0,0,'Données projet'!$E$9+1,1))</f>
        <v>119.8678823908412</v>
      </c>
      <c r="T169" s="62">
        <f t="shared" si="142"/>
        <v>64.795406733086224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2.3914213423649729E-21</v>
      </c>
      <c r="AC169" s="24">
        <f t="shared" si="163"/>
        <v>2.3914213423649729E-21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97.694999999999723</v>
      </c>
      <c r="D170" s="12">
        <f t="shared" si="140"/>
        <v>26.41212001704962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958.01987381581966</v>
      </c>
      <c r="H170" s="70">
        <f t="shared" si="110"/>
        <v>509.48656736302758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273.9000000000002</v>
      </c>
      <c r="O170" s="14">
        <f>N170*VLOOKUP('Données projet'!$B$9,Paramètres!$A$1:$I$89,3,0)*VLOOKUP('Données projet'!$B$9,Paramètres!$A$1:$I$89,5,0)</f>
        <v>160.23150000000012</v>
      </c>
      <c r="P170" s="14">
        <f t="shared" si="141"/>
        <v>40.894726483288288</v>
      </c>
      <c r="Q170" s="22">
        <f t="shared" si="162"/>
        <v>350.29484445839398</v>
      </c>
      <c r="R170" s="62">
        <f t="shared" si="109"/>
        <v>643.62817779172724</v>
      </c>
      <c r="S170" s="62">
        <f ca="1">AVERAGE(OFFSET($R$3,0,0,'Données projet'!$E$9+1,1))-AVERAGE(OFFSET($H$3,0,0,'Données projet'!$E$9+1,1))</f>
        <v>119.8678823908412</v>
      </c>
      <c r="T170" s="62">
        <f t="shared" si="142"/>
        <v>64.795406733086224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1.6909902478605088E-21</v>
      </c>
      <c r="AC170" s="24">
        <f t="shared" si="163"/>
        <v>1.6909902478605088E-21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98.279999999999717</v>
      </c>
      <c r="D171" s="12">
        <f t="shared" si="140"/>
        <v>26.551818424463377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963.61403696076786</v>
      </c>
      <c r="H171" s="70">
        <f t="shared" si="110"/>
        <v>510.74875042260652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273.9000000000002</v>
      </c>
      <c r="O171" s="14">
        <f>N171*VLOOKUP('Données projet'!$B$9,Paramètres!$A$1:$I$89,3,0)*VLOOKUP('Données projet'!$B$9,Paramètres!$A$1:$I$89,5,0)</f>
        <v>160.23150000000012</v>
      </c>
      <c r="P171" s="14">
        <f t="shared" si="141"/>
        <v>40.894726483288288</v>
      </c>
      <c r="Q171" s="22">
        <f t="shared" si="162"/>
        <v>350.29484445839398</v>
      </c>
      <c r="R171" s="62">
        <f t="shared" si="109"/>
        <v>643.62817779172724</v>
      </c>
      <c r="S171" s="62">
        <f ca="1">AVERAGE(OFFSET($R$3,0,0,'Données projet'!$E$9+1,1))-AVERAGE(OFFSET($H$3,0,0,'Données projet'!$E$9+1,1))</f>
        <v>119.8678823908412</v>
      </c>
      <c r="T171" s="62">
        <f t="shared" si="142"/>
        <v>64.795406733086224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1.1957106711824866E-21</v>
      </c>
      <c r="AC171" s="24">
        <f t="shared" si="163"/>
        <v>1.1957106711824866E-21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98.864999999999711</v>
      </c>
      <c r="D172" s="12">
        <f t="shared" si="140"/>
        <v>26.69142007375677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969.20745320092738</v>
      </c>
      <c r="H172" s="70">
        <f t="shared" si="110"/>
        <v>512.01076496179257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273.9000000000002</v>
      </c>
      <c r="O172" s="14">
        <f>N172*VLOOKUP('Données projet'!$B$9,Paramètres!$A$1:$I$89,3,0)*VLOOKUP('Données projet'!$B$9,Paramètres!$A$1:$I$89,5,0)</f>
        <v>160.23150000000012</v>
      </c>
      <c r="P172" s="14">
        <f t="shared" si="141"/>
        <v>40.894726483288288</v>
      </c>
      <c r="Q172" s="22">
        <f t="shared" si="162"/>
        <v>350.29484445839398</v>
      </c>
      <c r="R172" s="62">
        <f t="shared" si="109"/>
        <v>643.62817779172724</v>
      </c>
      <c r="S172" s="62">
        <f ca="1">AVERAGE(OFFSET($R$3,0,0,'Données projet'!$E$9+1,1))-AVERAGE(OFFSET($H$3,0,0,'Données projet'!$E$9+1,1))</f>
        <v>119.8678823908412</v>
      </c>
      <c r="T172" s="62">
        <f t="shared" si="142"/>
        <v>64.795406733086224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8.454951239302545E-22</v>
      </c>
      <c r="AC172" s="24">
        <f t="shared" si="163"/>
        <v>8.454951239302545E-22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99.449999999999704</v>
      </c>
      <c r="D173" s="12">
        <f t="shared" si="140"/>
        <v>26.830925603893281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974.8001274686477</v>
      </c>
      <c r="H173" s="70">
        <f t="shared" si="110"/>
        <v>513.27261209344692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273.9000000000002</v>
      </c>
      <c r="O173" s="14">
        <f>N173*VLOOKUP('Données projet'!$B$9,Paramètres!$A$1:$I$89,3,0)*VLOOKUP('Données projet'!$B$9,Paramètres!$A$1:$I$89,5,0)</f>
        <v>160.23150000000012</v>
      </c>
      <c r="P173" s="14">
        <f t="shared" si="141"/>
        <v>40.894726483288288</v>
      </c>
      <c r="Q173" s="22">
        <f t="shared" si="162"/>
        <v>350.29484445839398</v>
      </c>
      <c r="R173" s="62">
        <f t="shared" si="109"/>
        <v>643.62817779172724</v>
      </c>
      <c r="S173" s="62">
        <f ca="1">AVERAGE(OFFSET($R$3,0,0,'Données projet'!$E$9+1,1))-AVERAGE(OFFSET($H$3,0,0,'Données projet'!$E$9+1,1))</f>
        <v>119.8678823908412</v>
      </c>
      <c r="T173" s="62">
        <f t="shared" si="142"/>
        <v>64.795406733086224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5.978553355912434E-22</v>
      </c>
      <c r="AC173" s="24">
        <f t="shared" si="163"/>
        <v>5.978553355912434E-22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100.0349999999997</v>
      </c>
      <c r="D174" s="12">
        <f t="shared" si="140"/>
        <v>26.97033564588433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980.39206463489427</v>
      </c>
      <c r="H174" s="70">
        <f t="shared" si="110"/>
        <v>514.53429291658131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273.9000000000002</v>
      </c>
      <c r="O174" s="14">
        <f>N174*VLOOKUP('Données projet'!$B$9,Paramètres!$A$1:$I$89,3,0)*VLOOKUP('Données projet'!$B$9,Paramètres!$A$1:$I$89,5,0)</f>
        <v>160.23150000000012</v>
      </c>
      <c r="P174" s="14">
        <f t="shared" si="141"/>
        <v>40.894726483288288</v>
      </c>
      <c r="Q174" s="22">
        <f t="shared" si="162"/>
        <v>350.29484445839398</v>
      </c>
      <c r="R174" s="62">
        <f t="shared" si="109"/>
        <v>643.62817779172724</v>
      </c>
      <c r="S174" s="62">
        <f ca="1">AVERAGE(OFFSET($R$3,0,0,'Données projet'!$E$9+1,1))-AVERAGE(OFFSET($H$3,0,0,'Données projet'!$E$9+1,1))</f>
        <v>119.8678823908412</v>
      </c>
      <c r="T174" s="62">
        <f t="shared" si="142"/>
        <v>64.795406733086224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4.227475619651273E-22</v>
      </c>
      <c r="AC174" s="24">
        <f t="shared" si="163"/>
        <v>4.227475619651273E-22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100.61999999999969</v>
      </c>
      <c r="D175" s="12">
        <f t="shared" si="140"/>
        <v>27.109650822934054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985.98326951036586</v>
      </c>
      <c r="H175" s="70">
        <f t="shared" si="110"/>
        <v>515.79580851660955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273.9000000000002</v>
      </c>
      <c r="O175" s="14">
        <f>N175*VLOOKUP('Données projet'!$B$9,Paramètres!$A$1:$I$89,3,0)*VLOOKUP('Données projet'!$B$9,Paramètres!$A$1:$I$89,5,0)</f>
        <v>160.23150000000012</v>
      </c>
      <c r="P175" s="14">
        <f t="shared" si="141"/>
        <v>40.894726483288288</v>
      </c>
      <c r="Q175" s="22">
        <f t="shared" si="162"/>
        <v>350.29484445839398</v>
      </c>
      <c r="R175" s="62">
        <f t="shared" si="109"/>
        <v>643.62817779172724</v>
      </c>
      <c r="S175" s="62">
        <f ca="1">AVERAGE(OFFSET($R$3,0,0,'Données projet'!$E$9+1,1))-AVERAGE(OFFSET($H$3,0,0,'Données projet'!$E$9+1,1))</f>
        <v>119.8678823908412</v>
      </c>
      <c r="T175" s="62">
        <f t="shared" si="142"/>
        <v>64.795406733086224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2.9892766779562175E-22</v>
      </c>
      <c r="AC175" s="24">
        <f t="shared" si="163"/>
        <v>2.9892766779562175E-22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101.20499999999969</v>
      </c>
      <c r="D176" s="12">
        <f t="shared" si="140"/>
        <v>27.248871750580772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991.57374684658589</v>
      </c>
      <c r="H176" s="70">
        <f t="shared" si="110"/>
        <v>517.05715996559422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273.9000000000002</v>
      </c>
      <c r="O176" s="14">
        <f>N176*VLOOKUP('Données projet'!$B$9,Paramètres!$A$1:$I$89,3,0)*VLOOKUP('Données projet'!$B$9,Paramètres!$A$1:$I$89,5,0)</f>
        <v>160.23150000000012</v>
      </c>
      <c r="P176" s="14">
        <f t="shared" si="141"/>
        <v>40.894726483288288</v>
      </c>
      <c r="Q176" s="22">
        <f t="shared" si="162"/>
        <v>350.29484445839398</v>
      </c>
      <c r="R176" s="62">
        <f t="shared" si="109"/>
        <v>643.62817779172724</v>
      </c>
      <c r="S176" s="62">
        <f ca="1">AVERAGE(OFFSET($R$3,0,0,'Données projet'!$E$9+1,1))-AVERAGE(OFFSET($H$3,0,0,'Données projet'!$E$9+1,1))</f>
        <v>119.8678823908412</v>
      </c>
      <c r="T176" s="62">
        <f t="shared" si="142"/>
        <v>64.795406733086224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2.113737809825637E-22</v>
      </c>
      <c r="AC176" s="24">
        <f t="shared" si="163"/>
        <v>2.113737809825637E-22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101.78999999999968</v>
      </c>
      <c r="D177" s="12">
        <f t="shared" si="140"/>
        <v>27.387999036835009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997.1635013369696</v>
      </c>
      <c r="H177" s="70">
        <f t="shared" si="110"/>
        <v>518.31834832248705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273.9000000000002</v>
      </c>
      <c r="O177" s="14">
        <f>N177*VLOOKUP('Données projet'!$B$9,Paramètres!$A$1:$I$89,3,0)*VLOOKUP('Données projet'!$B$9,Paramètres!$A$1:$I$89,5,0)</f>
        <v>160.23150000000012</v>
      </c>
      <c r="P177" s="14">
        <f t="shared" si="141"/>
        <v>40.894726483288288</v>
      </c>
      <c r="Q177" s="22">
        <f t="shared" si="162"/>
        <v>350.29484445839398</v>
      </c>
      <c r="R177" s="62">
        <f t="shared" si="109"/>
        <v>643.62817779172724</v>
      </c>
      <c r="S177" s="62">
        <f ca="1">AVERAGE(OFFSET($R$3,0,0,'Données projet'!$E$9+1,1))-AVERAGE(OFFSET($H$3,0,0,'Données projet'!$E$9+1,1))</f>
        <v>119.8678823908412</v>
      </c>
      <c r="T177" s="62">
        <f t="shared" si="142"/>
        <v>64.795406733086224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1.494638338978109E-22</v>
      </c>
      <c r="AC177" s="24">
        <f t="shared" si="163"/>
        <v>1.494638338978109E-22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102.37499999999967</v>
      </c>
      <c r="D178" s="12">
        <f t="shared" si="140"/>
        <v>27.527033282314228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1002.7525376178619</v>
      </c>
      <c r="H178" s="70">
        <f t="shared" si="110"/>
        <v>519.57937463336339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273.9000000000002</v>
      </c>
      <c r="O178" s="14">
        <f>N178*VLOOKUP('Données projet'!$B$9,Paramètres!$A$1:$I$89,3,0)*VLOOKUP('Données projet'!$B$9,Paramètres!$A$1:$I$89,5,0)</f>
        <v>160.23150000000012</v>
      </c>
      <c r="P178" s="14">
        <f t="shared" si="141"/>
        <v>40.894726483288288</v>
      </c>
      <c r="Q178" s="22">
        <f t="shared" si="162"/>
        <v>350.29484445839398</v>
      </c>
      <c r="R178" s="62">
        <f t="shared" si="109"/>
        <v>643.62817779172724</v>
      </c>
      <c r="S178" s="62">
        <f ca="1">AVERAGE(OFFSET($R$3,0,0,'Données projet'!$E$9+1,1))-AVERAGE(OFFSET($H$3,0,0,'Données projet'!$E$9+1,1))</f>
        <v>119.8678823908412</v>
      </c>
      <c r="T178" s="62">
        <f t="shared" si="142"/>
        <v>64.795406733086224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1.0568689049128186E-22</v>
      </c>
      <c r="AC178" s="24">
        <f t="shared" si="163"/>
        <v>1.0568689049128186E-22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102.95999999999967</v>
      </c>
      <c r="D179" s="12">
        <f t="shared" si="140"/>
        <v>27.665975080374558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1008.3408602695554</v>
      </c>
      <c r="H179" s="70">
        <f t="shared" si="110"/>
        <v>520.84023993165169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273.9000000000002</v>
      </c>
      <c r="O179" s="14">
        <f>N179*VLOOKUP('Données projet'!$B$9,Paramètres!$A$1:$I$89,3,0)*VLOOKUP('Données projet'!$B$9,Paramètres!$A$1:$I$89,5,0)</f>
        <v>160.23150000000012</v>
      </c>
      <c r="P179" s="14">
        <f t="shared" si="141"/>
        <v>40.894726483288288</v>
      </c>
      <c r="Q179" s="22">
        <f t="shared" si="162"/>
        <v>350.29484445839398</v>
      </c>
      <c r="R179" s="62">
        <f t="shared" si="109"/>
        <v>643.62817779172724</v>
      </c>
      <c r="S179" s="62">
        <f ca="1">AVERAGE(OFFSET($R$3,0,0,'Données projet'!$E$9+1,1))-AVERAGE(OFFSET($H$3,0,0,'Données projet'!$E$9+1,1))</f>
        <v>119.8678823908412</v>
      </c>
      <c r="T179" s="62">
        <f t="shared" si="142"/>
        <v>64.795406733086224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7.4731916948905461E-23</v>
      </c>
      <c r="AC179" s="24">
        <f t="shared" si="163"/>
        <v>7.4731916948905461E-23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103.54499999999966</v>
      </c>
      <c r="D180" s="12">
        <f t="shared" si="140"/>
        <v>27.804825017239214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1013.9284738172827</v>
      </c>
      <c r="H180" s="70">
        <f t="shared" si="110"/>
        <v>522.10094523835767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273.9000000000002</v>
      </c>
      <c r="O180" s="14">
        <f>N180*VLOOKUP('Données projet'!$B$9,Paramètres!$A$1:$I$89,3,0)*VLOOKUP('Données projet'!$B$9,Paramètres!$A$1:$I$89,5,0)</f>
        <v>160.23150000000012</v>
      </c>
      <c r="P180" s="14">
        <f t="shared" si="141"/>
        <v>40.894726483288288</v>
      </c>
      <c r="Q180" s="22">
        <f t="shared" si="162"/>
        <v>350.29484445839398</v>
      </c>
      <c r="R180" s="62">
        <f t="shared" si="109"/>
        <v>643.62817779172724</v>
      </c>
      <c r="S180" s="62">
        <f ca="1">AVERAGE(OFFSET($R$3,0,0,'Données projet'!$E$9+1,1))-AVERAGE(OFFSET($H$3,0,0,'Données projet'!$E$9+1,1))</f>
        <v>119.8678823908412</v>
      </c>
      <c r="T180" s="62">
        <f t="shared" si="142"/>
        <v>64.795406733086224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5.2843445245640941E-23</v>
      </c>
      <c r="AC180" s="24">
        <f t="shared" si="163"/>
        <v>5.2843445245640941E-23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104.12999999999965</v>
      </c>
      <c r="D181" s="12">
        <f t="shared" si="140"/>
        <v>27.943583672124152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1019.5153827321839</v>
      </c>
      <c r="H181" s="70">
        <f t="shared" si="110"/>
        <v>523.36149156228225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273.9000000000002</v>
      </c>
      <c r="O181" s="14">
        <f>N181*VLOOKUP('Données projet'!$B$9,Paramètres!$A$1:$I$89,3,0)*VLOOKUP('Données projet'!$B$9,Paramètres!$A$1:$I$89,5,0)</f>
        <v>160.23150000000012</v>
      </c>
      <c r="P181" s="14">
        <f t="shared" si="141"/>
        <v>40.894726483288288</v>
      </c>
      <c r="Q181" s="22">
        <f t="shared" si="162"/>
        <v>350.29484445839398</v>
      </c>
      <c r="R181" s="62">
        <f t="shared" si="109"/>
        <v>643.62817779172724</v>
      </c>
      <c r="S181" s="62">
        <f ca="1">AVERAGE(OFFSET($R$3,0,0,'Données projet'!$E$9+1,1))-AVERAGE(OFFSET($H$3,0,0,'Données projet'!$E$9+1,1))</f>
        <v>119.8678823908412</v>
      </c>
      <c r="T181" s="62">
        <f t="shared" si="142"/>
        <v>64.795406733086224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3.7365958474452736E-23</v>
      </c>
      <c r="AC181" s="24">
        <f t="shared" si="163"/>
        <v>3.7365958474452736E-23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104.71499999999965</v>
      </c>
      <c r="D182" s="12">
        <f t="shared" si="140"/>
        <v>28.082251617360583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1025.1015914322545</v>
      </c>
      <c r="H182" s="70">
        <f t="shared" si="110"/>
        <v>524.62187990023574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273.9000000000002</v>
      </c>
      <c r="O182" s="14">
        <f>N182*VLOOKUP('Données projet'!$B$9,Paramètres!$A$1:$I$89,3,0)*VLOOKUP('Données projet'!$B$9,Paramètres!$A$1:$I$89,5,0)</f>
        <v>160.23150000000012</v>
      </c>
      <c r="P182" s="14">
        <f t="shared" si="141"/>
        <v>40.894726483288288</v>
      </c>
      <c r="Q182" s="22">
        <f t="shared" si="162"/>
        <v>350.29484445839398</v>
      </c>
      <c r="R182" s="62">
        <f t="shared" si="109"/>
        <v>643.62817779172724</v>
      </c>
      <c r="S182" s="62">
        <f ca="1">AVERAGE(OFFSET($R$3,0,0,'Données projet'!$E$9+1,1))-AVERAGE(OFFSET($H$3,0,0,'Données projet'!$E$9+1,1))</f>
        <v>119.8678823908412</v>
      </c>
      <c r="T182" s="62">
        <f t="shared" si="142"/>
        <v>64.795406733086224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2.6421722622820474E-23</v>
      </c>
      <c r="AC182" s="24">
        <f t="shared" si="163"/>
        <v>2.6421722622820474E-23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105.29999999999964</v>
      </c>
      <c r="D183" s="12">
        <f t="shared" si="140"/>
        <v>28.220829418514981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1030.6871042832706</v>
      </c>
      <c r="H183" s="70">
        <f t="shared" si="110"/>
        <v>525.88211123724625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273.9000000000002</v>
      </c>
      <c r="O183" s="14">
        <f>N183*VLOOKUP('Données projet'!$B$9,Paramètres!$A$1:$I$89,3,0)*VLOOKUP('Données projet'!$B$9,Paramètres!$A$1:$I$89,5,0)</f>
        <v>160.23150000000012</v>
      </c>
      <c r="P183" s="14">
        <f t="shared" si="141"/>
        <v>40.894726483288288</v>
      </c>
      <c r="Q183" s="22">
        <f t="shared" si="162"/>
        <v>350.29484445839398</v>
      </c>
      <c r="R183" s="62">
        <f t="shared" si="109"/>
        <v>643.62817779172724</v>
      </c>
      <c r="S183" s="62">
        <f ca="1">AVERAGE(OFFSET($R$3,0,0,'Données projet'!$E$9+1,1))-AVERAGE(OFFSET($H$3,0,0,'Données projet'!$E$9+1,1))</f>
        <v>119.8678823908412</v>
      </c>
      <c r="T183" s="62">
        <f t="shared" si="142"/>
        <v>64.795406733086224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1.8682979237226371E-23</v>
      </c>
      <c r="AC183" s="24">
        <f t="shared" si="163"/>
        <v>1.8682979237226371E-23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105.88499999999964</v>
      </c>
      <c r="D184" s="12">
        <f t="shared" si="140"/>
        <v>28.359317634505931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1036.2719255996919</v>
      </c>
      <c r="H184" s="70">
        <f t="shared" si="110"/>
        <v>527.14218654676381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273.9000000000002</v>
      </c>
      <c r="O184" s="14">
        <f>N184*VLOOKUP('Données projet'!$B$9,Paramètres!$A$1:$I$89,3,0)*VLOOKUP('Données projet'!$B$9,Paramètres!$A$1:$I$89,5,0)</f>
        <v>160.23150000000012</v>
      </c>
      <c r="P184" s="14">
        <f t="shared" si="141"/>
        <v>40.894726483288288</v>
      </c>
      <c r="Q184" s="22">
        <f t="shared" si="162"/>
        <v>350.29484445839398</v>
      </c>
      <c r="R184" s="62">
        <f t="shared" si="109"/>
        <v>643.62817779172724</v>
      </c>
      <c r="S184" s="62">
        <f ca="1">AVERAGE(OFFSET($R$3,0,0,'Données projet'!$E$9+1,1))-AVERAGE(OFFSET($H$3,0,0,'Données projet'!$E$9+1,1))</f>
        <v>119.8678823908412</v>
      </c>
      <c r="T184" s="62">
        <f t="shared" si="142"/>
        <v>64.795406733086224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1.3210861311410238E-23</v>
      </c>
      <c r="AC184" s="24">
        <f t="shared" si="163"/>
        <v>1.3210861311410238E-23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106.46999999999963</v>
      </c>
      <c r="D185" s="12">
        <f t="shared" si="140"/>
        <v>28.497716817718807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1041.8560596455457</v>
      </c>
      <c r="H185" s="70">
        <f t="shared" si="110"/>
        <v>528.40210679085953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273.9000000000002</v>
      </c>
      <c r="O185" s="14">
        <f>N185*VLOOKUP('Données projet'!$B$9,Paramètres!$A$1:$I$89,3,0)*VLOOKUP('Données projet'!$B$9,Paramètres!$A$1:$I$89,5,0)</f>
        <v>160.23150000000012</v>
      </c>
      <c r="P185" s="14">
        <f t="shared" si="141"/>
        <v>40.894726483288288</v>
      </c>
      <c r="Q185" s="22">
        <f t="shared" si="162"/>
        <v>350.29484445839398</v>
      </c>
      <c r="R185" s="62">
        <f t="shared" si="109"/>
        <v>643.62817779172724</v>
      </c>
      <c r="S185" s="62">
        <f ca="1">AVERAGE(OFFSET($R$3,0,0,'Données projet'!$E$9+1,1))-AVERAGE(OFFSET($H$3,0,0,'Données projet'!$E$9+1,1))</f>
        <v>119.8678823908412</v>
      </c>
      <c r="T185" s="62">
        <f t="shared" si="142"/>
        <v>64.795406733086224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9.341489618613187E-24</v>
      </c>
      <c r="AC185" s="24">
        <f t="shared" si="163"/>
        <v>9.341489618613187E-24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107.05499999999962</v>
      </c>
      <c r="D186" s="12">
        <f t="shared" si="140"/>
        <v>28.636027514117455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1047.4395106352897</v>
      </c>
      <c r="H186" s="70">
        <f t="shared" si="110"/>
        <v>529.66187292042059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273.9000000000002</v>
      </c>
      <c r="O186" s="14">
        <f>N186*VLOOKUP('Données projet'!$B$9,Paramètres!$A$1:$I$89,3,0)*VLOOKUP('Données projet'!$B$9,Paramètres!$A$1:$I$89,5,0)</f>
        <v>160.23150000000012</v>
      </c>
      <c r="P186" s="14">
        <f t="shared" si="141"/>
        <v>40.894726483288288</v>
      </c>
      <c r="Q186" s="22">
        <f t="shared" si="162"/>
        <v>350.29484445839398</v>
      </c>
      <c r="R186" s="62">
        <f t="shared" si="109"/>
        <v>643.62817779172724</v>
      </c>
      <c r="S186" s="62">
        <f ca="1">AVERAGE(OFFSET($R$3,0,0,'Données projet'!$E$9+1,1))-AVERAGE(OFFSET($H$3,0,0,'Données projet'!$E$9+1,1))</f>
        <v>119.8678823908412</v>
      </c>
      <c r="T186" s="62">
        <f t="shared" si="142"/>
        <v>64.795406733086224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6.6054306557051206E-24</v>
      </c>
      <c r="AC186" s="24">
        <f t="shared" si="163"/>
        <v>6.6054306557051206E-24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107.63999999999962</v>
      </c>
      <c r="D187" s="12">
        <f t="shared" si="140"/>
        <v>28.774250263353508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1053.0222827346558</v>
      </c>
      <c r="H187" s="70">
        <f t="shared" si="110"/>
        <v>530.92148587534007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273.9000000000002</v>
      </c>
      <c r="O187" s="14">
        <f>N187*VLOOKUP('Données projet'!$B$9,Paramètres!$A$1:$I$89,3,0)*VLOOKUP('Données projet'!$B$9,Paramètres!$A$1:$I$89,5,0)</f>
        <v>160.23150000000012</v>
      </c>
      <c r="P187" s="14">
        <f t="shared" si="141"/>
        <v>40.894726483288288</v>
      </c>
      <c r="Q187" s="22">
        <f t="shared" si="162"/>
        <v>350.29484445839398</v>
      </c>
      <c r="R187" s="62">
        <f t="shared" si="109"/>
        <v>643.62817779172724</v>
      </c>
      <c r="S187" s="62">
        <f ca="1">AVERAGE(OFFSET($R$3,0,0,'Données projet'!$E$9+1,1))-AVERAGE(OFFSET($H$3,0,0,'Données projet'!$E$9+1,1))</f>
        <v>119.8678823908412</v>
      </c>
      <c r="T187" s="62">
        <f t="shared" si="142"/>
        <v>64.795406733086224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4.6707448093065942E-24</v>
      </c>
      <c r="AC187" s="24">
        <f t="shared" si="163"/>
        <v>4.6707448093065942E-24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108.22499999999961</v>
      </c>
      <c r="D188" s="12">
        <f t="shared" si="140"/>
        <v>28.912385598873335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1058.6043800614755</v>
      </c>
      <c r="H188" s="70">
        <f t="shared" si="110"/>
        <v>532.18094658470363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273.9000000000002</v>
      </c>
      <c r="O188" s="14">
        <f>N188*VLOOKUP('Données projet'!$B$9,Paramètres!$A$1:$I$89,3,0)*VLOOKUP('Données projet'!$B$9,Paramètres!$A$1:$I$89,5,0)</f>
        <v>160.23150000000012</v>
      </c>
      <c r="P188" s="14">
        <f t="shared" si="141"/>
        <v>40.894726483288288</v>
      </c>
      <c r="Q188" s="22">
        <f t="shared" si="162"/>
        <v>350.29484445839398</v>
      </c>
      <c r="R188" s="62">
        <f t="shared" si="109"/>
        <v>643.62817779172724</v>
      </c>
      <c r="S188" s="62">
        <f ca="1">AVERAGE(OFFSET($R$3,0,0,'Données projet'!$E$9+1,1))-AVERAGE(OFFSET($H$3,0,0,'Données projet'!$E$9+1,1))</f>
        <v>119.8678823908412</v>
      </c>
      <c r="T188" s="62">
        <f t="shared" si="142"/>
        <v>64.795406733086224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3.3027153278525607E-24</v>
      </c>
      <c r="AC188" s="24">
        <f t="shared" si="163"/>
        <v>3.3027153278525607E-24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108.8099999999996</v>
      </c>
      <c r="D189" s="12">
        <f t="shared" si="140"/>
        <v>29.050434048022527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1064.1858066864868</v>
      </c>
      <c r="H189" s="70">
        <f t="shared" si="110"/>
        <v>533.44025596697179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273.9000000000002</v>
      </c>
      <c r="O189" s="14">
        <f>N189*VLOOKUP('Données projet'!$B$9,Paramètres!$A$1:$I$89,3,0)*VLOOKUP('Données projet'!$B$9,Paramètres!$A$1:$I$89,5,0)</f>
        <v>160.23150000000012</v>
      </c>
      <c r="P189" s="14">
        <f t="shared" si="141"/>
        <v>40.894726483288288</v>
      </c>
      <c r="Q189" s="22">
        <f t="shared" si="162"/>
        <v>350.29484445839398</v>
      </c>
      <c r="R189" s="62">
        <f t="shared" si="109"/>
        <v>643.62817779172724</v>
      </c>
      <c r="S189" s="62">
        <f ca="1">AVERAGE(OFFSET($R$3,0,0,'Données projet'!$E$9+1,1))-AVERAGE(OFFSET($H$3,0,0,'Données projet'!$E$9+1,1))</f>
        <v>119.8678823908412</v>
      </c>
      <c r="T189" s="62">
        <f t="shared" si="142"/>
        <v>64.795406733086224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2.3353724046532975E-24</v>
      </c>
      <c r="AC189" s="24">
        <f t="shared" si="163"/>
        <v>2.3353724046532975E-24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109.3949999999996</v>
      </c>
      <c r="D190" s="12">
        <f t="shared" si="140"/>
        <v>29.188396132148043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1069.7665666341222</v>
      </c>
      <c r="H190" s="70">
        <f t="shared" si="110"/>
        <v>534.6994149301571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273.9000000000002</v>
      </c>
      <c r="O190" s="14">
        <f>N190*VLOOKUP('Données projet'!$B$9,Paramètres!$A$1:$I$89,3,0)*VLOOKUP('Données projet'!$B$9,Paramètres!$A$1:$I$89,5,0)</f>
        <v>160.23150000000012</v>
      </c>
      <c r="P190" s="14">
        <f t="shared" si="141"/>
        <v>40.894726483288288</v>
      </c>
      <c r="Q190" s="22">
        <f t="shared" si="162"/>
        <v>350.29484445839398</v>
      </c>
      <c r="R190" s="62">
        <f t="shared" si="109"/>
        <v>643.62817779172724</v>
      </c>
      <c r="S190" s="62">
        <f ca="1">AVERAGE(OFFSET($R$3,0,0,'Données projet'!$E$9+1,1))-AVERAGE(OFFSET($H$3,0,0,'Données projet'!$E$9+1,1))</f>
        <v>119.8678823908412</v>
      </c>
      <c r="T190" s="62">
        <f t="shared" si="142"/>
        <v>64.795406733086224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1.6513576639262807E-24</v>
      </c>
      <c r="AC190" s="24">
        <f t="shared" si="163"/>
        <v>1.6513576639262807E-24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109.97999999999959</v>
      </c>
      <c r="D191" s="12">
        <f t="shared" si="140"/>
        <v>29.326272366698156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1075.3466638832811</v>
      </c>
      <c r="H191" s="70">
        <f t="shared" si="110"/>
        <v>535.95842437199849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273.9000000000002</v>
      </c>
      <c r="O191" s="14">
        <f>N191*VLOOKUP('Données projet'!$B$9,Paramètres!$A$1:$I$89,3,0)*VLOOKUP('Données projet'!$B$9,Paramètres!$A$1:$I$89,5,0)</f>
        <v>160.23150000000012</v>
      </c>
      <c r="P191" s="14">
        <f t="shared" si="141"/>
        <v>40.894726483288288</v>
      </c>
      <c r="Q191" s="22">
        <f t="shared" si="162"/>
        <v>350.29484445839398</v>
      </c>
      <c r="R191" s="62">
        <f t="shared" si="109"/>
        <v>643.62817779172724</v>
      </c>
      <c r="S191" s="62">
        <f ca="1">AVERAGE(OFFSET($R$3,0,0,'Données projet'!$E$9+1,1))-AVERAGE(OFFSET($H$3,0,0,'Données projet'!$E$9+1,1))</f>
        <v>119.8678823908412</v>
      </c>
      <c r="T191" s="62">
        <f t="shared" si="142"/>
        <v>64.795406733086224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1.1676862023266489E-24</v>
      </c>
      <c r="AC191" s="24">
        <f t="shared" si="163"/>
        <v>1.1676862023266489E-24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110.56499999999959</v>
      </c>
      <c r="D192" s="12">
        <f t="shared" si="140"/>
        <v>29.464063261320263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1080.9261023680831</v>
      </c>
      <c r="H192" s="70">
        <f t="shared" si="110"/>
        <v>537.21728518013197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273.9000000000002</v>
      </c>
      <c r="O192" s="14">
        <f>N192*VLOOKUP('Données projet'!$B$9,Paramètres!$A$1:$I$89,3,0)*VLOOKUP('Données projet'!$B$9,Paramètres!$A$1:$I$89,5,0)</f>
        <v>160.23150000000012</v>
      </c>
      <c r="P192" s="14">
        <f t="shared" si="141"/>
        <v>40.894726483288288</v>
      </c>
      <c r="Q192" s="22">
        <f t="shared" si="162"/>
        <v>350.29484445839398</v>
      </c>
      <c r="R192" s="62">
        <f t="shared" si="109"/>
        <v>643.62817779172724</v>
      </c>
      <c r="S192" s="62">
        <f ca="1">AVERAGE(OFFSET($R$3,0,0,'Données projet'!$E$9+1,1))-AVERAGE(OFFSET($H$3,0,0,'Données projet'!$E$9+1,1))</f>
        <v>119.8678823908412</v>
      </c>
      <c r="T192" s="62">
        <f t="shared" si="142"/>
        <v>64.795406733086224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8.2567883196314044E-25</v>
      </c>
      <c r="AC192" s="24">
        <f t="shared" si="163"/>
        <v>8.2567883196314044E-25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111.14999999999958</v>
      </c>
      <c r="D193" s="12">
        <f t="shared" si="140"/>
        <v>29.601769319956464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1086.5048859786082</v>
      </c>
      <c r="H193" s="70">
        <f t="shared" si="110"/>
        <v>538.47599823225676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273.9000000000002</v>
      </c>
      <c r="O193" s="14">
        <f>N193*VLOOKUP('Données projet'!$B$9,Paramètres!$A$1:$I$89,3,0)*VLOOKUP('Données projet'!$B$9,Paramètres!$A$1:$I$89,5,0)</f>
        <v>160.23150000000012</v>
      </c>
      <c r="P193" s="14">
        <f t="shared" si="141"/>
        <v>40.894726483288288</v>
      </c>
      <c r="Q193" s="22">
        <f t="shared" si="162"/>
        <v>350.29484445839398</v>
      </c>
      <c r="R193" s="62">
        <f t="shared" si="109"/>
        <v>643.62817779172724</v>
      </c>
      <c r="S193" s="62">
        <f ca="1">AVERAGE(OFFSET($R$3,0,0,'Données projet'!$E$9+1,1))-AVERAGE(OFFSET($H$3,0,0,'Données projet'!$E$9+1,1))</f>
        <v>119.8678823908412</v>
      </c>
      <c r="T193" s="62">
        <f t="shared" si="142"/>
        <v>64.795406733086224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5.8384310116332455E-25</v>
      </c>
      <c r="AC193" s="24">
        <f t="shared" si="163"/>
        <v>5.8384310116332455E-25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111.73499999999957</v>
      </c>
      <c r="D194" s="12">
        <f t="shared" si="140"/>
        <v>29.739391040937079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1092.0830185616167</v>
      </c>
      <c r="H194" s="70">
        <f t="shared" si="110"/>
        <v>539.73456439629797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273.9000000000002</v>
      </c>
      <c r="O194" s="14">
        <f>N194*VLOOKUP('Données projet'!$B$9,Paramètres!$A$1:$I$89,3,0)*VLOOKUP('Données projet'!$B$9,Paramètres!$A$1:$I$89,5,0)</f>
        <v>160.23150000000012</v>
      </c>
      <c r="P194" s="14">
        <f t="shared" si="141"/>
        <v>40.894726483288288</v>
      </c>
      <c r="Q194" s="22">
        <f t="shared" si="162"/>
        <v>350.29484445839398</v>
      </c>
      <c r="R194" s="62">
        <f t="shared" si="109"/>
        <v>643.62817779172724</v>
      </c>
      <c r="S194" s="62">
        <f ca="1">AVERAGE(OFFSET($R$3,0,0,'Données projet'!$E$9+1,1))-AVERAGE(OFFSET($H$3,0,0,'Données projet'!$E$9+1,1))</f>
        <v>119.8678823908412</v>
      </c>
      <c r="T194" s="62">
        <f t="shared" si="142"/>
        <v>64.795406733086224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4.1283941598157031E-25</v>
      </c>
      <c r="AC194" s="24">
        <f t="shared" si="163"/>
        <v>4.1283941598157031E-25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112.31999999999957</v>
      </c>
      <c r="D195" s="12">
        <f t="shared" si="140"/>
        <v>29.876928917072263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1097.6605039212563</v>
      </c>
      <c r="H195" s="70">
        <f t="shared" si="110"/>
        <v>540.99298453056667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273.9000000000002</v>
      </c>
      <c r="O195" s="14">
        <f>N195*VLOOKUP('Données projet'!$B$9,Paramètres!$A$1:$I$89,3,0)*VLOOKUP('Données projet'!$B$9,Paramètres!$A$1:$I$89,5,0)</f>
        <v>160.23150000000012</v>
      </c>
      <c r="P195" s="14">
        <f t="shared" si="141"/>
        <v>40.894726483288288</v>
      </c>
      <c r="Q195" s="22">
        <f t="shared" si="162"/>
        <v>350.29484445839398</v>
      </c>
      <c r="R195" s="62">
        <f t="shared" ref="R195:R203" si="191">Q195+(I195+J195)*44/12</f>
        <v>643.62817779172724</v>
      </c>
      <c r="S195" s="62">
        <f ca="1">AVERAGE(OFFSET($R$3,0,0,'Données projet'!$E$9+1,1))-AVERAGE(OFFSET($H$3,0,0,'Données projet'!$E$9+1,1))</f>
        <v>119.8678823908412</v>
      </c>
      <c r="T195" s="62">
        <f t="shared" si="142"/>
        <v>64.795406733086224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2.9192155058166232E-25</v>
      </c>
      <c r="AC195" s="24">
        <f t="shared" si="163"/>
        <v>2.9192155058166232E-25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112.90499999999956</v>
      </c>
      <c r="D196" s="12">
        <f t="shared" si="140"/>
        <v>30.014383435741518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1103.2373458197558</v>
      </c>
      <c r="H196" s="70">
        <f t="shared" ref="H196:H203" si="192">(B196+E196+F196)*44/12+(C196+D196)*0.475*44/12</f>
        <v>542.25125948391565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273.9000000000002</v>
      </c>
      <c r="O196" s="14">
        <f>N196*VLOOKUP('Données projet'!$B$9,Paramètres!$A$1:$I$89,3,0)*VLOOKUP('Données projet'!$B$9,Paramètres!$A$1:$I$89,5,0)</f>
        <v>160.23150000000012</v>
      </c>
      <c r="P196" s="14">
        <f t="shared" si="141"/>
        <v>40.894726483288288</v>
      </c>
      <c r="Q196" s="22">
        <f t="shared" si="162"/>
        <v>350.29484445839398</v>
      </c>
      <c r="R196" s="62">
        <f t="shared" si="191"/>
        <v>643.62817779172724</v>
      </c>
      <c r="S196" s="62">
        <f ca="1">AVERAGE(OFFSET($R$3,0,0,'Données projet'!$E$9+1,1))-AVERAGE(OFFSET($H$3,0,0,'Données projet'!$E$9+1,1))</f>
        <v>119.8678823908412</v>
      </c>
      <c r="T196" s="62">
        <f t="shared" si="142"/>
        <v>64.795406733086224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2.0641970799078518E-25</v>
      </c>
      <c r="AC196" s="24">
        <f t="shared" si="163"/>
        <v>2.0641970799078518E-25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113.48999999999955</v>
      </c>
      <c r="D197" s="12">
        <f t="shared" ref="D197:D203" si="202">IFERROR(EXP(-1.0587+0.8836*LN(C197)+0.284),0)</f>
        <v>30.151755078981388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1108.8135479780983</v>
      </c>
      <c r="H197" s="70">
        <f t="shared" si="192"/>
        <v>543.50939009589183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273.9000000000002</v>
      </c>
      <c r="O197" s="14">
        <f>N197*VLOOKUP('Données projet'!$B$9,Paramètres!$A$1:$I$89,3,0)*VLOOKUP('Données projet'!$B$9,Paramètres!$A$1:$I$89,5,0)</f>
        <v>160.23150000000012</v>
      </c>
      <c r="P197" s="14">
        <f t="shared" ref="P197:P203" si="203">EXP(-1.0587+0.8836*LN(O197)+0.284)</f>
        <v>40.894726483288288</v>
      </c>
      <c r="Q197" s="22">
        <f t="shared" si="162"/>
        <v>350.29484445839398</v>
      </c>
      <c r="R197" s="62">
        <f t="shared" si="191"/>
        <v>643.62817779172724</v>
      </c>
      <c r="S197" s="62">
        <f ca="1">AVERAGE(OFFSET($R$3,0,0,'Données projet'!$E$9+1,1))-AVERAGE(OFFSET($H$3,0,0,'Données projet'!$E$9+1,1))</f>
        <v>119.8678823908412</v>
      </c>
      <c r="T197" s="62">
        <f t="shared" ref="T197:T203" si="204">$T$3</f>
        <v>64.795406733086224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1.4596077529083118E-25</v>
      </c>
      <c r="AC197" s="24">
        <f t="shared" si="163"/>
        <v>1.4596077529083118E-25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114.07499999999955</v>
      </c>
      <c r="D198" s="12">
        <f t="shared" si="202"/>
        <v>30.289044323571265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1114.3891140766871</v>
      </c>
      <c r="H198" s="70">
        <f t="shared" si="192"/>
        <v>544.76737719688583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273.9000000000002</v>
      </c>
      <c r="O198" s="14">
        <f>N198*VLOOKUP('Données projet'!$B$9,Paramètres!$A$1:$I$89,3,0)*VLOOKUP('Données projet'!$B$9,Paramètres!$A$1:$I$89,5,0)</f>
        <v>160.23150000000012</v>
      </c>
      <c r="P198" s="14">
        <f t="shared" si="203"/>
        <v>40.894726483288288</v>
      </c>
      <c r="Q198" s="22">
        <f t="shared" si="162"/>
        <v>350.29484445839398</v>
      </c>
      <c r="R198" s="62">
        <f t="shared" si="191"/>
        <v>643.62817779172724</v>
      </c>
      <c r="S198" s="62">
        <f ca="1">AVERAGE(OFFSET($R$3,0,0,'Données projet'!$E$9+1,1))-AVERAGE(OFFSET($H$3,0,0,'Données projet'!$E$9+1,1))</f>
        <v>119.8678823908412</v>
      </c>
      <c r="T198" s="62">
        <f t="shared" si="204"/>
        <v>64.795406733086224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1.032098539953926E-25</v>
      </c>
      <c r="AC198" s="24">
        <f t="shared" si="163"/>
        <v>1.032098539953926E-25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114.65999999999954</v>
      </c>
      <c r="D199" s="12">
        <f t="shared" si="202"/>
        <v>30.426251641117307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1119.9640477559899</v>
      </c>
      <c r="H199" s="70">
        <f t="shared" si="192"/>
        <v>546.02522160827846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273.9000000000002</v>
      </c>
      <c r="O199" s="14">
        <f>N199*VLOOKUP('Données projet'!$B$9,Paramètres!$A$1:$I$89,3,0)*VLOOKUP('Données projet'!$B$9,Paramètres!$A$1:$I$89,5,0)</f>
        <v>160.23150000000012</v>
      </c>
      <c r="P199" s="14">
        <f t="shared" si="203"/>
        <v>40.894726483288288</v>
      </c>
      <c r="Q199" s="22">
        <f t="shared" si="162"/>
        <v>350.29484445839398</v>
      </c>
      <c r="R199" s="62">
        <f t="shared" si="191"/>
        <v>643.62817779172724</v>
      </c>
      <c r="S199" s="62">
        <f ca="1">AVERAGE(OFFSET($R$3,0,0,'Données projet'!$E$9+1,1))-AVERAGE(OFFSET($H$3,0,0,'Données projet'!$E$9+1,1))</f>
        <v>119.8678823908412</v>
      </c>
      <c r="T199" s="62">
        <f t="shared" si="204"/>
        <v>64.795406733086224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7.2980387645415604E-26</v>
      </c>
      <c r="AC199" s="24">
        <f t="shared" si="163"/>
        <v>7.2980387645415604E-26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115.24499999999954</v>
      </c>
      <c r="D200" s="12">
        <f t="shared" si="202"/>
        <v>30.563377498134845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1125.5383526171777</v>
      </c>
      <c r="H200" s="70">
        <f t="shared" si="192"/>
        <v>547.28292414258408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273.9000000000002</v>
      </c>
      <c r="O200" s="14">
        <f>N200*VLOOKUP('Données projet'!$B$9,Paramètres!$A$1:$I$89,3,0)*VLOOKUP('Données projet'!$B$9,Paramètres!$A$1:$I$89,5,0)</f>
        <v>160.23150000000012</v>
      </c>
      <c r="P200" s="14">
        <f t="shared" si="203"/>
        <v>40.894726483288288</v>
      </c>
      <c r="Q200" s="22">
        <f t="shared" si="162"/>
        <v>350.29484445839398</v>
      </c>
      <c r="R200" s="62">
        <f t="shared" si="191"/>
        <v>643.62817779172724</v>
      </c>
      <c r="S200" s="62">
        <f ca="1">AVERAGE(OFFSET($R$3,0,0,'Données projet'!$E$9+1,1))-AVERAGE(OFFSET($H$3,0,0,'Données projet'!$E$9+1,1))</f>
        <v>119.8678823908412</v>
      </c>
      <c r="T200" s="62">
        <f t="shared" si="204"/>
        <v>64.795406733086224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5.1604926997696312E-26</v>
      </c>
      <c r="AC200" s="24">
        <f t="shared" si="163"/>
        <v>5.1604926997696312E-26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115.82999999999953</v>
      </c>
      <c r="D201" s="12">
        <f t="shared" si="202"/>
        <v>30.700422356128719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1131.1120322227443</v>
      </c>
      <c r="H201" s="70">
        <f t="shared" si="192"/>
        <v>548.54048560359001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273.9000000000002</v>
      </c>
      <c r="O201" s="14">
        <f>N201*VLOOKUP('Données projet'!$B$9,Paramètres!$A$1:$I$89,3,0)*VLOOKUP('Données projet'!$B$9,Paramètres!$A$1:$I$89,5,0)</f>
        <v>160.23150000000012</v>
      </c>
      <c r="P201" s="14">
        <f t="shared" si="203"/>
        <v>40.894726483288288</v>
      </c>
      <c r="Q201" s="22">
        <f t="shared" si="162"/>
        <v>350.29484445839398</v>
      </c>
      <c r="R201" s="62">
        <f t="shared" si="191"/>
        <v>643.62817779172724</v>
      </c>
      <c r="S201" s="62">
        <f ca="1">AVERAGE(OFFSET($R$3,0,0,'Données projet'!$E$9+1,1))-AVERAGE(OFFSET($H$3,0,0,'Données projet'!$E$9+1,1))</f>
        <v>119.8678823908412</v>
      </c>
      <c r="T201" s="62">
        <f t="shared" si="204"/>
        <v>64.795406733086224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3.6490193822707808E-26</v>
      </c>
      <c r="AC201" s="24">
        <f t="shared" si="163"/>
        <v>3.6490193822707808E-26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116.41499999999952</v>
      </c>
      <c r="D202" s="12">
        <f t="shared" si="202"/>
        <v>30.837386671672149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1136.6850900971147</v>
      </c>
      <c r="H202" s="70">
        <f t="shared" si="192"/>
        <v>549.79790678649488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273.9000000000002</v>
      </c>
      <c r="O202" s="14">
        <f>N202*VLOOKUP('Données projet'!$B$9,Paramètres!$A$1:$I$89,3,0)*VLOOKUP('Données projet'!$B$9,Paramètres!$A$1:$I$89,5,0)</f>
        <v>160.23150000000012</v>
      </c>
      <c r="P202" s="14">
        <f t="shared" si="203"/>
        <v>40.894726483288288</v>
      </c>
      <c r="Q202" s="22">
        <f t="shared" si="162"/>
        <v>350.29484445839398</v>
      </c>
      <c r="R202" s="62">
        <f t="shared" si="191"/>
        <v>643.62817779172724</v>
      </c>
      <c r="S202" s="62">
        <f ca="1">AVERAGE(OFFSET($R$3,0,0,'Données projet'!$E$9+1,1))-AVERAGE(OFFSET($H$3,0,0,'Données projet'!$E$9+1,1))</f>
        <v>119.8678823908412</v>
      </c>
      <c r="T202" s="62">
        <f t="shared" si="204"/>
        <v>64.795406733086224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2.5802463498848159E-26</v>
      </c>
      <c r="AC202" s="24">
        <f t="shared" si="163"/>
        <v>2.5802463498848159E-26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116.99999999999952</v>
      </c>
      <c r="D203" s="12">
        <f t="shared" si="202"/>
        <v>30.974270896484036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1142.2575297272413</v>
      </c>
      <c r="H203" s="70">
        <f t="shared" si="192"/>
        <v>551.05518847804217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273.9000000000002</v>
      </c>
      <c r="O203" s="14">
        <f>N203*VLOOKUP('Données projet'!$B$9,Paramètres!$A$1:$I$89,3,0)*VLOOKUP('Données projet'!$B$9,Paramètres!$A$1:$I$89,5,0)</f>
        <v>160.23150000000012</v>
      </c>
      <c r="P203" s="14">
        <f t="shared" si="203"/>
        <v>40.894726483288288</v>
      </c>
      <c r="Q203" s="22">
        <f t="shared" si="162"/>
        <v>350.29484445839398</v>
      </c>
      <c r="R203" s="62">
        <f t="shared" si="191"/>
        <v>643.62817779172724</v>
      </c>
      <c r="S203" s="62">
        <f ca="1">AVERAGE(OFFSET($R$3,0,0,'Données projet'!$E$9+1,1))-AVERAGE(OFFSET($H$3,0,0,'Données projet'!$E$9+1,1))</f>
        <v>119.8678823908412</v>
      </c>
      <c r="T203" s="62">
        <f t="shared" si="204"/>
        <v>64.795406733086224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1.8245096911353907E-26</v>
      </c>
      <c r="AC203" s="24">
        <f t="shared" si="163"/>
        <v>1.8245096911353907E-26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1.2301753698310307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O26" sqref="O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d'Alep</v>
      </c>
      <c r="B6" s="155">
        <f>'Données projet'!D9</f>
        <v>2.9</v>
      </c>
      <c r="C6" s="156">
        <f ca="1">IF(OR('Données projet'!B9="",'Données projet'!C9="",'Données projet'!C9=0%),0,Calculateur!S3)</f>
        <v>119.8678823908412</v>
      </c>
      <c r="D6" s="156">
        <f>IF(OR('Données projet'!B9="",'Données projet'!C9="",'Données projet'!C9=0%),0,Calculateur!T3)</f>
        <v>64.795406733086224</v>
      </c>
      <c r="E6" s="156">
        <f ca="1">MIN(C6,D6)</f>
        <v>64.795406733086224</v>
      </c>
      <c r="F6" s="156">
        <f ca="1">E6*B6</f>
        <v>187.90667952595004</v>
      </c>
      <c r="G6" s="156">
        <f ca="1">F6*(100%-'Données projet'!$C$24)*(100%-'Données projet'!$C$25)*(100%-'Données projet'!$C$26)*(100%-'Données projet'!$C$27)</f>
        <v>169.11601157335505</v>
      </c>
      <c r="H6" s="157">
        <f>IF(OR('Données projet'!B9="",'Données projet'!C9="",'Données projet'!C9=0%),0,AVERAGE(Calculateur!$AC$3:$AC$33)*B6)</f>
        <v>7.0545369310111017</v>
      </c>
      <c r="I6" s="158">
        <f>H6*(100%-'Données projet'!$C$24)*(100%-'Données projet'!$C$25)*(100%-'Données projet'!$C$26)*(100%-'Données projet'!$C$27)</f>
        <v>6.3490832379099915</v>
      </c>
      <c r="J6" s="159">
        <f>IF(OR('Données projet'!B9="",'Données projet'!C9="",'Données projet'!C9=0%),0,SUM(Calculateur!$V$3:$V$33)*VLOOKUP('Données projet'!$B$9,Paramètres!$A$1:$I$89,9,0)*B6)</f>
        <v>42.5227</v>
      </c>
      <c r="K6" s="160">
        <f>J6*(100%-'Données projet'!$C$24)*(100%-'Données projet'!$C$25)*(100%-'Données projet'!$C$26)*(100%-'Données projet'!$C$27)</f>
        <v>38.270430000000005</v>
      </c>
      <c r="L6" s="161">
        <f ca="1">G6+I6+K6</f>
        <v>213.73552481126504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187.90667952595004</v>
      </c>
      <c r="G16" s="175">
        <f t="shared" ca="1" si="3"/>
        <v>169.11601157335505</v>
      </c>
      <c r="H16" s="176">
        <f t="shared" si="3"/>
        <v>7.0545369310111017</v>
      </c>
      <c r="I16" s="176">
        <f t="shared" si="3"/>
        <v>6.3490832379099915</v>
      </c>
      <c r="J16" s="177">
        <f t="shared" si="3"/>
        <v>42.5227</v>
      </c>
      <c r="K16" s="177">
        <f t="shared" si="3"/>
        <v>38.270430000000005</v>
      </c>
      <c r="L16" s="178">
        <f t="shared" ca="1" si="3"/>
        <v>213.73552481126504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d'Alep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4" zoomScale="90" zoomScaleNormal="90" workbookViewId="0">
      <selection activeCell="S42" sqref="S4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d'Alep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322.5430256818247</v>
      </c>
      <c r="U10" s="190">
        <f>'Données projet'!D9</f>
        <v>2.9</v>
      </c>
      <c r="V10" s="189">
        <f>U10*T10</f>
        <v>935.37477447729157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d'Alep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70.000000000000071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2100.0000000000023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6604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500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797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34.1</v>
      </c>
      <c r="C23" s="206">
        <v>8</v>
      </c>
      <c r="D23" s="194">
        <f>B23*C23</f>
        <v>272.8</v>
      </c>
      <c r="E23" s="206"/>
      <c r="F23" s="261"/>
      <c r="H23" s="203">
        <v>3</v>
      </c>
      <c r="I23" s="204">
        <v>797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-25683.862844829211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40</v>
      </c>
      <c r="B24" s="193">
        <f>'Données projet'!D37</f>
        <v>39.700000000000003</v>
      </c>
      <c r="C24" s="206">
        <v>12</v>
      </c>
      <c r="D24" s="194">
        <f t="shared" ref="D24:D42" si="2">B24*C24</f>
        <v>476.40000000000003</v>
      </c>
      <c r="E24" s="206"/>
      <c r="F24" s="264"/>
      <c r="H24" s="203">
        <v>4</v>
      </c>
      <c r="I24" s="204">
        <v>797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279.56124206570394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60</v>
      </c>
      <c r="B25" s="193">
        <f>'Données projet'!D38</f>
        <v>37.6</v>
      </c>
      <c r="C25" s="206">
        <v>20</v>
      </c>
      <c r="D25" s="194">
        <f t="shared" si="2"/>
        <v>752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-25963.424086894916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70</v>
      </c>
      <c r="B26" s="193">
        <f>'Données projet'!D39</f>
        <v>35.6</v>
      </c>
      <c r="C26" s="206">
        <v>27</v>
      </c>
      <c r="D26" s="194">
        <f t="shared" si="2"/>
        <v>961.2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90</v>
      </c>
      <c r="B27" s="193">
        <f>'Données projet'!D40</f>
        <v>30.8</v>
      </c>
      <c r="C27" s="206">
        <v>35</v>
      </c>
      <c r="D27" s="194">
        <f t="shared" si="2"/>
        <v>1078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110</v>
      </c>
      <c r="B28" s="193">
        <f>'Données projet'!D41</f>
        <v>26.1</v>
      </c>
      <c r="C28" s="206">
        <v>45</v>
      </c>
      <c r="D28" s="194">
        <f t="shared" si="2"/>
        <v>1174.5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2024-08-26T09:18:45Z</dcterms:modified>
</cp:coreProperties>
</file>