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Viella (32)-DABADIE-SWC-AXA\Dossier déposé le 31 10 2023\"/>
    </mc:Choice>
  </mc:AlternateContent>
  <xr:revisionPtr revIDLastSave="0" documentId="13_ncr:1_{B155A144-7312-47F1-A43A-CB2F10B2547A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3" i="2" l="1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<sst xmlns="http://schemas.openxmlformats.org/spreadsheetml/2006/main" count="1170" uniqueCount="324">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</sst>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1.8987896710279308</c:v>
                </c:pt>
                <c:pt idx="2">
                  <c:v>2.7013819872435625</c:v>
                </c:pt>
                <c:pt idx="3">
                  <c:v>3.8447225275026802</c:v>
                </c:pt>
                <c:pt idx="4">
                  <c:v>5.4740798872482737</c:v>
                </c:pt>
                <c:pt idx="5">
                  <c:v>7.7968928505445438</c:v>
                </c:pt>
                <c:pt idx="6">
                  <c:v>11.109471837150565</c:v>
                </c:pt>
                <c:pt idx="7">
                  <c:v>15.835205690636974</c:v>
                </c:pt>
                <c:pt idx="8">
                  <c:v>22.57924600980046</c:v>
                </c:pt>
                <c:pt idx="9">
                  <c:v>32.206795791548807</c:v>
                </c:pt>
                <c:pt idx="10">
                  <c:v>45.955219589841796</c:v>
                </c:pt>
                <c:pt idx="11">
                  <c:v>65.594626089181432</c:v>
                </c:pt>
                <c:pt idx="12">
                  <c:v>93.657936007018918</c:v>
                </c:pt>
                <c:pt idx="13">
                  <c:v>133.77057894356133</c:v>
                </c:pt>
                <c:pt idx="14">
                  <c:v>191.12306944620636</c:v>
                </c:pt>
                <c:pt idx="15">
                  <c:v>273.14852972846217</c:v>
                </c:pt>
                <c:pt idx="16">
                  <c:v>390.49424676672487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C33" sqref="C33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E39" sqref="E3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127</v>
      </c>
      <c r="C9" s="35">
        <v>1</v>
      </c>
      <c r="D9" s="36">
        <f t="shared" ref="D9:D18" si="0">C9*$C$5</f>
        <v>11</v>
      </c>
      <c r="E9" s="37">
        <v>16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I-45/51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16</v>
      </c>
      <c r="B36" s="63">
        <v>350</v>
      </c>
      <c r="C36" s="63">
        <v>1</v>
      </c>
      <c r="D36" s="63">
        <v>350</v>
      </c>
      <c r="E36" s="54">
        <v>0.8</v>
      </c>
      <c r="F36" s="54"/>
      <c r="G36" s="54">
        <v>0.2</v>
      </c>
      <c r="H36" s="54"/>
      <c r="I36" s="52">
        <f>IFERROR(B36/A36,"")</f>
        <v>21.875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18</v>
      </c>
      <c r="B62" s="63">
        <v>288</v>
      </c>
      <c r="C62" s="63">
        <v>1</v>
      </c>
      <c r="D62" s="63">
        <v>288</v>
      </c>
      <c r="E62" s="54">
        <v>0.8</v>
      </c>
      <c r="F62" s="54"/>
      <c r="G62" s="54">
        <v>0.2</v>
      </c>
      <c r="H62" s="54"/>
      <c r="I62" s="56">
        <f>IFERROR(B62/A62,"")</f>
        <v>16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F28" sqref="F2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I-45/51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79.432093675559855</v>
      </c>
      <c r="T3" s="62">
        <f>IF('Données projet'!E9&gt;30,$R$33-$H$33,LOOKUP('Données projet'!$E$9,$A$3:$A$203,R3:R203)-LOOKUP('Données projet'!$E$9,$A$3:$A$203,$H$3:$H$203))</f>
        <v>414.1029593555055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21.875</v>
      </c>
      <c r="N4" s="14">
        <f>IF('Données projet'!$A$36&gt;35,N3+M4-V3,IF(A4&lt;'Données projet'!$A$36,$K$205^A4,IF(A4='Données projet'!$A$36,'Données projet'!$B$36,N3+M4-V3)))</f>
        <v>1.4421294733199093</v>
      </c>
      <c r="O4" s="14">
        <f>N4*VLOOKUP('Données projet'!$B$9,Paramètres!$A$1:$I$89,3,0)*VLOOKUP('Données projet'!$B$9,Paramètres!$A$1:$I$89,5,0)</f>
        <v>0.73790880890833122</v>
      </c>
      <c r="P4" s="14">
        <f>EXP(-1.0587+0.8836*LN(O4)+0.284)</f>
        <v>0.3523053562751699</v>
      </c>
      <c r="Q4" s="22">
        <f t="shared" ref="Q4:Q34" si="2">(O4+P4)*0.475*44/12</f>
        <v>1.8987896710279308</v>
      </c>
      <c r="R4" s="62">
        <f t="shared" si="0"/>
        <v>169.71122362395178</v>
      </c>
      <c r="S4" s="62">
        <f ca="1">AVERAGE(OFFSET($R$3,0,0,'Données projet'!$E$9+1,1))-AVERAGE(OFFSET($H$3,0,0,'Données projet'!$E$9+1,1))</f>
        <v>79.432093675559855</v>
      </c>
      <c r="T4" s="62">
        <f>$T$3</f>
        <v>414.1029593555055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16</v>
      </c>
      <c r="AI4" s="14">
        <f>IF('Données projet'!$A$62&gt;35,AI3+AH4-AQ3,IF(A4&lt;'Données projet'!$A$62,$AF$205^A4,IF(A4='Données projet'!$A$62,'Données projet'!$B$62,AI3+AH4-AQ3)))</f>
        <v>1.3697235286408667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21.875</v>
      </c>
      <c r="N5" s="14">
        <f>IF('Données projet'!$A$36&gt;35,N4+M5-V4,IF(A5&lt;'Données projet'!$A$36,$K$205^A5,IF(A5='Données projet'!$A$36,'Données projet'!$B$36,N4+M5-V4)))</f>
        <v>2.0797374178179591</v>
      </c>
      <c r="O5" s="14">
        <f>N5*VLOOKUP('Données projet'!$B$9,Paramètres!$A$1:$I$89,3,0)*VLOOKUP('Données projet'!$B$9,Paramètres!$A$1:$I$89,5,0)</f>
        <v>1.0641600419490935</v>
      </c>
      <c r="P5" s="14">
        <f t="shared" ref="P5:P68" si="33">EXP(-1.0587+0.8836*LN(O5)+0.284)</f>
        <v>0.48687267799936362</v>
      </c>
      <c r="Q5" s="22">
        <f t="shared" si="2"/>
        <v>2.7013819872435625</v>
      </c>
      <c r="R5" s="62">
        <f t="shared" si="0"/>
        <v>173.2986632747444</v>
      </c>
      <c r="S5" s="62">
        <f ca="1">AVERAGE(OFFSET($R$3,0,0,'Données projet'!$E$9+1,1))-AVERAGE(OFFSET($H$3,0,0,'Données projet'!$E$9+1,1))</f>
        <v>79.432093675559855</v>
      </c>
      <c r="T5" s="62">
        <f t="shared" ref="T5:T68" si="34">$T$3</f>
        <v>414.1029593555055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16</v>
      </c>
      <c r="AI5" s="14">
        <f>IF('Données projet'!$A$62&gt;35,AI4+AH5-AQ4,IF(A5&lt;'Données projet'!$A$62,$AF$205^A5,IF(A5='Données projet'!$A$62,'Données projet'!$B$62,AI4+AH5-AQ4)))</f>
        <v>1.876142544912387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21.875</v>
      </c>
      <c r="N6" s="14">
        <f>IF('Données projet'!$A$36&gt;35,N5+M6-V5,IF(A6&lt;'Données projet'!$A$36,$K$205^A6,IF(A6='Données projet'!$A$36,'Données projet'!$B$36,N5+M6-V5)))</f>
        <v>2.9992506270015213</v>
      </c>
      <c r="O6" s="14">
        <f>N6*VLOOKUP('Données projet'!$B$9,Paramètres!$A$1:$I$89,3,0)*VLOOKUP('Données projet'!$B$9,Paramètres!$A$1:$I$89,5,0)</f>
        <v>1.5346565608241387</v>
      </c>
      <c r="P6" s="14">
        <f t="shared" si="33"/>
        <v>0.67283962721567792</v>
      </c>
      <c r="Q6" s="22">
        <f t="shared" si="2"/>
        <v>3.8447225275026802</v>
      </c>
      <c r="R6" s="62">
        <f t="shared" si="0"/>
        <v>177.19974309738757</v>
      </c>
      <c r="S6" s="62">
        <f ca="1">AVERAGE(OFFSET($R$3,0,0,'Données projet'!$E$9+1,1))-AVERAGE(OFFSET($H$3,0,0,'Données projet'!$E$9+1,1))</f>
        <v>79.432093675559855</v>
      </c>
      <c r="T6" s="62">
        <f t="shared" si="34"/>
        <v>414.1029593555055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16</v>
      </c>
      <c r="AI6" s="14">
        <f>IF('Données projet'!$A$62&gt;35,AI5+AH6-AQ5,IF(A6&lt;'Données projet'!$A$62,$AF$205^A6,IF(A6='Données projet'!$A$62,'Données projet'!$B$62,AI5+AH6-AQ5)))</f>
        <v>2.5697965868506505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21.875</v>
      </c>
      <c r="N7" s="14">
        <f>IF('Données projet'!$A$36&gt;35,N6+M7-V6,IF(A7&lt;'Données projet'!$A$36,$K$205^A7,IF(A7='Données projet'!$A$36,'Données projet'!$B$36,N6+M7-V6)))</f>
        <v>4.3253077270721123</v>
      </c>
      <c r="O7" s="14">
        <f>N7*VLOOKUP('Données projet'!$B$9,Paramètres!$A$1:$I$89,3,0)*VLOOKUP('Données projet'!$B$9,Paramètres!$A$1:$I$89,5,0)</f>
        <v>2.2131734577882587</v>
      </c>
      <c r="P7" s="14">
        <f t="shared" si="33"/>
        <v>0.92983891766529636</v>
      </c>
      <c r="Q7" s="22">
        <f t="shared" si="2"/>
        <v>5.4740798872482737</v>
      </c>
      <c r="R7" s="62">
        <f t="shared" si="0"/>
        <v>181.56020195142523</v>
      </c>
      <c r="S7" s="62">
        <f ca="1">AVERAGE(OFFSET($R$3,0,0,'Données projet'!$E$9+1,1))-AVERAGE(OFFSET($H$3,0,0,'Données projet'!$E$9+1,1))</f>
        <v>79.432093675559855</v>
      </c>
      <c r="T7" s="62">
        <f t="shared" si="34"/>
        <v>414.1029593555055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16</v>
      </c>
      <c r="AI7" s="14">
        <f>IF('Données projet'!$A$62&gt;35,AI6+AH7-AQ6,IF(A7&lt;'Données projet'!$A$62,$AF$205^A7,IF(A7='Données projet'!$A$62,'Données projet'!$B$62,AI6+AH7-AQ6)))</f>
        <v>3.5199108488303281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21.875</v>
      </c>
      <c r="N8" s="14">
        <f>IF('Données projet'!$A$36&gt;35,N7+M8-V7,IF(A8&lt;'Données projet'!$A$36,$K$205^A8,IF(A8='Données projet'!$A$36,'Données projet'!$B$36,N7+M8-V7)))</f>
        <v>6.2376537543890391</v>
      </c>
      <c r="O8" s="14">
        <f>N8*VLOOKUP('Données projet'!$B$9,Paramètres!$A$1:$I$89,3,0)*VLOOKUP('Données projet'!$B$9,Paramètres!$A$1:$I$89,5,0)</f>
        <v>3.1916826730457837</v>
      </c>
      <c r="P8" s="14">
        <f t="shared" si="33"/>
        <v>1.2850022172190267</v>
      </c>
      <c r="Q8" s="22">
        <f t="shared" si="2"/>
        <v>7.7968928505445438</v>
      </c>
      <c r="R8" s="62">
        <f t="shared" si="0"/>
        <v>186.58794072699189</v>
      </c>
      <c r="S8" s="62">
        <f ca="1">AVERAGE(OFFSET($R$3,0,0,'Données projet'!$E$9+1,1))-AVERAGE(OFFSET($H$3,0,0,'Données projet'!$E$9+1,1))</f>
        <v>79.432093675559855</v>
      </c>
      <c r="T8" s="62">
        <f t="shared" si="34"/>
        <v>414.1029593555055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16</v>
      </c>
      <c r="AI8" s="14">
        <f>IF('Données projet'!$A$62&gt;35,AI7+AH8-AQ7,IF(A8&lt;'Données projet'!$A$62,$AF$205^A8,IF(A8='Données projet'!$A$62,'Données projet'!$B$62,AI7+AH8-AQ7)))</f>
        <v>4.8213047083611453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21.875</v>
      </c>
      <c r="N9" s="14">
        <f>IF('Données projet'!$A$36&gt;35,N8+M9-V8,IF(A9&lt;'Données projet'!$A$36,$K$205^A9,IF(A9='Données projet'!$A$36,'Données projet'!$B$36,N8+M9-V8)))</f>
        <v>8.9955043235690209</v>
      </c>
      <c r="O9" s="14">
        <f>N9*VLOOKUP('Données projet'!$B$9,Paramètres!$A$1:$I$89,3,0)*VLOOKUP('Données projet'!$B$9,Paramètres!$A$1:$I$89,5,0)</f>
        <v>4.602819652283797</v>
      </c>
      <c r="P9" s="14">
        <f t="shared" si="33"/>
        <v>1.7758244647404513</v>
      </c>
      <c r="Q9" s="22">
        <f t="shared" si="2"/>
        <v>11.109471837150565</v>
      </c>
      <c r="R9" s="62">
        <f t="shared" si="0"/>
        <v>192.57972393340953</v>
      </c>
      <c r="S9" s="62">
        <f ca="1">AVERAGE(OFFSET($R$3,0,0,'Données projet'!$E$9+1,1))-AVERAGE(OFFSET($H$3,0,0,'Données projet'!$E$9+1,1))</f>
        <v>79.432093675559855</v>
      </c>
      <c r="T9" s="62">
        <f t="shared" si="34"/>
        <v>414.1029593555055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16</v>
      </c>
      <c r="AI9" s="14">
        <f>IF('Données projet'!$A$62&gt;35,AI8+AH9-AQ8,IF(A9&lt;'Données projet'!$A$62,$AF$205^A9,IF(A9='Données projet'!$A$62,'Données projet'!$B$62,AI8+AH9-AQ8)))</f>
        <v>6.6038544977892517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21.875</v>
      </c>
      <c r="N10" s="14">
        <f>IF('Données projet'!$A$36&gt;35,N9+M10-V9,IF(A10&lt;'Données projet'!$A$36,$K$205^A10,IF(A10='Données projet'!$A$36,'Données projet'!$B$36,N9+M10-V9)))</f>
        <v>12.972681912395558</v>
      </c>
      <c r="O10" s="14">
        <f>N10*VLOOKUP('Données projet'!$B$9,Paramètres!$A$1:$I$89,3,0)*VLOOKUP('Données projet'!$B$9,Paramètres!$A$1:$I$89,5,0)</f>
        <v>6.6378618809345591</v>
      </c>
      <c r="P10" s="14">
        <f t="shared" si="33"/>
        <v>2.4541222476608313</v>
      </c>
      <c r="Q10" s="22">
        <f t="shared" si="2"/>
        <v>15.835205690636974</v>
      </c>
      <c r="R10" s="62">
        <f t="shared" si="0"/>
        <v>199.9593866263732</v>
      </c>
      <c r="S10" s="62">
        <f ca="1">AVERAGE(OFFSET($R$3,0,0,'Données projet'!$E$9+1,1))-AVERAGE(OFFSET($H$3,0,0,'Données projet'!$E$9+1,1))</f>
        <v>79.432093675559855</v>
      </c>
      <c r="T10" s="62">
        <f t="shared" si="34"/>
        <v>414.1029593555055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16</v>
      </c>
      <c r="AI10" s="14">
        <f>IF('Données projet'!$A$62&gt;35,AI9+AH10-AQ9,IF(A10&lt;'Données projet'!$A$62,$AF$205^A10,IF(A10='Données projet'!$A$62,'Données projet'!$B$62,AI9+AH10-AQ9)))</f>
        <v>9.0454548853427532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21.875</v>
      </c>
      <c r="N11" s="14">
        <f>IF('Données projet'!$A$36&gt;35,N10+M11-V10,IF(A11&lt;'Données projet'!$A$36,$K$205^A11,IF(A11='Données projet'!$A$36,'Données projet'!$B$36,N10+M11-V10)))</f>
        <v>18.708286933869722</v>
      </c>
      <c r="O11" s="14">
        <f>N11*VLOOKUP('Données projet'!$B$9,Paramètres!$A$1:$I$89,3,0)*VLOOKUP('Données projet'!$B$9,Paramètres!$A$1:$I$89,5,0)</f>
        <v>9.5726562583224606</v>
      </c>
      <c r="P11" s="14">
        <f t="shared" si="33"/>
        <v>3.3915041300797211</v>
      </c>
      <c r="Q11" s="22">
        <f t="shared" si="2"/>
        <v>22.57924600980046</v>
      </c>
      <c r="R11" s="62">
        <f t="shared" si="0"/>
        <v>209.33251887602103</v>
      </c>
      <c r="S11" s="62">
        <f ca="1">AVERAGE(OFFSET($R$3,0,0,'Données projet'!$E$9+1,1))-AVERAGE(OFFSET($H$3,0,0,'Données projet'!$E$9+1,1))</f>
        <v>79.432093675559855</v>
      </c>
      <c r="T11" s="62">
        <f t="shared" si="34"/>
        <v>414.1029593555055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16</v>
      </c>
      <c r="AI11" s="14">
        <f>IF('Données projet'!$A$62&gt;35,AI10+AH11-AQ10,IF(A11&lt;'Données projet'!$A$62,$AF$205^A11,IF(A11='Données projet'!$A$62,'Données projet'!$B$62,AI10+AH11-AQ10)))</f>
        <v>12.38977238371344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21.875</v>
      </c>
      <c r="N12" s="14">
        <f>IF('Données projet'!$A$36&gt;35,N11+M12-V11,IF(A12&lt;'Données projet'!$A$36,$K$205^A12,IF(A12='Données projet'!$A$36,'Données projet'!$B$36,N11+M12-V11)))</f>
        <v>26.979771982659283</v>
      </c>
      <c r="O12" s="14">
        <f>N12*VLOOKUP('Données projet'!$B$9,Paramètres!$A$1:$I$89,3,0)*VLOOKUP('Données projet'!$B$9,Paramètres!$A$1:$I$89,5,0)</f>
        <v>13.805009728087102</v>
      </c>
      <c r="P12" s="14">
        <f t="shared" si="33"/>
        <v>4.6869304393093394</v>
      </c>
      <c r="Q12" s="22">
        <f t="shared" si="2"/>
        <v>32.206795791548807</v>
      </c>
      <c r="R12" s="62">
        <f t="shared" si="0"/>
        <v>221.56475454410489</v>
      </c>
      <c r="S12" s="62">
        <f ca="1">AVERAGE(OFFSET($R$3,0,0,'Données projet'!$E$9+1,1))-AVERAGE(OFFSET($H$3,0,0,'Données projet'!$E$9+1,1))</f>
        <v>79.432093675559855</v>
      </c>
      <c r="T12" s="62">
        <f t="shared" si="34"/>
        <v>414.1029593555055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16</v>
      </c>
      <c r="AI12" s="14">
        <f>IF('Données projet'!$A$62&gt;35,AI11+AH12-AQ11,IF(A12&lt;'Données projet'!$A$62,$AF$205^A12,IF(A12='Données projet'!$A$62,'Données projet'!$B$62,AI11+AH12-AQ11)))</f>
        <v>16.970562748477136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21.875</v>
      </c>
      <c r="N13" s="14">
        <f>IF('Données projet'!$A$36&gt;35,N12+M13-V12,IF(A13&lt;'Données projet'!$A$36,$K$205^A13,IF(A13='Données projet'!$A$36,'Données projet'!$B$36,N12+M13-V12)))</f>
        <v>38.908324359643679</v>
      </c>
      <c r="O13" s="14">
        <f>N13*VLOOKUP('Données projet'!$B$9,Paramètres!$A$1:$I$89,3,0)*VLOOKUP('Données projet'!$B$9,Paramètres!$A$1:$I$89,5,0)</f>
        <v>19.90861140834248</v>
      </c>
      <c r="P13" s="14">
        <f t="shared" si="33"/>
        <v>6.4771606049638173</v>
      </c>
      <c r="Q13" s="22">
        <f t="shared" si="2"/>
        <v>45.955219589841796</v>
      </c>
      <c r="R13" s="62">
        <f t="shared" si="0"/>
        <v>237.89388157488668</v>
      </c>
      <c r="S13" s="62">
        <f ca="1">AVERAGE(OFFSET($R$3,0,0,'Données projet'!$E$9+1,1))-AVERAGE(OFFSET($H$3,0,0,'Données projet'!$E$9+1,1))</f>
        <v>79.432093675559855</v>
      </c>
      <c r="T13" s="62">
        <f t="shared" si="34"/>
        <v>414.1029593555055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16</v>
      </c>
      <c r="AI13" s="14">
        <f>IF('Données projet'!$A$62&gt;35,AI12+AH13-AQ12,IF(A13&lt;'Données projet'!$A$62,$AF$205^A13,IF(A13='Données projet'!$A$62,'Données projet'!$B$62,AI12+AH13-AQ12)))</f>
        <v>23.244979090865346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21.875</v>
      </c>
      <c r="N14" s="14">
        <f>IF('Données projet'!$A$36&gt;35,N13+M14-V13,IF(A14&lt;'Données projet'!$A$36,$K$205^A14,IF(A14='Données projet'!$A$36,'Données projet'!$B$36,N13+M14-V13)))</f>
        <v>56.110841316533133</v>
      </c>
      <c r="O14" s="14">
        <f>N14*VLOOKUP('Données projet'!$B$9,Paramètres!$A$1:$I$89,3,0)*VLOOKUP('Données projet'!$B$9,Paramètres!$A$1:$I$89,5,0)</f>
        <v>28.710795284843677</v>
      </c>
      <c r="P14" s="14">
        <f t="shared" si="33"/>
        <v>8.951190986456675</v>
      </c>
      <c r="Q14" s="22">
        <f t="shared" si="2"/>
        <v>65.594626089181432</v>
      </c>
      <c r="R14" s="62">
        <f t="shared" si="0"/>
        <v>260.09042469829558</v>
      </c>
      <c r="S14" s="62">
        <f ca="1">AVERAGE(OFFSET($R$3,0,0,'Données projet'!$E$9+1,1))-AVERAGE(OFFSET($H$3,0,0,'Données projet'!$E$9+1,1))</f>
        <v>79.432093675559855</v>
      </c>
      <c r="T14" s="62">
        <f t="shared" si="34"/>
        <v>414.1029593555055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16</v>
      </c>
      <c r="AI14" s="14">
        <f>IF('Données projet'!$A$62&gt;35,AI13+AH14-AQ13,IF(A14&lt;'Données projet'!$A$62,$AF$205^A14,IF(A14='Données projet'!$A$62,'Données projet'!$B$62,AI13+AH14-AQ13)))</f>
        <v>31.839194783523247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21.875</v>
      </c>
      <c r="N15" s="14">
        <f>IF('Données projet'!$A$36&gt;35,N14+M15-V14,IF(A15&lt;'Données projet'!$A$36,$K$205^A15,IF(A15='Données projet'!$A$36,'Données projet'!$B$36,N14+M15-V14)))</f>
        <v>80.919098035348952</v>
      </c>
      <c r="O15" s="14">
        <f>N15*VLOOKUP('Données projet'!$B$9,Paramètres!$A$1:$I$89,3,0)*VLOOKUP('Données projet'!$B$9,Paramètres!$A$1:$I$89,5,0)</f>
        <v>41.404684082727357</v>
      </c>
      <c r="P15" s="14">
        <f t="shared" si="33"/>
        <v>12.370207404556234</v>
      </c>
      <c r="Q15" s="22">
        <f t="shared" si="2"/>
        <v>93.657936007018918</v>
      </c>
      <c r="R15" s="62">
        <f t="shared" si="0"/>
        <v>290.68771345975176</v>
      </c>
      <c r="S15" s="62">
        <f ca="1">AVERAGE(OFFSET($R$3,0,0,'Données projet'!$E$9+1,1))-AVERAGE(OFFSET($H$3,0,0,'Données projet'!$E$9+1,1))</f>
        <v>79.432093675559855</v>
      </c>
      <c r="T15" s="62">
        <f t="shared" si="34"/>
        <v>414.1029593555055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16</v>
      </c>
      <c r="AI15" s="14">
        <f>IF('Données projet'!$A$62&gt;35,AI14+AH15-AQ14,IF(A15&lt;'Données projet'!$A$62,$AF$205^A15,IF(A15='Données projet'!$A$62,'Données projet'!$B$62,AI14+AH15-AQ14)))</f>
        <v>43.610894227971336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21.875</v>
      </c>
      <c r="N16" s="14">
        <f>IF('Données projet'!$A$36&gt;35,N15+M16-V15,IF(A16&lt;'Données projet'!$A$36,$K$205^A16,IF(A16='Données projet'!$A$36,'Données projet'!$B$36,N15+M16-V15)))</f>
        <v>116.69581623123987</v>
      </c>
      <c r="O16" s="14">
        <f>N16*VLOOKUP('Données projet'!$B$9,Paramètres!$A$1:$I$89,3,0)*VLOOKUP('Données projet'!$B$9,Paramètres!$A$1:$I$89,5,0)</f>
        <v>59.710915249200823</v>
      </c>
      <c r="P16" s="14">
        <f t="shared" si="33"/>
        <v>17.095158785379848</v>
      </c>
      <c r="Q16" s="22">
        <f t="shared" si="2"/>
        <v>133.77057894356133</v>
      </c>
      <c r="R16" s="62">
        <f t="shared" si="0"/>
        <v>333.31157919518012</v>
      </c>
      <c r="S16" s="62">
        <f ca="1">AVERAGE(OFFSET($R$3,0,0,'Données projet'!$E$9+1,1))-AVERAGE(OFFSET($H$3,0,0,'Données projet'!$E$9+1,1))</f>
        <v>79.432093675559855</v>
      </c>
      <c r="T16" s="62">
        <f t="shared" si="34"/>
        <v>414.1029593555055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16</v>
      </c>
      <c r="AI16" s="14">
        <f>IF('Données projet'!$A$62&gt;35,AI15+AH16-AQ15,IF(A16&lt;'Données projet'!$A$62,$AF$205^A16,IF(A16='Données projet'!$A$62,'Données projet'!$B$62,AI15+AH16-AQ15)))</f>
        <v>59.734867929120504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21.875</v>
      </c>
      <c r="N17" s="14">
        <f>IF('Données projet'!$A$36&gt;35,N16+M17-V16,IF(A17&lt;'Données projet'!$A$36,$K$205^A17,IF(A17='Données projet'!$A$36,'Données projet'!$B$36,N16+M17-V16)))</f>
        <v>168.2904760001949</v>
      </c>
      <c r="O17" s="14">
        <f>N17*VLOOKUP('Données projet'!$B$9,Paramètres!$A$1:$I$89,3,0)*VLOOKUP('Données projet'!$B$9,Paramètres!$A$1:$I$89,5,0)</f>
        <v>86.110870759779729</v>
      </c>
      <c r="P17" s="14">
        <f t="shared" si="33"/>
        <v>23.624862893544499</v>
      </c>
      <c r="Q17" s="22">
        <f t="shared" si="2"/>
        <v>191.12306944620636</v>
      </c>
      <c r="R17" s="62">
        <f t="shared" si="0"/>
        <v>393.15293121847958</v>
      </c>
      <c r="S17" s="62">
        <f ca="1">AVERAGE(OFFSET($R$3,0,0,'Données projet'!$E$9+1,1))-AVERAGE(OFFSET($H$3,0,0,'Données projet'!$E$9+1,1))</f>
        <v>79.432093675559855</v>
      </c>
      <c r="T17" s="62">
        <f t="shared" si="34"/>
        <v>414.1029593555055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16</v>
      </c>
      <c r="AI17" s="14">
        <f>IF('Données projet'!$A$62&gt;35,AI16+AH17-AQ16,IF(A17&lt;'Données projet'!$A$62,$AF$205^A17,IF(A17='Données projet'!$A$62,'Données projet'!$B$62,AI16+AH17-AQ16)))</f>
        <v>81.820254082771058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21.875</v>
      </c>
      <c r="N18" s="14">
        <f>IF('Données projet'!$A$36&gt;35,N17+M18-V17,IF(A18&lt;'Données projet'!$A$36,$K$205^A18,IF(A18='Données projet'!$A$36,'Données projet'!$B$36,N17+M18-V17)))</f>
        <v>242.69665551891791</v>
      </c>
      <c r="O18" s="14">
        <f>N18*VLOOKUP('Données projet'!$B$9,Paramètres!$A$1:$I$89,3,0)*VLOOKUP('Données projet'!$B$9,Paramètres!$A$1:$I$89,5,0)</f>
        <v>124.18302469591993</v>
      </c>
      <c r="P18" s="14">
        <f t="shared" si="33"/>
        <v>32.648667014201934</v>
      </c>
      <c r="Q18" s="22">
        <f t="shared" si="2"/>
        <v>273.14852972846217</v>
      </c>
      <c r="R18" s="62">
        <f t="shared" si="0"/>
        <v>477.64527966134324</v>
      </c>
      <c r="S18" s="62">
        <f ca="1">AVERAGE(OFFSET($R$3,0,0,'Données projet'!$E$9+1,1))-AVERAGE(OFFSET($H$3,0,0,'Données projet'!$E$9+1,1))</f>
        <v>79.432093675559855</v>
      </c>
      <c r="T18" s="62">
        <f t="shared" si="34"/>
        <v>414.1029593555055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16</v>
      </c>
      <c r="AI18" s="14">
        <f>IF('Données projet'!$A$62&gt;35,AI17+AH18-AQ17,IF(A18&lt;'Données projet'!$A$62,$AF$205^A18,IF(A18='Données projet'!$A$62,'Données projet'!$B$62,AI17+AH18-AQ17)))</f>
        <v>112.07112713654547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350</v>
      </c>
      <c r="L19" s="13">
        <f>VLOOKUP(A19,'Données projet'!$A$35:$I$55,9,0)</f>
        <v>21.875</v>
      </c>
      <c r="M19" s="13">
        <f t="array" ref="M19">INDEX(L:L,MIN(IF(ISNUMBER(L19:L215),ROW(L19:L215),"")))</f>
        <v>21.875</v>
      </c>
      <c r="N19" s="14">
        <f>IF('Données projet'!$A$36&gt;35,N18+M19-V18,IF(A19&lt;'Données projet'!$A$36,$K$205^A19,IF(A19='Données projet'!$A$36,'Données projet'!$B$36,N18+M19-V18)))</f>
        <v>350</v>
      </c>
      <c r="O19" s="14">
        <f>N19*VLOOKUP('Données projet'!$B$9,Paramètres!$A$1:$I$89,3,0)*VLOOKUP('Données projet'!$B$9,Paramètres!$A$1:$I$89,5,0)</f>
        <v>179.08800000000002</v>
      </c>
      <c r="P19" s="14">
        <f t="shared" si="33"/>
        <v>45.119223023956835</v>
      </c>
      <c r="Q19" s="22">
        <f t="shared" si="2"/>
        <v>390.49424676672487</v>
      </c>
      <c r="R19" s="62">
        <f t="shared" si="0"/>
        <v>597.43629268883888</v>
      </c>
      <c r="S19" s="62">
        <f ca="1">AVERAGE(OFFSET($R$3,0,0,'Données projet'!$E$9+1,1))-AVERAGE(OFFSET($H$3,0,0,'Données projet'!$E$9+1,1))</f>
        <v>79.432093675559855</v>
      </c>
      <c r="T19" s="62">
        <f t="shared" si="34"/>
        <v>414.1029593555055</v>
      </c>
      <c r="U19" s="16">
        <f>IF(ISNA(VLOOKUP(A19,'Données projet'!$A$35:$I$55,3,0)),0,VLOOKUP(A19,'Données projet'!$A$35:$I$55,3,0))</f>
        <v>1</v>
      </c>
      <c r="V19" s="16">
        <f>IF(ISNA(VLOOKUP(A19,'Données projet'!$A$35:$I$55,4,0)),0,VLOOKUP(A19,'Données projet'!$A$35:$I$55,4,0))</f>
        <v>350</v>
      </c>
      <c r="W19" s="17">
        <f>IF(ISNA(VLOOKUP(A19,'Données projet'!$A$35:$I$55,5,0)),0%,VLOOKUP(A19,'Données projet'!$A$35:$I$55,5,0)*VLOOKUP('Données projet'!$B$9,Paramètres!$A$1:$I$89,7,0))</f>
        <v>0.48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0.2</v>
      </c>
      <c r="Z19" s="23">
        <f>EXP(-LN(2)/35)*Z18+(1-EXP(-LN(2)/35))/(LN(2)/35)*V19*W19*VLOOKUP('Données projet'!$B$9,Paramètres!$A$1:$I$89,3,0)*0.475*44/12</f>
        <v>95.028710078302552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33.794869616569947</v>
      </c>
      <c r="AC19" s="24">
        <f t="shared" si="3"/>
        <v>128.82357969487251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16</v>
      </c>
      <c r="AI19" s="14">
        <f>IF('Données projet'!$A$62&gt;35,AI18+AH19-AQ18,IF(A19&lt;'Données projet'!$A$62,$AF$205^A19,IF(A19='Données projet'!$A$62,'Données projet'!$B$62,AI18+AH19-AQ18)))</f>
        <v>153.50645972022824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0</v>
      </c>
      <c r="O20" s="14">
        <f>N20*VLOOKUP('Données projet'!$B$9,Paramètres!$A$1:$I$89,3,0)*VLOOKUP('Données projet'!$B$9,Paramètres!$A$1:$I$89,5,0)</f>
        <v>0</v>
      </c>
      <c r="P20" s="14" t="e">
        <f t="shared" si="33"/>
        <v>#NUM!</v>
      </c>
      <c r="Q20" s="22" t="e">
        <f t="shared" si="2"/>
        <v>#NUM!</v>
      </c>
      <c r="R20" s="62" t="e">
        <f t="shared" si="0"/>
        <v>#NUM!</v>
      </c>
      <c r="S20" s="62">
        <f ca="1">AVERAGE(OFFSET($R$3,0,0,'Données projet'!$E$9+1,1))-AVERAGE(OFFSET($H$3,0,0,'Données projet'!$E$9+1,1))</f>
        <v>79.432093675559855</v>
      </c>
      <c r="T20" s="62">
        <f t="shared" si="34"/>
        <v>414.1029593555055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93.165255035456937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23.89658147519183</v>
      </c>
      <c r="AC20" s="24">
        <f t="shared" si="3"/>
        <v>117.06183651064876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16</v>
      </c>
      <c r="AI20" s="14">
        <f>IF('Données projet'!$A$62&gt;35,AI19+AH20-AQ19,IF(A20&lt;'Données projet'!$A$62,$AF$205^A20,IF(A20='Données projet'!$A$62,'Données projet'!$B$62,AI19+AH20-AQ19)))</f>
        <v>210.26140967715807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2" t="e">
        <f t="shared" si="0"/>
        <v>#NUM!</v>
      </c>
      <c r="S21" s="62">
        <f ca="1">AVERAGE(OFFSET($R$3,0,0,'Données projet'!$E$9+1,1))-AVERAGE(OFFSET($H$3,0,0,'Données projet'!$E$9+1,1))</f>
        <v>79.432093675559855</v>
      </c>
      <c r="T21" s="62">
        <f t="shared" si="34"/>
        <v>414.1029593555055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91.338341209406181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16.897434808284977</v>
      </c>
      <c r="AC21" s="24">
        <f t="shared" si="3"/>
        <v>108.23577601769117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288</v>
      </c>
      <c r="AG21" s="13">
        <f>VLOOKUP(A21,'Données projet'!$A$61:$I$81,9,0)</f>
        <v>16</v>
      </c>
      <c r="AH21" s="13">
        <f t="array" ref="AH21">INDEX(AG:AG,MIN(IF(ISNUMBER(AG21:AG217),ROW(AG21:AG217),"")))</f>
        <v>16</v>
      </c>
      <c r="AI21" s="14">
        <f>IF('Données projet'!$A$62&gt;35,AI20+AH21-AQ20,IF(A21&lt;'Données projet'!$A$62,$AF$205^A21,IF(A21='Données projet'!$A$62,'Données projet'!$B$62,AI20+AH21-AQ20)))</f>
        <v>288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288</v>
      </c>
      <c r="AR21" s="17" t="e">
        <f>IF(ISNA(VLOOKUP(A21,'Données projet'!$A$61:$I$81,5,0)),0%,VLOOKUP(A21,'Données projet'!$A$61:$I$81,5,0)*VLOOKUP('Données projet'!$B$10,Paramètres!$A$1:$I$89,7,0))</f>
        <v>#N/A</v>
      </c>
      <c r="AS21" s="17" t="e">
        <f>IF(ISNA(VLOOKUP(A21,'Données projet'!$A$61:$I$81,6,0)),0%,VLOOKUP(A21,'Données projet'!$A$61:$I$81,6,0)*VLOOKUP('Données projet'!$B$10,Paramètres!$A$1:$I$89,7,0))</f>
        <v>#N/A</v>
      </c>
      <c r="AT21" s="17">
        <f>IF(ISNA(VLOOKUP(A21,'Données projet'!$A$61:$I$81,7,0)),0%,VLOOKUP(A21,'Données projet'!$A$61:$I$81,7,0))</f>
        <v>0.2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79.432093675559855</v>
      </c>
      <c r="T22" s="62">
        <f t="shared" si="34"/>
        <v>414.1029593555055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89.547252049176876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11.948290737595919</v>
      </c>
      <c r="AC22" s="24">
        <f t="shared" si="3"/>
        <v>101.4955427867728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79.432093675559855</v>
      </c>
      <c r="T23" s="62">
        <f t="shared" si="34"/>
        <v>414.1029593555055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87.791285054923151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8.4487174041424904</v>
      </c>
      <c r="AC23" s="24">
        <f t="shared" si="3"/>
        <v>96.240002459065636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79.432093675559855</v>
      </c>
      <c r="T24" s="62">
        <f t="shared" si="34"/>
        <v>414.1029593555055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86.06975150239262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5.9741453687979602</v>
      </c>
      <c r="AC24" s="24">
        <f t="shared" si="3"/>
        <v>92.043896871190583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79.432093675559855</v>
      </c>
      <c r="T25" s="62">
        <f t="shared" si="34"/>
        <v>414.1029593555055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84.381976172795433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4.2243587020712461</v>
      </c>
      <c r="AC25" s="24">
        <f t="shared" si="3"/>
        <v>88.606334874866675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79.432093675559855</v>
      </c>
      <c r="T26" s="62">
        <f t="shared" si="34"/>
        <v>414.1029593555055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82.727297087970342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2.9870726843989805</v>
      </c>
      <c r="AC26" s="24">
        <f t="shared" si="3"/>
        <v>85.714369772369324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79.432093675559855</v>
      </c>
      <c r="T27" s="62">
        <f t="shared" si="34"/>
        <v>414.1029593555055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81.10506525074409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2.112179351035623</v>
      </c>
      <c r="AC27" s="24">
        <f t="shared" si="3"/>
        <v>83.217244601779711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79.432093675559855</v>
      </c>
      <c r="T28" s="62">
        <f t="shared" si="34"/>
        <v>414.1029593555055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79.514644390382117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1.4935363421994903</v>
      </c>
      <c r="AC28" s="24">
        <f t="shared" si="3"/>
        <v>81.008180732581607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79.432093675559855</v>
      </c>
      <c r="T29" s="62">
        <f t="shared" si="34"/>
        <v>414.1029593555055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77.955410713030915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1.0560896755178115</v>
      </c>
      <c r="AC29" s="24">
        <f t="shared" si="3"/>
        <v>79.011500388548725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79.432093675559855</v>
      </c>
      <c r="T30" s="62">
        <f t="shared" si="34"/>
        <v>414.1029593555055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76.426752657053925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0.74676817109974514</v>
      </c>
      <c r="AC30" s="24">
        <f t="shared" si="3"/>
        <v>77.17352082815367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79.432093675559855</v>
      </c>
      <c r="T31" s="62">
        <f t="shared" si="34"/>
        <v>414.1029593555055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74.928070653165292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0.52804483775890576</v>
      </c>
      <c r="AC31" s="24">
        <f t="shared" si="3"/>
        <v>75.456115490924205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79.432093675559855</v>
      </c>
      <c r="T32" s="62">
        <f t="shared" si="34"/>
        <v>414.1029593555055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73.458776889267156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0.37338408554987257</v>
      </c>
      <c r="AC32" s="24">
        <f t="shared" si="3"/>
        <v>73.832160974817029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79.432093675559855</v>
      </c>
      <c r="T33" s="62">
        <f t="shared" si="34"/>
        <v>414.1029593555055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72.018295079898365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0.26402241887945288</v>
      </c>
      <c r="AC33" s="24">
        <f t="shared" si="3"/>
        <v>72.282317498777815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79.432093675559855</v>
      </c>
      <c r="T34" s="62">
        <f t="shared" si="34"/>
        <v>414.1029593555055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70.606060240204144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0.18669204277493628</v>
      </c>
      <c r="AC34" s="24">
        <f t="shared" si="3"/>
        <v>70.79275228297908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79.432093675559855</v>
      </c>
      <c r="T35" s="62">
        <f t="shared" si="34"/>
        <v>414.1029593555055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69.221518464338132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0.13201120943972644</v>
      </c>
      <c r="AC35" s="24">
        <f t="shared" si="3"/>
        <v>69.353529673777857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79.432093675559855</v>
      </c>
      <c r="T36" s="62">
        <f t="shared" si="34"/>
        <v>414.1029593555055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67.864126708209753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9.3346021387468142E-2</v>
      </c>
      <c r="AC36" s="24">
        <f t="shared" si="3"/>
        <v>67.957472729597214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79.432093675559855</v>
      </c>
      <c r="T37" s="62">
        <f t="shared" si="34"/>
        <v>414.1029593555055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66.533352576491836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6.600560471986322E-2</v>
      </c>
      <c r="AC37" s="24">
        <f t="shared" si="3"/>
        <v>66.599358181211699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79.432093675559855</v>
      </c>
      <c r="T38" s="62">
        <f t="shared" si="34"/>
        <v>414.1029593555055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65.228674113804828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4.6673010693734071E-2</v>
      </c>
      <c r="AC38" s="24">
        <f t="shared" si="3"/>
        <v>65.275347124498566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79.432093675559855</v>
      </c>
      <c r="T39" s="62">
        <f t="shared" si="34"/>
        <v>414.1029593555055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63.949579599995829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3.300280235993161E-2</v>
      </c>
      <c r="AC39" s="24">
        <f t="shared" si="3"/>
        <v>63.98258240235576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79.432093675559855</v>
      </c>
      <c r="T40" s="62">
        <f t="shared" si="34"/>
        <v>414.1029593555055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62.695567349432004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2.3336505346867036E-2</v>
      </c>
      <c r="AC40" s="24">
        <f t="shared" si="3"/>
        <v>62.718903854778873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79.432093675559855</v>
      </c>
      <c r="T41" s="62">
        <f t="shared" si="34"/>
        <v>414.1029593555055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61.466145514229787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1.6501401179965805E-2</v>
      </c>
      <c r="AC41" s="24">
        <f t="shared" si="3"/>
        <v>61.482646915409752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79.432093675559855</v>
      </c>
      <c r="T42" s="62">
        <f t="shared" si="34"/>
        <v>414.1029593555055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60.260831891342612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1.1668252673433518E-2</v>
      </c>
      <c r="AC42" s="24">
        <f t="shared" si="3"/>
        <v>60.272500144016043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79.432093675559855</v>
      </c>
      <c r="T43" s="62">
        <f t="shared" si="34"/>
        <v>414.1029593555055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59.079153733431532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8.2507005899829025E-3</v>
      </c>
      <c r="AC43" s="24">
        <f t="shared" si="3"/>
        <v>59.087404434021515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79.432093675559855</v>
      </c>
      <c r="T44" s="62">
        <f t="shared" si="34"/>
        <v>414.1029593555055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57.920647563444582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5.8341263367167589E-3</v>
      </c>
      <c r="AC44" s="24">
        <f t="shared" si="3"/>
        <v>57.926481689781298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79.432093675559855</v>
      </c>
      <c r="T45" s="62">
        <f t="shared" si="34"/>
        <v>414.1029593555055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56.784858992832085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4.1253502949914513E-3</v>
      </c>
      <c r="AC45" s="24">
        <f t="shared" si="3"/>
        <v>56.788984343127076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79.432093675559855</v>
      </c>
      <c r="T46" s="62">
        <f t="shared" si="34"/>
        <v>414.1029593555055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55.671342543326681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2.9170631683583794E-3</v>
      </c>
      <c r="AC46" s="24">
        <f t="shared" si="3"/>
        <v>55.674259606495042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79.432093675559855</v>
      </c>
      <c r="T47" s="62">
        <f t="shared" si="34"/>
        <v>414.1029593555055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54.579661472218106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2.0626751474957256E-3</v>
      </c>
      <c r="AC47" s="24">
        <f t="shared" si="3"/>
        <v>54.581724147365605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79.432093675559855</v>
      </c>
      <c r="T48" s="62">
        <f t="shared" si="34"/>
        <v>414.1029593555055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53.509387601054264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1.4585315841791897E-3</v>
      </c>
      <c r="AC48" s="24">
        <f t="shared" si="3"/>
        <v>53.510846132638441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79.432093675559855</v>
      </c>
      <c r="T49" s="62">
        <f t="shared" si="34"/>
        <v>414.1029593555055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52.460101147701344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1.0313375737478628E-3</v>
      </c>
      <c r="AC49" s="24">
        <f t="shared" si="3"/>
        <v>52.461132485275094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79.432093675559855</v>
      </c>
      <c r="T50" s="62">
        <f t="shared" si="34"/>
        <v>414.1029593555055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51.431390561697128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7.2926579208959486E-4</v>
      </c>
      <c r="AC50" s="24">
        <f t="shared" si="3"/>
        <v>51.432119827489217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79.432093675559855</v>
      </c>
      <c r="T51" s="62">
        <f t="shared" si="34"/>
        <v>414.1029593555055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50.422852362832955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5.1566878687393141E-4</v>
      </c>
      <c r="AC51" s="24">
        <f t="shared" si="3"/>
        <v>50.42336803161983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79.432093675559855</v>
      </c>
      <c r="T52" s="62">
        <f t="shared" si="34"/>
        <v>414.1029593555055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49.434090982900948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3.6463289604479743E-4</v>
      </c>
      <c r="AC52" s="24">
        <f t="shared" si="3"/>
        <v>49.434455615796992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79.432093675559855</v>
      </c>
      <c r="T53" s="62">
        <f t="shared" si="34"/>
        <v>414.1029593555055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48.464718610544516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2.578343934369657E-4</v>
      </c>
      <c r="AC53" s="24">
        <f t="shared" si="3"/>
        <v>48.464976444937953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79.432093675559855</v>
      </c>
      <c r="T54" s="62">
        <f t="shared" si="34"/>
        <v>414.1029593555055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47.514355039151226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1.8231644802239872E-4</v>
      </c>
      <c r="AC54" s="24">
        <f t="shared" si="3"/>
        <v>47.514537355599252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79.432093675559855</v>
      </c>
      <c r="T55" s="62">
        <f t="shared" si="34"/>
        <v>414.1029593555055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46.582627517728419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1.2891719671848285E-4</v>
      </c>
      <c r="AC55" s="24">
        <f t="shared" si="3"/>
        <v>46.582756434925138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79.432093675559855</v>
      </c>
      <c r="T56" s="62">
        <f t="shared" si="34"/>
        <v>414.1029593555055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45.669170604703041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9.1158224011199358E-5</v>
      </c>
      <c r="AC56" s="24">
        <f t="shared" si="3"/>
        <v>45.66926176292705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79.432093675559855</v>
      </c>
      <c r="T57" s="62">
        <f t="shared" si="34"/>
        <v>414.1029593555055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44.773626024588388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6.4458598359241426E-5</v>
      </c>
      <c r="AC57" s="24">
        <f t="shared" si="3"/>
        <v>44.773690483186748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79.432093675559855</v>
      </c>
      <c r="T58" s="62">
        <f t="shared" si="34"/>
        <v>414.1029593555055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43.895642527461526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4.5579112005599679E-5</v>
      </c>
      <c r="AC58" s="24">
        <f t="shared" si="3"/>
        <v>43.89568810657353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79.432093675559855</v>
      </c>
      <c r="T59" s="62">
        <f t="shared" si="34"/>
        <v>414.1029593555055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43.03487575119626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3.2229299179620713E-5</v>
      </c>
      <c r="AC59" s="24">
        <f t="shared" si="3"/>
        <v>43.03490798049544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79.432093675559855</v>
      </c>
      <c r="T60" s="62">
        <f t="shared" si="34"/>
        <v>414.1029593555055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42.190988086397667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2.2789556002799839E-5</v>
      </c>
      <c r="AC60" s="24">
        <f t="shared" si="3"/>
        <v>42.191010875953673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79.432093675559855</v>
      </c>
      <c r="T61" s="62">
        <f t="shared" si="34"/>
        <v>414.1029593555055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41.363648543985121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1.6114649589810356E-5</v>
      </c>
      <c r="AC61" s="24">
        <f t="shared" si="3"/>
        <v>41.363664658634711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79.432093675559855</v>
      </c>
      <c r="T62" s="62">
        <f t="shared" si="34"/>
        <v>414.1029593555055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40.552532625371995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1.139477800139992E-5</v>
      </c>
      <c r="AC62" s="24">
        <f t="shared" si="3"/>
        <v>40.552544020149995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79.432093675559855</v>
      </c>
      <c r="T63" s="62">
        <f t="shared" si="34"/>
        <v>414.1029593555055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39.757322195191016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8.0573247949051782E-6</v>
      </c>
      <c r="AC63" s="24">
        <f t="shared" si="3"/>
        <v>39.757330252515807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79.432093675559855</v>
      </c>
      <c r="T64" s="62">
        <f t="shared" si="34"/>
        <v>414.1029593555055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38.977705356515415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5.6973890006999598E-6</v>
      </c>
      <c r="AC64" s="24">
        <f t="shared" si="3"/>
        <v>38.977711053904414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79.432093675559855</v>
      </c>
      <c r="T65" s="62">
        <f t="shared" si="34"/>
        <v>414.1029593555055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38.21337632852692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4.0286623974525891E-6</v>
      </c>
      <c r="AC65" s="24">
        <f t="shared" si="3"/>
        <v>38.213380357189315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79.432093675559855</v>
      </c>
      <c r="T66" s="62">
        <f t="shared" si="34"/>
        <v>414.1029593555055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37.464035326582611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2.8486945003499799E-6</v>
      </c>
      <c r="AC66" s="24">
        <f t="shared" si="3"/>
        <v>37.464038175277111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79.432093675559855</v>
      </c>
      <c r="T67" s="62">
        <f t="shared" si="34"/>
        <v>414.1029593555055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36.729388444633543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2.0143311987262946E-6</v>
      </c>
      <c r="AC67" s="24">
        <f t="shared" si="3"/>
        <v>36.729390458964744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79.432093675559855</v>
      </c>
      <c r="T68" s="62">
        <f t="shared" si="34"/>
        <v>414.1029593555055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36.009147539949147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1.42434725017499E-6</v>
      </c>
      <c r="AC68" s="24">
        <f t="shared" ref="AC68:AC131" si="57">SUM(Z68:AB68)</f>
        <v>36.009148964296401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79.432093675559855</v>
      </c>
      <c r="T69" s="62">
        <f t="shared" ref="T69:T132" si="88">$T$3</f>
        <v>414.1029593555055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35.303030120102036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1.0071655993631473E-6</v>
      </c>
      <c r="AC69" s="24">
        <f t="shared" si="57"/>
        <v>35.303031127267637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79.432093675559855</v>
      </c>
      <c r="T70" s="62">
        <f t="shared" si="88"/>
        <v>414.1029593555055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34.61075923216903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7.1217362508749498E-7</v>
      </c>
      <c r="AC70" s="24">
        <f t="shared" si="57"/>
        <v>34.610759944342654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79.432093675559855</v>
      </c>
      <c r="T71" s="62">
        <f t="shared" si="88"/>
        <v>414.1029593555055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33.932063354104841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5.0358279968157364E-7</v>
      </c>
      <c r="AC71" s="24">
        <f t="shared" si="57"/>
        <v>33.932063857687638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79.432093675559855</v>
      </c>
      <c r="T72" s="62">
        <f t="shared" si="88"/>
        <v>414.1029593555055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33.266676288245883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3.5608681254374749E-7</v>
      </c>
      <c r="AC72" s="24">
        <f t="shared" si="57"/>
        <v>33.266676644332698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79.432093675559855</v>
      </c>
      <c r="T73" s="62">
        <f t="shared" si="88"/>
        <v>414.1029593555055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32.614337056902379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2.5179139984078682E-7</v>
      </c>
      <c r="AC73" s="24">
        <f t="shared" si="57"/>
        <v>32.614337308693777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79.432093675559855</v>
      </c>
      <c r="T74" s="62">
        <f t="shared" si="88"/>
        <v>414.1029593555055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31.974789799997879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1.7804340627187375E-7</v>
      </c>
      <c r="AC74" s="24">
        <f t="shared" si="57"/>
        <v>31.974789978041287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79.432093675559855</v>
      </c>
      <c r="T75" s="62">
        <f t="shared" si="88"/>
        <v>414.1029593555055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31.347783674715966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1.2589569992039341E-7</v>
      </c>
      <c r="AC75" s="24">
        <f t="shared" si="57"/>
        <v>31.347783800611666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79.432093675559855</v>
      </c>
      <c r="T76" s="62">
        <f t="shared" si="88"/>
        <v>414.1029593555055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30.733072757114858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8.9021703135936873E-8</v>
      </c>
      <c r="AC76" s="24">
        <f t="shared" si="57"/>
        <v>30.733072846136562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79.432093675559855</v>
      </c>
      <c r="T77" s="62">
        <f t="shared" si="88"/>
        <v>414.1029593555055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30.13041594567127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6.2947849960196705E-8</v>
      </c>
      <c r="AC77" s="24">
        <f t="shared" si="57"/>
        <v>30.130416008619122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79.432093675559855</v>
      </c>
      <c r="T78" s="62">
        <f t="shared" si="88"/>
        <v>414.1029593555055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29.539576866715734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4.4510851567968436E-8</v>
      </c>
      <c r="AC78" s="24">
        <f t="shared" si="57"/>
        <v>29.539576911226586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79.432093675559855</v>
      </c>
      <c r="T79" s="62">
        <f t="shared" si="88"/>
        <v>414.1029593555055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28.960323781722259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3.1473924980098352E-8</v>
      </c>
      <c r="AC79" s="24">
        <f t="shared" si="57"/>
        <v>28.960323813196183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79.432093675559855</v>
      </c>
      <c r="T80" s="62">
        <f t="shared" si="88"/>
        <v>414.1029593555055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28.39242949641601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2.2255425783984218E-8</v>
      </c>
      <c r="AC80" s="24">
        <f t="shared" si="57"/>
        <v>28.392429518671435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79.432093675559855</v>
      </c>
      <c r="T81" s="62">
        <f t="shared" si="88"/>
        <v>414.1029593555055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27.835671271663308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1.5736962490049176E-8</v>
      </c>
      <c r="AC81" s="24">
        <f t="shared" si="57"/>
        <v>27.83567128740027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79.432093675559855</v>
      </c>
      <c r="T82" s="62">
        <f t="shared" si="88"/>
        <v>414.1029593555055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27.289830736109021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1.1127712891992109E-8</v>
      </c>
      <c r="AC82" s="24">
        <f t="shared" si="57"/>
        <v>27.289830747236735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79.432093675559855</v>
      </c>
      <c r="T83" s="62">
        <f t="shared" si="88"/>
        <v>414.1029593555055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26.7546938005271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7.8684812450245881E-9</v>
      </c>
      <c r="AC83" s="24">
        <f t="shared" si="57"/>
        <v>26.754693808395583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79.432093675559855</v>
      </c>
      <c r="T84" s="62">
        <f t="shared" si="88"/>
        <v>414.1029593555055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26.23005057385064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5.5638564459960545E-9</v>
      </c>
      <c r="AC84" s="24">
        <f t="shared" si="57"/>
        <v>26.230050579414495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79.432093675559855</v>
      </c>
      <c r="T85" s="62">
        <f t="shared" si="88"/>
        <v>414.1029593555055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25.715695280848532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3.9342406225122941E-9</v>
      </c>
      <c r="AC85" s="24">
        <f t="shared" si="57"/>
        <v>25.715695284782772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79.432093675559855</v>
      </c>
      <c r="T86" s="62">
        <f t="shared" si="88"/>
        <v>414.1029593555055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25.211426181416446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2.7819282229980273E-9</v>
      </c>
      <c r="AC86" s="24">
        <f t="shared" si="57"/>
        <v>25.211426184198373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79.432093675559855</v>
      </c>
      <c r="T87" s="62">
        <f t="shared" si="88"/>
        <v>414.1029593555055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24.717045491450442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1.967120311256147E-9</v>
      </c>
      <c r="AC87" s="24">
        <f t="shared" si="57"/>
        <v>24.717045493417562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79.432093675559855</v>
      </c>
      <c r="T88" s="62">
        <f t="shared" si="88"/>
        <v>414.1029593555055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24.232359305272226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1.3909641114990136E-9</v>
      </c>
      <c r="AC88" s="24">
        <f t="shared" si="57"/>
        <v>24.232359306663191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79.432093675559855</v>
      </c>
      <c r="T89" s="62">
        <f t="shared" si="88"/>
        <v>414.1029593555055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23.757177519575581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9.8356015562807351E-10</v>
      </c>
      <c r="AC89" s="24">
        <f t="shared" si="57"/>
        <v>23.757177520559143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79.432093675559855</v>
      </c>
      <c r="T90" s="62">
        <f t="shared" si="88"/>
        <v>414.1029593555055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23.291313758864177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6.9548205574950682E-10</v>
      </c>
      <c r="AC90" s="24">
        <f t="shared" si="57"/>
        <v>23.29131375955966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79.432093675559855</v>
      </c>
      <c r="T91" s="62">
        <f t="shared" si="88"/>
        <v>414.1029593555055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22.834585302351488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4.9178007781403676E-10</v>
      </c>
      <c r="AC91" s="24">
        <f t="shared" si="57"/>
        <v>22.834585302843269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79.432093675559855</v>
      </c>
      <c r="T92" s="62">
        <f t="shared" si="88"/>
        <v>414.1029593555055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22.386813012294162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3.4774102787475341E-10</v>
      </c>
      <c r="AC92" s="24">
        <f t="shared" si="57"/>
        <v>22.386813012641902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79.432093675559855</v>
      </c>
      <c r="T93" s="62">
        <f t="shared" si="88"/>
        <v>414.1029593555055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21.947821263730731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2.4589003890701838E-10</v>
      </c>
      <c r="AC93" s="24">
        <f t="shared" si="57"/>
        <v>21.947821263976621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79.432093675559855</v>
      </c>
      <c r="T94" s="62">
        <f t="shared" si="88"/>
        <v>414.1029593555055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21.517437875598102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1.738705139373767E-10</v>
      </c>
      <c r="AC94" s="24">
        <f t="shared" si="57"/>
        <v>21.517437875771972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79.432093675559855</v>
      </c>
      <c r="T95" s="62">
        <f t="shared" si="88"/>
        <v>414.1029593555055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21.095494043198805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1.2294501945350919E-10</v>
      </c>
      <c r="AC95" s="24">
        <f t="shared" si="57"/>
        <v>21.09549404332175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79.432093675559855</v>
      </c>
      <c r="T96" s="62">
        <f t="shared" si="88"/>
        <v>414.1029593555055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20.681824271992532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8.6935256968688352E-11</v>
      </c>
      <c r="AC96" s="24">
        <f t="shared" si="57"/>
        <v>20.681824272079467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79.432093675559855</v>
      </c>
      <c r="T97" s="62">
        <f t="shared" si="88"/>
        <v>414.1029593555055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20.276266312685969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6.1472509726754595E-11</v>
      </c>
      <c r="AC97" s="24">
        <f t="shared" si="57"/>
        <v>20.276266312747442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79.432093675559855</v>
      </c>
      <c r="T98" s="62">
        <f t="shared" si="88"/>
        <v>414.1029593555055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19.878661097595479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4.3467628484344176E-11</v>
      </c>
      <c r="AC98" s="24">
        <f t="shared" si="57"/>
        <v>19.878661097638947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79.432093675559855</v>
      </c>
      <c r="T99" s="62">
        <f t="shared" si="88"/>
        <v>414.1029593555055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19.488852678257679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3.0736254863377297E-11</v>
      </c>
      <c r="AC99" s="24">
        <f t="shared" si="57"/>
        <v>19.488852678288414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79.432093675559855</v>
      </c>
      <c r="T100" s="62">
        <f t="shared" si="88"/>
        <v>414.1029593555055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19.106688164263435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2.1733814242172088E-11</v>
      </c>
      <c r="AC100" s="24">
        <f t="shared" si="57"/>
        <v>19.10668816428517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79.432093675559855</v>
      </c>
      <c r="T101" s="62">
        <f t="shared" si="88"/>
        <v>414.1029593555055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18.73201766329128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1.5368127431688649E-11</v>
      </c>
      <c r="AC101" s="24">
        <f t="shared" si="57"/>
        <v>18.73201766330665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79.432093675559855</v>
      </c>
      <c r="T102" s="62">
        <f t="shared" si="88"/>
        <v>414.1029593555055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18.36469422231675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1.0866907121086044E-11</v>
      </c>
      <c r="AC102" s="24">
        <f t="shared" si="57"/>
        <v>18.364694222327618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79.432093675559855</v>
      </c>
      <c r="T103" s="62">
        <f t="shared" si="88"/>
        <v>414.1029593555055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18.004573769974552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7.6840637158443243E-12</v>
      </c>
      <c r="AC103" s="24">
        <f t="shared" si="57"/>
        <v>18.004573769982237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79.432093675559855</v>
      </c>
      <c r="T104" s="62">
        <f t="shared" si="88"/>
        <v>414.1029593555055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17.651515060050997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5.433453560543022E-12</v>
      </c>
      <c r="AC104" s="24">
        <f t="shared" si="57"/>
        <v>17.651515060056429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79.432093675559855</v>
      </c>
      <c r="T105" s="62">
        <f t="shared" si="88"/>
        <v>414.1029593555055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17.305379616084494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3.8420318579221622E-12</v>
      </c>
      <c r="AC105" s="24">
        <f t="shared" si="57"/>
        <v>17.305379616088334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79.432093675559855</v>
      </c>
      <c r="T106" s="62">
        <f t="shared" si="88"/>
        <v>414.1029593555055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16.966031677052399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2.716726780271511E-12</v>
      </c>
      <c r="AC106" s="24">
        <f t="shared" si="57"/>
        <v>16.966031677055117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79.432093675559855</v>
      </c>
      <c r="T107" s="62">
        <f t="shared" si="88"/>
        <v>414.1029593555055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16.63333814412292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1.9210159289610811E-12</v>
      </c>
      <c r="AC107" s="24">
        <f t="shared" si="57"/>
        <v>16.633338144124842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79.432093675559855</v>
      </c>
      <c r="T108" s="62">
        <f t="shared" si="88"/>
        <v>414.1029593555055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16.307168528451168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1.3583633901357555E-12</v>
      </c>
      <c r="AC108" s="24">
        <f t="shared" si="57"/>
        <v>16.307168528452525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79.432093675559855</v>
      </c>
      <c r="T109" s="62">
        <f t="shared" si="88"/>
        <v>414.1029593555055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15.987394899998918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9.6050796448054054E-13</v>
      </c>
      <c r="AC109" s="24">
        <f t="shared" si="57"/>
        <v>15.987394899999879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79.432093675559855</v>
      </c>
      <c r="T110" s="62">
        <f t="shared" si="88"/>
        <v>414.1029593555055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15.673891837357962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6.7918169506787775E-13</v>
      </c>
      <c r="AC110" s="24">
        <f t="shared" si="57"/>
        <v>15.67389183735864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79.432093675559855</v>
      </c>
      <c r="T111" s="62">
        <f t="shared" si="88"/>
        <v>414.1029593555055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15.366536378557409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4.8025398224027027E-13</v>
      </c>
      <c r="AC111" s="24">
        <f t="shared" si="57"/>
        <v>15.366536378557889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79.432093675559855</v>
      </c>
      <c r="T112" s="62">
        <f t="shared" si="88"/>
        <v>414.1029593555055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15.065207972835616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3.3959084753393888E-13</v>
      </c>
      <c r="AC112" s="24">
        <f t="shared" si="57"/>
        <v>15.065207972835955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79.432093675559855</v>
      </c>
      <c r="T113" s="62">
        <f t="shared" si="88"/>
        <v>414.1029593555055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14.769788433357848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2.4012699112013514E-13</v>
      </c>
      <c r="AC113" s="24">
        <f t="shared" si="57"/>
        <v>14.769788433358087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79.432093675559855</v>
      </c>
      <c r="T114" s="62">
        <f t="shared" si="88"/>
        <v>414.1029593555055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14.480161890861112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1.6979542376696944E-13</v>
      </c>
      <c r="AC114" s="24">
        <f t="shared" si="57"/>
        <v>14.480161890861282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79.432093675559855</v>
      </c>
      <c r="T115" s="62">
        <f t="shared" si="88"/>
        <v>414.1029593555055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14.196214748207989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1.2006349556006757E-13</v>
      </c>
      <c r="AC115" s="24">
        <f t="shared" si="57"/>
        <v>14.19621474820811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79.432093675559855</v>
      </c>
      <c r="T116" s="62">
        <f t="shared" si="88"/>
        <v>414.1029593555055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13.917835635831638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8.4897711883484719E-14</v>
      </c>
      <c r="AC116" s="24">
        <f t="shared" si="57"/>
        <v>13.917835635831723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79.432093675559855</v>
      </c>
      <c r="T117" s="62">
        <f t="shared" si="88"/>
        <v>414.1029593555055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13.644915368054495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6.0031747780033784E-14</v>
      </c>
      <c r="AC117" s="24">
        <f t="shared" si="57"/>
        <v>13.644915368054555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79.432093675559855</v>
      </c>
      <c r="T118" s="62">
        <f t="shared" si="88"/>
        <v>414.1029593555055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13.377346900263534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4.2448855941742359E-14</v>
      </c>
      <c r="AC118" s="24">
        <f t="shared" si="57"/>
        <v>13.377346900263577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79.432093675559855</v>
      </c>
      <c r="T119" s="62">
        <f t="shared" si="88"/>
        <v>414.1029593555055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13.115025286925304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3.0015873890016892E-14</v>
      </c>
      <c r="AC119" s="24">
        <f t="shared" si="57"/>
        <v>13.115025286925334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79.432093675559855</v>
      </c>
      <c r="T120" s="62">
        <f t="shared" si="88"/>
        <v>414.1029593555055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12.857847640424252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2.122442797087118E-14</v>
      </c>
      <c r="AC120" s="24">
        <f t="shared" si="57"/>
        <v>12.857847640424273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79.432093675559855</v>
      </c>
      <c r="T121" s="62">
        <f t="shared" si="88"/>
        <v>414.1029593555055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12.605713090708209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1.5007936945008446E-14</v>
      </c>
      <c r="AC121" s="24">
        <f t="shared" si="57"/>
        <v>12.605713090708223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79.432093675559855</v>
      </c>
      <c r="T122" s="62">
        <f t="shared" si="88"/>
        <v>414.1029593555055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12.358522745725207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1.061221398543559E-14</v>
      </c>
      <c r="AC122" s="24">
        <f t="shared" si="57"/>
        <v>12.358522745725217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79.432093675559855</v>
      </c>
      <c r="T123" s="62">
        <f t="shared" si="88"/>
        <v>414.1029593555055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12.116179652636099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7.503968472504223E-15</v>
      </c>
      <c r="AC123" s="24">
        <f t="shared" si="57"/>
        <v>12.116179652636106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79.432093675559855</v>
      </c>
      <c r="T124" s="62">
        <f t="shared" si="88"/>
        <v>414.1029593555055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11.878588759787776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5.3061069927177949E-15</v>
      </c>
      <c r="AC124" s="24">
        <f t="shared" si="57"/>
        <v>11.878588759787782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79.432093675559855</v>
      </c>
      <c r="T125" s="62">
        <f t="shared" si="88"/>
        <v>414.1029593555055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11.645656879432075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3.7519842362521115E-15</v>
      </c>
      <c r="AC125" s="24">
        <f t="shared" si="57"/>
        <v>11.645656879432078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79.432093675559855</v>
      </c>
      <c r="T126" s="62">
        <f t="shared" si="88"/>
        <v>414.1029593555055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11.41729265117573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2.6530534963588975E-15</v>
      </c>
      <c r="AC126" s="24">
        <f t="shared" si="57"/>
        <v>11.417292651175732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79.432093675559855</v>
      </c>
      <c r="T127" s="62">
        <f t="shared" si="88"/>
        <v>414.1029593555055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11.193406506147067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1.8759921181260557E-15</v>
      </c>
      <c r="AC127" s="24">
        <f t="shared" si="57"/>
        <v>11.193406506147069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79.432093675559855</v>
      </c>
      <c r="T128" s="62">
        <f t="shared" si="88"/>
        <v>414.1029593555055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10.973910631865351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1.3265267481794487E-15</v>
      </c>
      <c r="AC128" s="24">
        <f t="shared" si="57"/>
        <v>10.973910631865353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79.432093675559855</v>
      </c>
      <c r="T129" s="62">
        <f t="shared" si="88"/>
        <v>414.1029593555055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10.758718937799037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9.3799605906302787E-16</v>
      </c>
      <c r="AC129" s="24">
        <f t="shared" si="57"/>
        <v>10.758718937799038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79.432093675559855</v>
      </c>
      <c r="T130" s="62">
        <f t="shared" si="88"/>
        <v>414.1029593555055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10.547747021599388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6.6326337408972437E-16</v>
      </c>
      <c r="AC130" s="24">
        <f t="shared" si="57"/>
        <v>10.547747021599388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79.432093675559855</v>
      </c>
      <c r="T131" s="62">
        <f t="shared" si="88"/>
        <v>414.1029593555055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10.340912135996254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4.6899802953151394E-16</v>
      </c>
      <c r="AC131" s="24">
        <f t="shared" si="57"/>
        <v>10.340912135996254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79.432093675559855</v>
      </c>
      <c r="T132" s="62">
        <f t="shared" si="88"/>
        <v>414.1029593555055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10.138133156342972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3.3163168704486218E-16</v>
      </c>
      <c r="AC132" s="24">
        <f t="shared" ref="AC132:AC153" si="111">SUM(Z132:AB132)</f>
        <v>10.138133156342972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79.432093675559855</v>
      </c>
      <c r="T133" s="62">
        <f t="shared" ref="T133:T196" si="142">$T$3</f>
        <v>414.1029593555055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9.9393305487977273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2.3449901476575697E-16</v>
      </c>
      <c r="AC133" s="24">
        <f t="shared" si="111"/>
        <v>9.9393305487977273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79.432093675559855</v>
      </c>
      <c r="T134" s="62">
        <f t="shared" si="142"/>
        <v>414.1029593555055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9.7444263391288271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1.6581584352243109E-16</v>
      </c>
      <c r="AC134" s="24">
        <f t="shared" si="111"/>
        <v>9.7444263391288271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79.432093675559855</v>
      </c>
      <c r="T135" s="62">
        <f t="shared" si="142"/>
        <v>414.1029593555055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9.5533440821317051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1.1724950738287848E-16</v>
      </c>
      <c r="AC135" s="24">
        <f t="shared" si="111"/>
        <v>9.5533440821317051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79.432093675559855</v>
      </c>
      <c r="T136" s="62">
        <f t="shared" si="142"/>
        <v>414.1029593555055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9.3660088316456278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8.2907921761215546E-17</v>
      </c>
      <c r="AC136" s="24">
        <f t="shared" si="111"/>
        <v>9.3660088316456278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79.432093675559855</v>
      </c>
      <c r="T137" s="62">
        <f t="shared" si="142"/>
        <v>414.1029593555055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9.1823471111583626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5.8624753691439242E-17</v>
      </c>
      <c r="AC137" s="24">
        <f t="shared" si="111"/>
        <v>9.1823471111583626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79.432093675559855</v>
      </c>
      <c r="T138" s="62">
        <f t="shared" si="142"/>
        <v>414.1029593555055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9.0022868849872637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4.1453960880607773E-17</v>
      </c>
      <c r="AC138" s="24">
        <f t="shared" si="111"/>
        <v>9.0022868849872637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79.432093675559855</v>
      </c>
      <c r="T139" s="62">
        <f t="shared" si="142"/>
        <v>414.1029593555055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8.825757530025486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2.9312376845719621E-17</v>
      </c>
      <c r="AC139" s="24">
        <f t="shared" si="111"/>
        <v>8.825757530025486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79.432093675559855</v>
      </c>
      <c r="T140" s="62">
        <f t="shared" si="142"/>
        <v>414.1029593555055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8.6526898080422345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2.0726980440303886E-17</v>
      </c>
      <c r="AC140" s="24">
        <f t="shared" si="111"/>
        <v>8.6526898080422345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79.432093675559855</v>
      </c>
      <c r="T141" s="62">
        <f t="shared" si="142"/>
        <v>414.1029593555055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8.4830158385261871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1.4656188422859811E-17</v>
      </c>
      <c r="AC141" s="24">
        <f t="shared" si="111"/>
        <v>8.4830158385261871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79.432093675559855</v>
      </c>
      <c r="T142" s="62">
        <f t="shared" si="142"/>
        <v>414.1029593555055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8.3166690720614476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1.0363490220151943E-17</v>
      </c>
      <c r="AC142" s="24">
        <f t="shared" si="111"/>
        <v>8.3166690720614476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79.432093675559855</v>
      </c>
      <c r="T143" s="62">
        <f t="shared" si="142"/>
        <v>414.1029593555055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8.1535842642255716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7.3280942114299053E-18</v>
      </c>
      <c r="AC143" s="24">
        <f t="shared" si="111"/>
        <v>8.1535842642255716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79.432093675559855</v>
      </c>
      <c r="T144" s="62">
        <f t="shared" si="142"/>
        <v>414.1029593555055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7.9936974499994466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5.1817451100759716E-18</v>
      </c>
      <c r="AC144" s="24">
        <f t="shared" si="111"/>
        <v>7.9936974499994466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79.432093675559855</v>
      </c>
      <c r="T145" s="62">
        <f t="shared" si="142"/>
        <v>414.1029593555055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7.8369459186789694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3.6640471057149526E-18</v>
      </c>
      <c r="AC145" s="24">
        <f t="shared" si="111"/>
        <v>7.8369459186789694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79.432093675559855</v>
      </c>
      <c r="T146" s="62">
        <f t="shared" si="142"/>
        <v>414.1029593555055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7.6832681892786931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2.5908725550379858E-18</v>
      </c>
      <c r="AC146" s="24">
        <f t="shared" si="111"/>
        <v>7.6832681892786931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79.432093675559855</v>
      </c>
      <c r="T147" s="62">
        <f t="shared" si="142"/>
        <v>414.1029593555055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7.5326039864177963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1.8320235528574763E-18</v>
      </c>
      <c r="AC147" s="24">
        <f t="shared" si="111"/>
        <v>7.5326039864177963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79.432093675559855</v>
      </c>
      <c r="T148" s="62">
        <f t="shared" si="142"/>
        <v>414.1029593555055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7.3848942166789122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1.2954362775189929E-18</v>
      </c>
      <c r="AC148" s="24">
        <f t="shared" si="111"/>
        <v>7.3848942166789122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79.432093675559855</v>
      </c>
      <c r="T149" s="62">
        <f t="shared" si="142"/>
        <v>414.1029593555055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7.2400809454305444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9.1601177642873816E-19</v>
      </c>
      <c r="AC149" s="24">
        <f t="shared" si="111"/>
        <v>7.2400809454305444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79.432093675559855</v>
      </c>
      <c r="T150" s="62">
        <f t="shared" si="142"/>
        <v>414.1029593555055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7.0981073741039831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6.4771813875949645E-19</v>
      </c>
      <c r="AC150" s="24">
        <f t="shared" si="111"/>
        <v>7.0981073741039831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79.432093675559855</v>
      </c>
      <c r="T151" s="62">
        <f t="shared" si="142"/>
        <v>414.1029593555055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6.9589178179158075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4.5800588821436908E-19</v>
      </c>
      <c r="AC151" s="24">
        <f t="shared" si="111"/>
        <v>6.9589178179158075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79.432093675559855</v>
      </c>
      <c r="T152" s="62">
        <f t="shared" si="142"/>
        <v>414.1029593555055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6.8224576840272357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3.2385906937974823E-19</v>
      </c>
      <c r="AC152" s="24">
        <f t="shared" si="111"/>
        <v>6.8224576840272357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79.432093675559855</v>
      </c>
      <c r="T153" s="62">
        <f t="shared" si="142"/>
        <v>414.1029593555055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6.6886734501317555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2.2900294410718454E-19</v>
      </c>
      <c r="AC153" s="24">
        <f t="shared" si="111"/>
        <v>6.6886734501317555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79.432093675559855</v>
      </c>
      <c r="T154" s="62">
        <f t="shared" si="142"/>
        <v>414.1029593555055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6.5575126434626405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1.6192953468987411E-19</v>
      </c>
      <c r="AC154" s="24">
        <f t="shared" ref="AC154:AC203" si="163">SUM(Z154:AB154)</f>
        <v>6.5575126434626405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79.432093675559855</v>
      </c>
      <c r="T155" s="62">
        <f t="shared" si="142"/>
        <v>414.1029593555055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6.4289238202121144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1.1450147205359227E-19</v>
      </c>
      <c r="AC155" s="24">
        <f t="shared" si="163"/>
        <v>6.4289238202121144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79.432093675559855</v>
      </c>
      <c r="T156" s="62">
        <f t="shared" si="142"/>
        <v>414.1029593555055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6.3028565453540937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8.0964767344937056E-20</v>
      </c>
      <c r="AC156" s="24">
        <f t="shared" si="163"/>
        <v>6.3028565453540937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79.432093675559855</v>
      </c>
      <c r="T157" s="62">
        <f t="shared" si="142"/>
        <v>414.1029593555055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6.1792613728625936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5.7250736026796135E-20</v>
      </c>
      <c r="AC157" s="24">
        <f t="shared" si="163"/>
        <v>6.1792613728625936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79.432093675559855</v>
      </c>
      <c r="T158" s="62">
        <f t="shared" si="142"/>
        <v>414.1029593555055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6.0580898263180396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4.0482383672468528E-20</v>
      </c>
      <c r="AC158" s="24">
        <f t="shared" si="163"/>
        <v>6.0580898263180396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79.432093675559855</v>
      </c>
      <c r="T159" s="62">
        <f t="shared" si="142"/>
        <v>414.1029593555055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5.9392943798938793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2.8625368013398067E-20</v>
      </c>
      <c r="AC159" s="24">
        <f t="shared" si="163"/>
        <v>5.9392943798938793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79.432093675559855</v>
      </c>
      <c r="T160" s="62">
        <f t="shared" si="142"/>
        <v>414.1029593555055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5.8228284397160293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2.0241191836234264E-20</v>
      </c>
      <c r="AC160" s="24">
        <f t="shared" si="163"/>
        <v>5.8228284397160293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79.432093675559855</v>
      </c>
      <c r="T161" s="62">
        <f t="shared" si="142"/>
        <v>414.1029593555055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5.708646325587857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1.4312684006699034E-20</v>
      </c>
      <c r="AC161" s="24">
        <f t="shared" si="163"/>
        <v>5.708646325587857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79.432093675559855</v>
      </c>
      <c r="T162" s="62">
        <f t="shared" si="142"/>
        <v>414.1029593555055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5.5967032530735255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1.0120595918117132E-20</v>
      </c>
      <c r="AC162" s="24">
        <f t="shared" si="163"/>
        <v>5.5967032530735255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79.432093675559855</v>
      </c>
      <c r="T163" s="62">
        <f t="shared" si="142"/>
        <v>414.1029593555055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5.4869553159326676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7.1563420033495169E-21</v>
      </c>
      <c r="AC163" s="24">
        <f t="shared" si="163"/>
        <v>5.4869553159326676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79.432093675559855</v>
      </c>
      <c r="T164" s="62">
        <f t="shared" si="142"/>
        <v>414.1029593555055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5.3793594688995103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5.060297959058566E-21</v>
      </c>
      <c r="AC164" s="24">
        <f t="shared" si="163"/>
        <v>5.3793594688995103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79.432093675559855</v>
      </c>
      <c r="T165" s="62">
        <f t="shared" si="142"/>
        <v>414.1029593555055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5.273873510799687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3.5781710016747584E-21</v>
      </c>
      <c r="AC165" s="24">
        <f t="shared" si="163"/>
        <v>5.273873510799687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79.432093675559855</v>
      </c>
      <c r="T166" s="62">
        <f t="shared" si="142"/>
        <v>414.1029593555055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5.1704560679981197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2.530148979529283E-21</v>
      </c>
      <c r="AC166" s="24">
        <f t="shared" si="163"/>
        <v>5.1704560679981197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79.432093675559855</v>
      </c>
      <c r="T167" s="62">
        <f t="shared" si="142"/>
        <v>414.1029593555055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5.069066578171479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1.7890855008373792E-21</v>
      </c>
      <c r="AC167" s="24">
        <f t="shared" si="163"/>
        <v>5.069066578171479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79.432093675559855</v>
      </c>
      <c r="T168" s="62">
        <f t="shared" si="142"/>
        <v>414.1029593555055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4.9696652743988565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1.2650744897646415E-21</v>
      </c>
      <c r="AC168" s="24">
        <f t="shared" si="163"/>
        <v>4.9696652743988565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79.432093675559855</v>
      </c>
      <c r="T169" s="62">
        <f t="shared" si="142"/>
        <v>414.1029593555055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4.8722131695644064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8.9454275041868961E-22</v>
      </c>
      <c r="AC169" s="24">
        <f t="shared" si="163"/>
        <v>4.8722131695644064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79.432093675559855</v>
      </c>
      <c r="T170" s="62">
        <f t="shared" si="142"/>
        <v>414.1029593555055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4.7766720410658454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6.3253724488232075E-22</v>
      </c>
      <c r="AC170" s="24">
        <f t="shared" si="163"/>
        <v>4.7766720410658454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79.432093675559855</v>
      </c>
      <c r="T171" s="62">
        <f t="shared" si="142"/>
        <v>414.1029593555055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4.6830044158228068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4.472713752093448E-22</v>
      </c>
      <c r="AC171" s="24">
        <f t="shared" si="163"/>
        <v>4.6830044158228068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79.432093675559855</v>
      </c>
      <c r="T172" s="62">
        <f t="shared" si="142"/>
        <v>414.1029593555055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4.5911735555791742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3.1626862244116038E-22</v>
      </c>
      <c r="AC172" s="24">
        <f t="shared" si="163"/>
        <v>4.5911735555791742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79.432093675559855</v>
      </c>
      <c r="T173" s="62">
        <f t="shared" si="142"/>
        <v>414.1029593555055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4.5011434424936247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2.236356876046724E-22</v>
      </c>
      <c r="AC173" s="24">
        <f t="shared" si="163"/>
        <v>4.5011434424936247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79.432093675559855</v>
      </c>
      <c r="T174" s="62">
        <f t="shared" si="142"/>
        <v>414.1029593555055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4.4128787650127359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1.5813431122058019E-22</v>
      </c>
      <c r="AC174" s="24">
        <f t="shared" si="163"/>
        <v>4.4128787650127359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79.432093675559855</v>
      </c>
      <c r="T175" s="62">
        <f t="shared" si="142"/>
        <v>414.1029593555055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4.3263449040211102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1.118178438023362E-22</v>
      </c>
      <c r="AC175" s="24">
        <f t="shared" si="163"/>
        <v>4.3263449040211102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79.432093675559855</v>
      </c>
      <c r="T176" s="62">
        <f t="shared" si="142"/>
        <v>414.1029593555055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4.2415079192630865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7.9067155610290094E-23</v>
      </c>
      <c r="AC176" s="24">
        <f t="shared" si="163"/>
        <v>4.2415079192630865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79.432093675559855</v>
      </c>
      <c r="T177" s="62">
        <f t="shared" si="142"/>
        <v>414.1029593555055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4.1583345360307167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5.59089219011681E-23</v>
      </c>
      <c r="AC177" s="24">
        <f t="shared" si="163"/>
        <v>4.1583345360307167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79.432093675559855</v>
      </c>
      <c r="T178" s="62">
        <f t="shared" si="142"/>
        <v>414.1029593555055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4.0767921321127796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3.9533577805145047E-23</v>
      </c>
      <c r="AC178" s="24">
        <f t="shared" si="163"/>
        <v>4.0767921321127796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79.432093675559855</v>
      </c>
      <c r="T179" s="62">
        <f t="shared" si="142"/>
        <v>414.1029593555055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3.9968487249997176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2.795446095058405E-23</v>
      </c>
      <c r="AC179" s="24">
        <f t="shared" si="163"/>
        <v>3.9968487249997176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79.432093675559855</v>
      </c>
      <c r="T180" s="62">
        <f t="shared" si="142"/>
        <v>414.1029593555055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3.9184729593394789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1.9766788902572524E-23</v>
      </c>
      <c r="AC180" s="24">
        <f t="shared" si="163"/>
        <v>3.9184729593394789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79.432093675559855</v>
      </c>
      <c r="T181" s="62">
        <f t="shared" si="142"/>
        <v>414.1029593555055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3.8416340946393408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1.3977230475292025E-23</v>
      </c>
      <c r="AC181" s="24">
        <f t="shared" si="163"/>
        <v>3.8416340946393408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79.432093675559855</v>
      </c>
      <c r="T182" s="62">
        <f t="shared" si="142"/>
        <v>414.1029593555055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3.7663019932088928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9.8833944512862618E-24</v>
      </c>
      <c r="AC182" s="24">
        <f t="shared" si="163"/>
        <v>3.7663019932088928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79.432093675559855</v>
      </c>
      <c r="T183" s="62">
        <f t="shared" si="142"/>
        <v>414.1029593555055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3.6924471083394508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6.9886152376460126E-24</v>
      </c>
      <c r="AC183" s="24">
        <f t="shared" si="163"/>
        <v>3.6924471083394508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79.432093675559855</v>
      </c>
      <c r="T184" s="62">
        <f t="shared" si="142"/>
        <v>414.1029593555055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3.6200404727152669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4.9416972256431309E-24</v>
      </c>
      <c r="AC184" s="24">
        <f t="shared" si="163"/>
        <v>3.6200404727152669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79.432093675559855</v>
      </c>
      <c r="T185" s="62">
        <f t="shared" si="142"/>
        <v>414.1029593555055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3.5490536870519862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3.4943076188230063E-24</v>
      </c>
      <c r="AC185" s="24">
        <f t="shared" si="163"/>
        <v>3.5490536870519862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79.432093675559855</v>
      </c>
      <c r="T186" s="62">
        <f t="shared" si="142"/>
        <v>414.1029593555055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3.4794589089578984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2.4708486128215654E-24</v>
      </c>
      <c r="AC186" s="24">
        <f t="shared" si="163"/>
        <v>3.4794589089578984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79.432093675559855</v>
      </c>
      <c r="T187" s="62">
        <f t="shared" si="142"/>
        <v>414.1029593555055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3.4112288420136125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1.7471538094115031E-24</v>
      </c>
      <c r="AC187" s="24">
        <f t="shared" si="163"/>
        <v>3.4112288420136125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79.432093675559855</v>
      </c>
      <c r="T188" s="62">
        <f t="shared" si="142"/>
        <v>414.1029593555055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3.3443367250658729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1.2354243064107827E-24</v>
      </c>
      <c r="AC188" s="24">
        <f t="shared" si="163"/>
        <v>3.3443367250658729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79.432093675559855</v>
      </c>
      <c r="T189" s="62">
        <f t="shared" si="142"/>
        <v>414.1029593555055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3.2787563217313154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8.7357690470575157E-25</v>
      </c>
      <c r="AC189" s="24">
        <f t="shared" si="163"/>
        <v>3.2787563217313154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79.432093675559855</v>
      </c>
      <c r="T190" s="62">
        <f t="shared" si="142"/>
        <v>414.1029593555055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3.2144619101060523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6.1771215320539136E-25</v>
      </c>
      <c r="AC190" s="24">
        <f t="shared" si="163"/>
        <v>3.2144619101060523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79.432093675559855</v>
      </c>
      <c r="T191" s="62">
        <f t="shared" si="142"/>
        <v>414.1029593555055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3.151428272677042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4.3678845235287578E-25</v>
      </c>
      <c r="AC191" s="24">
        <f t="shared" si="163"/>
        <v>3.151428272677042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79.432093675559855</v>
      </c>
      <c r="T192" s="62">
        <f t="shared" si="142"/>
        <v>414.1029593555055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3.0896306864312919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3.0885607660269568E-25</v>
      </c>
      <c r="AC192" s="24">
        <f t="shared" si="163"/>
        <v>3.0896306864312919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79.432093675559855</v>
      </c>
      <c r="T193" s="62">
        <f t="shared" si="142"/>
        <v>414.1029593555055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3.0290449131590154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2.1839422617643789E-25</v>
      </c>
      <c r="AC193" s="24">
        <f t="shared" si="163"/>
        <v>3.0290449131590154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79.432093675559855</v>
      </c>
      <c r="T194" s="62">
        <f t="shared" si="142"/>
        <v>414.1029593555055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2.9696471899469352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1.5442803830134784E-25</v>
      </c>
      <c r="AC194" s="24">
        <f t="shared" si="163"/>
        <v>2.9696471899469352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79.432093675559855</v>
      </c>
      <c r="T195" s="62">
        <f t="shared" si="142"/>
        <v>414.1029593555055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2.9114142198580102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1.0919711308821895E-25</v>
      </c>
      <c r="AC195" s="24">
        <f t="shared" si="163"/>
        <v>2.9114142198580102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79.432093675559855</v>
      </c>
      <c r="T196" s="62">
        <f t="shared" si="142"/>
        <v>414.1029593555055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2.8543231627939245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7.721401915067392E-26</v>
      </c>
      <c r="AC196" s="24">
        <f t="shared" si="163"/>
        <v>2.8543231627939245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79.432093675559855</v>
      </c>
      <c r="T197" s="62">
        <f t="shared" ref="T197:T203" si="204">$T$3</f>
        <v>414.1029593555055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2.7983516265367587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5.4598556544109473E-26</v>
      </c>
      <c r="AC197" s="24">
        <f t="shared" si="163"/>
        <v>2.7983516265367587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79.432093675559855</v>
      </c>
      <c r="T198" s="62">
        <f t="shared" si="204"/>
        <v>414.1029593555055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2.7434776579663298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3.860700957533696E-26</v>
      </c>
      <c r="AC198" s="24">
        <f t="shared" si="163"/>
        <v>2.7434776579663298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79.432093675559855</v>
      </c>
      <c r="T199" s="62">
        <f t="shared" si="204"/>
        <v>414.1029593555055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2.6896797344497512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2.7299278272054737E-26</v>
      </c>
      <c r="AC199" s="24">
        <f t="shared" si="163"/>
        <v>2.6896797344497512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79.432093675559855</v>
      </c>
      <c r="T200" s="62">
        <f t="shared" si="204"/>
        <v>414.1029593555055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2.6369367553998395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1.930350478766848E-26</v>
      </c>
      <c r="AC200" s="24">
        <f t="shared" si="163"/>
        <v>2.6369367553998395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79.432093675559855</v>
      </c>
      <c r="T201" s="62">
        <f t="shared" si="204"/>
        <v>414.1029593555055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2.5852280339990559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1.3649639136027368E-26</v>
      </c>
      <c r="AC201" s="24">
        <f t="shared" si="163"/>
        <v>2.5852280339990559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79.432093675559855</v>
      </c>
      <c r="T202" s="62">
        <f t="shared" si="204"/>
        <v>414.1029593555055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2.5345332890857359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9.65175239383424E-27</v>
      </c>
      <c r="AC202" s="24">
        <f t="shared" si="163"/>
        <v>2.5345332890857359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79.432093675559855</v>
      </c>
      <c r="T203" s="62">
        <f t="shared" si="204"/>
        <v>414.1029593555055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2.4848326371994247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6.8248195680136841E-27</v>
      </c>
      <c r="AC203" s="24">
        <f t="shared" si="163"/>
        <v>2.4848326371994247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1.4421294733199093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1.3697235286408667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5" workbookViewId="0">
      <selection activeCell="G21" sqref="G2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I-45/51</v>
      </c>
      <c r="B6" s="155">
        <f>'Données projet'!D9</f>
        <v>11</v>
      </c>
      <c r="C6" s="156">
        <f ca="1">IF(OR('Données projet'!B9="",'Données projet'!C9="",'Données projet'!C9=0%),0,Calculateur!S3)</f>
        <v>79.432093675559855</v>
      </c>
      <c r="D6" s="156">
        <f>IF(OR('Données projet'!B9="",'Données projet'!C9="",'Données projet'!C9=0%),0,Calculateur!T3)</f>
        <v>414.1029593555055</v>
      </c>
      <c r="E6" s="156">
        <f ca="1">MIN(C6,D6)</f>
        <v>79.432093675559855</v>
      </c>
      <c r="F6" s="156">
        <f ca="1">E6*B6</f>
        <v>873.75303043115844</v>
      </c>
      <c r="G6" s="156">
        <f ca="1">F6*(100%-'Données projet'!$C$24)*(100%-'Données projet'!$C$25)*(100%-'Données projet'!$C$26)*(100%-'Données projet'!$C$27)</f>
        <v>597.64707281491246</v>
      </c>
      <c r="H6" s="157">
        <f>IF(OR('Données projet'!B9="",'Données projet'!C9="",'Données projet'!C9=0%),0,AVERAGE(Calculateur!$AC$3:$AC$33)*B6)</f>
        <v>482.65245724302139</v>
      </c>
      <c r="I6" s="158">
        <f>H6*(100%-'Données projet'!$C$24)*(100%-'Données projet'!$C$25)*(100%-'Données projet'!$C$26)*(100%-'Données projet'!$C$27)</f>
        <v>330.13428075422661</v>
      </c>
      <c r="J6" s="159">
        <f>IF(OR('Données projet'!B9="",'Données projet'!C9="",'Données projet'!C9=0%),0,SUM(Calculateur!$V$3:$V$33)*VLOOKUP('Données projet'!$B$9,Paramètres!$A$1:$I$89,9,0)*B6)</f>
        <v>3965.5</v>
      </c>
      <c r="K6" s="160">
        <f>J6*(100%-'Données projet'!$C$24)*(100%-'Données projet'!$C$25)*(100%-'Données projet'!$C$26)*(100%-'Données projet'!$C$27)</f>
        <v>2712.402</v>
      </c>
      <c r="L6" s="161">
        <f ca="1">G6+I6+K6</f>
        <v>3640.1833535691394</v>
      </c>
      <c r="M6" s="25">
        <f ca="1">L6/B6</f>
        <v>330.92575941537632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873.75303043115844</v>
      </c>
      <c r="G16" s="175">
        <f t="shared" ca="1" si="3"/>
        <v>597.64707281491246</v>
      </c>
      <c r="H16" s="176">
        <f t="shared" si="3"/>
        <v>482.65245724302139</v>
      </c>
      <c r="I16" s="176">
        <f t="shared" si="3"/>
        <v>330.13428075422661</v>
      </c>
      <c r="J16" s="177">
        <f t="shared" si="3"/>
        <v>3965.5</v>
      </c>
      <c r="K16" s="177">
        <f t="shared" si="3"/>
        <v>2712.402</v>
      </c>
      <c r="L16" s="178">
        <f t="shared" ca="1" si="3"/>
        <v>3640.1833535691394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I-45/51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3" zoomScale="90" zoomScaleNormal="90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I-45/51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I-45/51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16</v>
      </c>
      <c r="B23" s="193">
        <f>'Données projet'!D36</f>
        <v>350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str">
        <f>IF(O49+1&lt;=MIN('Données projet'!$E$9:$E$18),O49+1,"STOP")</f>
        <v>STOP</v>
      </c>
      <c r="P50" s="197" t="e">
        <f t="shared" si="3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18</v>
      </c>
      <c r="B54" s="193">
        <f>'Données projet'!D62</f>
        <v>288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2024-07-18T08:24:02Z</dcterms:modified>
</cp:coreProperties>
</file>