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oklima1.sharepoint.com/sites/TeamOklima/Shared Documents/03 - Développement/1 - FORET/1 - PROJETS/Benoit ROUDILLON/Dossier LBC/"/>
    </mc:Choice>
  </mc:AlternateContent>
  <xr:revisionPtr revIDLastSave="87" documentId="8_{C1D2B130-0385-4182-B84A-B211ED76EF52}" xr6:coauthVersionLast="47" xr6:coauthVersionMax="47" xr10:uidLastSave="{1E46232B-AE7B-48FE-B17E-74D55F8EA619}"/>
  <bookViews>
    <workbookView xWindow="-110" yWindow="-110" windowWidth="19420" windowHeight="11500" tabRatio="866" firstSheet="1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0" i="6" l="1"/>
  <c r="E79" i="6"/>
  <c r="E48" i="6"/>
  <c r="E17" i="6"/>
  <c r="F9" i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EA4" i="2" l="1"/>
  <c r="FR4" i="2"/>
  <c r="BQ4" i="2"/>
  <c r="EC4" i="2"/>
  <c r="BR4" i="2"/>
  <c r="GL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FR5" i="2" l="1"/>
  <c r="EC5" i="2"/>
  <c r="EX5" i="2"/>
  <c r="EA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HH6" i="2"/>
  <c r="EA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W7" i="2" l="1"/>
  <c r="EV7" i="2"/>
  <c r="EX7" i="2"/>
  <c r="EA7" i="2"/>
  <c r="HI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G10" i="2" l="1"/>
  <c r="HH10" i="2"/>
  <c r="FS10" i="2"/>
  <c r="EA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HH12" i="2"/>
  <c r="EV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C14" i="2" l="1"/>
  <c r="HG14" i="2"/>
  <c r="HH14" i="2"/>
  <c r="EX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HH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A18" i="2" l="1"/>
  <c r="EV18" i="2"/>
  <c r="HG18" i="2"/>
  <c r="FS18" i="2"/>
  <c r="EW18" i="2"/>
  <c r="EX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C20" i="2"/>
  <c r="HG20" i="2"/>
  <c r="EW20" i="2"/>
  <c r="FS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EW21" i="2"/>
  <c r="EB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H22" i="2" l="1"/>
  <c r="EC22" i="2"/>
  <c r="EW22" i="2"/>
  <c r="EA22" i="2"/>
  <c r="EB22" i="2"/>
  <c r="HG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EW24" i="2"/>
  <c r="HH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HI27" i="2" l="1"/>
  <c r="FS27" i="2"/>
  <c r="EX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HI28" i="2" l="1"/>
  <c r="EV28" i="2"/>
  <c r="FS28" i="2"/>
  <c r="EC28" i="2"/>
  <c r="HG28" i="2"/>
  <c r="EB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C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EV33" i="2" s="1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HH33" i="2"/>
  <c r="EB33" i="2"/>
  <c r="HG33" i="2"/>
  <c r="EW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HH35" i="2" s="1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CM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B37" i="2" s="1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HH38" i="2" s="1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FS38" i="2" l="1"/>
  <c r="EX38" i="2"/>
  <c r="HI38" i="2"/>
  <c r="EA38" i="2"/>
  <c r="EW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V42" i="2" l="1"/>
  <c r="HG42" i="2"/>
  <c r="EA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A43" i="2" l="1"/>
  <c r="DG43" i="2"/>
  <c r="EX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EW44" i="2" s="1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C44" i="2" l="1"/>
  <c r="FS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HI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HH48" i="2"/>
  <c r="HG48" i="2"/>
  <c r="EC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G50" i="2" l="1"/>
  <c r="HI50" i="2"/>
  <c r="FS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EV52" i="2" s="1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HG53" i="2" s="1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C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G57" i="2" l="1"/>
  <c r="EV57" i="2"/>
  <c r="FS57" i="2"/>
  <c r="HH57" i="2"/>
  <c r="EB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B59" i="2" l="1"/>
  <c r="EA59" i="2"/>
  <c r="EC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EW60" i="2" s="1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HH60" i="2"/>
  <c r="HG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V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B62" i="2"/>
  <c r="HH62" i="2"/>
  <c r="EA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HG63" i="2"/>
  <c r="EC63" i="2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EV64" i="2"/>
  <c r="EA64" i="2"/>
  <c r="EC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FS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G70" i="2" l="1"/>
  <c r="EB70" i="2"/>
  <c r="HI70" i="2"/>
  <c r="EW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B72" i="2" l="1"/>
  <c r="HH72" i="2"/>
  <c r="EX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G74" i="2" s="1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W74" i="2" l="1"/>
  <c r="FS74" i="2"/>
  <c r="FR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A75" i="2" l="1"/>
  <c r="EB75" i="2"/>
  <c r="FS75" i="2"/>
  <c r="HH75" i="2"/>
  <c r="HG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EA77" i="2"/>
  <c r="HI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EB78" i="2" s="1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C78" i="2" l="1"/>
  <c r="HI78" i="2"/>
  <c r="EW78" i="2"/>
  <c r="EV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G79" i="2" l="1"/>
  <c r="HH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G80" i="2" s="1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EC80" i="2" l="1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V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V83" i="2" l="1"/>
  <c r="EW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HG85" i="2" s="1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H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B86" i="2"/>
  <c r="EC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EA87" i="2" s="1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B87" i="2" l="1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I89" i="2" l="1"/>
  <c r="HG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B95" i="2" l="1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FS98" i="2"/>
  <c r="EW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A103" i="2" l="1"/>
  <c r="HI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B105" i="2"/>
  <c r="FS105" i="2"/>
  <c r="EA105" i="2"/>
  <c r="EV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A107" i="2" l="1"/>
  <c r="EB107" i="2"/>
  <c r="EC107" i="2"/>
  <c r="EX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EB108" i="2" s="1"/>
  <c r="DC108" i="2"/>
  <c r="ET108" i="2"/>
  <c r="EW108" i="2" s="1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G110" i="2" s="1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C112" i="2" l="1"/>
  <c r="EX112" i="2"/>
  <c r="EB112" i="2"/>
  <c r="FQ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EW113" i="2"/>
  <c r="HG113" i="2"/>
  <c r="FS113" i="2"/>
  <c r="EX113" i="2"/>
  <c r="HI113" i="2"/>
  <c r="EC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V116" i="2" l="1"/>
  <c r="EC116" i="2"/>
  <c r="HG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HG117" i="2"/>
  <c r="EA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C118" i="2" l="1"/>
  <c r="FS118" i="2"/>
  <c r="EX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FQ120" i="2"/>
  <c r="HH120" i="2"/>
  <c r="FR120" i="2"/>
  <c r="EX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B121" i="2" l="1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C122" i="2" l="1"/>
  <c r="EW122" i="2"/>
  <c r="FS122" i="2"/>
  <c r="HH122" i="2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EX124" i="2"/>
  <c r="HG124" i="2"/>
  <c r="FS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FS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EV127" i="2"/>
  <c r="HI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B128" i="2" l="1"/>
  <c r="EX128" i="2"/>
  <c r="FS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X129" i="2" l="1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G130" i="2" s="1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HH130" i="2"/>
  <c r="EB130" i="2"/>
  <c r="EX130" i="2"/>
  <c r="FS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FS132" i="2" l="1"/>
  <c r="EC132" i="2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HH133" i="2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W134" i="2"/>
  <c r="HG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A135" i="2" l="1"/>
  <c r="EW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H137" i="2" s="1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W139" i="2" l="1"/>
  <c r="EA139" i="2"/>
  <c r="HH139" i="2"/>
  <c r="FS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FS140" i="2" l="1"/>
  <c r="EC140" i="2"/>
  <c r="HG140" i="2"/>
  <c r="FR140" i="2"/>
  <c r="HH140" i="2"/>
  <c r="EX140" i="2"/>
  <c r="EB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A141" i="2" l="1"/>
  <c r="FS141" i="2"/>
  <c r="EB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W142" i="2" l="1"/>
  <c r="EC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X144" i="2" l="1"/>
  <c r="EA144" i="2"/>
  <c r="EB144" i="2"/>
  <c r="HG144" i="2"/>
  <c r="FR144" i="2"/>
  <c r="HH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HG145" i="2" s="1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FR145" i="2" l="1"/>
  <c r="EB145" i="2"/>
  <c r="EA145" i="2"/>
  <c r="HH145" i="2"/>
  <c r="EX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R146" i="2" l="1"/>
  <c r="HI146" i="2"/>
  <c r="FS146" i="2"/>
  <c r="HG146" i="2"/>
  <c r="EA146" i="2"/>
  <c r="HH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HG149" i="2" s="1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H149" i="2" l="1"/>
  <c r="EC149" i="2"/>
  <c r="EX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EV150" i="2"/>
  <c r="FS150" i="2"/>
  <c r="HI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V151" i="2" l="1"/>
  <c r="EC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B153" i="2" l="1"/>
  <c r="EA153" i="2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EB154" i="2" l="1"/>
  <c r="HG154" i="2"/>
  <c r="AB154" i="2"/>
  <c r="HH154" i="2"/>
  <c r="EX154" i="2"/>
  <c r="AA154" i="2"/>
  <c r="EV154" i="2"/>
  <c r="EY154" i="2" s="1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ED154" i="2" l="1"/>
  <c r="HG155" i="2"/>
  <c r="AC154" i="2"/>
  <c r="EW155" i="2"/>
  <c r="EA155" i="2"/>
  <c r="DI154" i="2"/>
  <c r="HH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ED155" i="2" s="1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HI156" i="2" l="1"/>
  <c r="AB156" i="2"/>
  <c r="FS156" i="2"/>
  <c r="EB156" i="2"/>
  <c r="EX156" i="2"/>
  <c r="DH156" i="2"/>
  <c r="HH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X157" i="2" l="1"/>
  <c r="EC157" i="2"/>
  <c r="CN156" i="2"/>
  <c r="EA157" i="2"/>
  <c r="EB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HG158" i="2" l="1"/>
  <c r="EW158" i="2"/>
  <c r="ED157" i="2"/>
  <c r="EC158" i="2"/>
  <c r="EV158" i="2"/>
  <c r="HH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ED158" i="2"/>
  <c r="EA159" i="2"/>
  <c r="HI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H160" i="2" l="1"/>
  <c r="EC160" i="2"/>
  <c r="FS160" i="2"/>
  <c r="DG160" i="2"/>
  <c r="HG160" i="2"/>
  <c r="HI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HH161" i="2" l="1"/>
  <c r="ED160" i="2"/>
  <c r="EB161" i="2"/>
  <c r="EX161" i="2"/>
  <c r="AB161" i="2"/>
  <c r="EA161" i="2"/>
  <c r="FS161" i="2"/>
  <c r="AW161" i="2"/>
  <c r="EC161" i="2"/>
  <c r="ED161" i="2" s="1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HH162" i="2" l="1"/>
  <c r="EW162" i="2"/>
  <c r="EY161" i="2"/>
  <c r="DI161" i="2"/>
  <c r="EC162" i="2"/>
  <c r="EB162" i="2"/>
  <c r="FS162" i="2"/>
  <c r="AU162" i="2"/>
  <c r="EX162" i="2"/>
  <c r="EA162" i="2"/>
  <c r="EV162" i="2"/>
  <c r="EY162" i="2" s="1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B163" i="2" l="1"/>
  <c r="ED162" i="2"/>
  <c r="HI163" i="2"/>
  <c r="EV163" i="2"/>
  <c r="FS163" i="2"/>
  <c r="EC163" i="2"/>
  <c r="EX163" i="2"/>
  <c r="DH163" i="2"/>
  <c r="EW163" i="2"/>
  <c r="EY163" i="2" s="1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DI163" i="2" l="1"/>
  <c r="EX164" i="2"/>
  <c r="DH164" i="2"/>
  <c r="FR164" i="2"/>
  <c r="HH164" i="2"/>
  <c r="HG164" i="2"/>
  <c r="EA164" i="2"/>
  <c r="EV164" i="2"/>
  <c r="FS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B165" i="2" l="1"/>
  <c r="HH165" i="2"/>
  <c r="EA165" i="2"/>
  <c r="HG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D165" i="2" l="1"/>
  <c r="EC166" i="2"/>
  <c r="CN165" i="2"/>
  <c r="HG166" i="2"/>
  <c r="FS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X167" i="2" l="1"/>
  <c r="EC167" i="2"/>
  <c r="EA167" i="2"/>
  <c r="EB167" i="2"/>
  <c r="HI167" i="2"/>
  <c r="FR167" i="2"/>
  <c r="DG167" i="2"/>
  <c r="HH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B168" i="2" l="1"/>
  <c r="DG168" i="2"/>
  <c r="DI167" i="2"/>
  <c r="HI168" i="2"/>
  <c r="EW168" i="2"/>
  <c r="HH168" i="2"/>
  <c r="EV168" i="2"/>
  <c r="EC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B169" i="2" l="1"/>
  <c r="EY168" i="2"/>
  <c r="EA169" i="2"/>
  <c r="FS169" i="2"/>
  <c r="HH169" i="2"/>
  <c r="EX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EB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EY171" i="2" s="1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D171" i="2" l="1"/>
  <c r="HG172" i="2"/>
  <c r="EV172" i="2"/>
  <c r="EA172" i="2"/>
  <c r="EW172" i="2"/>
  <c r="EB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D172" i="2" l="1"/>
  <c r="EB173" i="2"/>
  <c r="EW173" i="2"/>
  <c r="HH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C174" i="2" l="1"/>
  <c r="HH174" i="2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ED174" i="2" l="1"/>
  <c r="AA175" i="2"/>
  <c r="FS175" i="2"/>
  <c r="EA175" i="2"/>
  <c r="EW175" i="2"/>
  <c r="HI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B176" i="2" l="1"/>
  <c r="EC176" i="2"/>
  <c r="HH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W177" i="2" l="1"/>
  <c r="FS177" i="2"/>
  <c r="HH177" i="2"/>
  <c r="EC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HH178" i="2" l="1"/>
  <c r="EW178" i="2"/>
  <c r="HG178" i="2"/>
  <c r="EB178" i="2"/>
  <c r="ED177" i="2"/>
  <c r="EA178" i="2"/>
  <c r="FS178" i="2"/>
  <c r="HI178" i="2"/>
  <c r="EX178" i="2"/>
  <c r="EC178" i="2"/>
  <c r="ED178" i="2" s="1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HG179" i="2" s="1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B179" i="2" l="1"/>
  <c r="HH179" i="2"/>
  <c r="EV179" i="2"/>
  <c r="HI179" i="2"/>
  <c r="DF179" i="2"/>
  <c r="FS179" i="2"/>
  <c r="EX179" i="2"/>
  <c r="AW179" i="2"/>
  <c r="EC179" i="2"/>
  <c r="ED179" i="2" s="1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Y179" i="2" l="1"/>
  <c r="EX180" i="2"/>
  <c r="HI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D180" i="2" s="1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W181" i="2" l="1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EC182" i="2"/>
  <c r="EX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ED182" i="2" s="1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Y182" i="2"/>
  <c r="FS183" i="2" l="1"/>
  <c r="EB183" i="2"/>
  <c r="EA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EY183" i="2" l="1"/>
  <c r="HI184" i="2"/>
  <c r="FS184" i="2"/>
  <c r="EX184" i="2"/>
  <c r="EC184" i="2"/>
  <c r="AW184" i="2"/>
  <c r="EB184" i="2"/>
  <c r="EV184" i="2"/>
  <c r="EY184" i="2" s="1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D184" i="2" l="1"/>
  <c r="EW185" i="2"/>
  <c r="HH185" i="2"/>
  <c r="HG185" i="2"/>
  <c r="HI185" i="2"/>
  <c r="EB185" i="2"/>
  <c r="EA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EA186" i="2"/>
  <c r="HG186" i="2"/>
  <c r="ED185" i="2"/>
  <c r="FR186" i="2"/>
  <c r="EB186" i="2"/>
  <c r="FS186" i="2"/>
  <c r="EW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H187" i="2" l="1"/>
  <c r="EC187" i="2"/>
  <c r="EB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ED187" i="2" l="1"/>
  <c r="HI188" i="2"/>
  <c r="FS188" i="2"/>
  <c r="EC188" i="2"/>
  <c r="EV188" i="2"/>
  <c r="EY188" i="2" s="1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B189" i="2" l="1"/>
  <c r="EV189" i="2"/>
  <c r="HH189" i="2"/>
  <c r="AA189" i="2"/>
  <c r="EC189" i="2"/>
  <c r="FS189" i="2"/>
  <c r="HI189" i="2"/>
  <c r="EX189" i="2"/>
  <c r="EA189" i="2"/>
  <c r="ED189" i="2" s="1"/>
  <c r="GN189" i="2"/>
  <c r="HG189" i="2"/>
  <c r="HJ189" i="2" s="1"/>
  <c r="DH189" i="2"/>
  <c r="DF189" i="2"/>
  <c r="DG189" i="2"/>
  <c r="FQ189" i="2"/>
  <c r="FR189" i="2"/>
  <c r="GM189" i="2"/>
  <c r="GL189" i="2"/>
  <c r="EW189" i="2"/>
  <c r="EY189" i="2" s="1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EW190" i="2" l="1"/>
  <c r="EB190" i="2"/>
  <c r="HH190" i="2"/>
  <c r="EV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D190" i="2" l="1"/>
  <c r="HH191" i="2"/>
  <c r="EW191" i="2"/>
  <c r="EC191" i="2"/>
  <c r="EX191" i="2"/>
  <c r="FS191" i="2"/>
  <c r="EA191" i="2"/>
  <c r="EV191" i="2"/>
  <c r="EY191" i="2" s="1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GI192" i="2"/>
  <c r="HD192" i="2"/>
  <c r="HG192" i="2" s="1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V192" i="2" l="1"/>
  <c r="EY192" i="2" s="1"/>
  <c r="EA192" i="2"/>
  <c r="EB192" i="2"/>
  <c r="EW192" i="2"/>
  <c r="HI192" i="2"/>
  <c r="EC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D192" i="2" l="1"/>
  <c r="EA193" i="2"/>
  <c r="EB193" i="2"/>
  <c r="DI192" i="2"/>
  <c r="EX193" i="2"/>
  <c r="HI193" i="2"/>
  <c r="FS193" i="2"/>
  <c r="EC193" i="2"/>
  <c r="ED193" i="2" s="1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B194" i="2" l="1"/>
  <c r="EA194" i="2"/>
  <c r="CN193" i="2"/>
  <c r="HG194" i="2"/>
  <c r="FQ194" i="2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EA195" i="2" l="1"/>
  <c r="HG195" i="2"/>
  <c r="ED194" i="2"/>
  <c r="EY194" i="2"/>
  <c r="HI195" i="2"/>
  <c r="AA195" i="2"/>
  <c r="DH195" i="2"/>
  <c r="EX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HH196" i="2"/>
  <c r="HG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FS197" i="2" l="1"/>
  <c r="EY196" i="2"/>
  <c r="AA197" i="2"/>
  <c r="EW197" i="2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D197" i="2" l="1"/>
  <c r="EV198" i="2"/>
  <c r="EY198" i="2" s="1"/>
  <c r="EW198" i="2"/>
  <c r="HI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V199" i="2" l="1"/>
  <c r="HG199" i="2"/>
  <c r="EB199" i="2"/>
  <c r="FS199" i="2"/>
  <c r="EW199" i="2"/>
  <c r="EA199" i="2"/>
  <c r="HH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BX4" i="2" s="1" a="1"/>
  <c r="BX4" i="2" s="1"/>
  <c r="BY4" i="2" s="1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BC5" i="2" s="1" a="1"/>
  <c r="BC5" i="2" s="1"/>
  <c r="BD5" i="2" s="1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A201" i="2" l="1"/>
  <c r="ED200" i="2"/>
  <c r="DI200" i="2"/>
  <c r="FS201" i="2"/>
  <c r="HH201" i="2"/>
  <c r="EB201" i="2"/>
  <c r="HG201" i="2"/>
  <c r="HI201" i="2"/>
  <c r="EX201" i="2"/>
  <c r="AI5" i="2"/>
  <c r="EW201" i="2"/>
  <c r="EC201" i="2"/>
  <c r="ED201" i="2" s="1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HG202" i="2" s="1"/>
  <c r="GK202" i="2"/>
  <c r="HE202" i="2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FS202" i="2" l="1"/>
  <c r="EY201" i="2"/>
  <c r="HH202" i="2"/>
  <c r="FZ6" i="2"/>
  <c r="FR202" i="2"/>
  <c r="HI202" i="2"/>
  <c r="EV202" i="2"/>
  <c r="EY202" i="2" s="1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50" i="2" a="1"/>
  <c r="FY50" i="2" s="1"/>
  <c r="FY54" i="2" a="1"/>
  <c r="FY54" i="2" s="1"/>
  <c r="FY18" i="2" a="1"/>
  <c r="FY18" i="2" s="1"/>
  <c r="FY71" i="2" a="1"/>
  <c r="FY71" i="2" s="1"/>
  <c r="FY186" i="2" a="1"/>
  <c r="FY186" i="2" s="1"/>
  <c r="FY152" i="2" a="1"/>
  <c r="FY152" i="2" s="1"/>
  <c r="FY55" i="2" a="1"/>
  <c r="FY55" i="2" s="1"/>
  <c r="FY178" i="2" a="1"/>
  <c r="FY178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68" i="2" a="1"/>
  <c r="BC68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2" i="2" a="1"/>
  <c r="DN152" i="2" s="1"/>
  <c r="EI195" i="2" a="1"/>
  <c r="EI195" i="2" s="1"/>
  <c r="FY182" i="2" a="1"/>
  <c r="FY182" i="2" s="1"/>
  <c r="FY82" i="2" a="1"/>
  <c r="FY82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DN31" i="2" a="1"/>
  <c r="DN31" i="2" s="1"/>
  <c r="DN6" i="2" a="1"/>
  <c r="DN6" i="2" s="1"/>
  <c r="DO6" i="2" s="1"/>
  <c r="FD82" i="2" a="1"/>
  <c r="FD82" i="2" s="1"/>
  <c r="HJ202" i="2"/>
  <c r="AX200" i="2"/>
  <c r="BC151" i="2" l="1" a="1"/>
  <c r="BC151" i="2" s="1"/>
  <c r="DN66" i="2" a="1"/>
  <c r="DN66" i="2" s="1"/>
  <c r="CS24" i="2" a="1"/>
  <c r="CS24" i="2" s="1"/>
  <c r="BC32" i="2" a="1"/>
  <c r="BC32" i="2" s="1"/>
  <c r="BC192" i="2" a="1"/>
  <c r="BC192" i="2" s="1"/>
  <c r="BC117" i="2" a="1"/>
  <c r="BC117" i="2" s="1"/>
  <c r="BC18" i="2" a="1"/>
  <c r="BC18" i="2" s="1"/>
  <c r="BC55" i="2" a="1"/>
  <c r="BC55" i="2" s="1"/>
  <c r="BC181" i="2" a="1"/>
  <c r="BC181" i="2" s="1"/>
  <c r="BC164" i="2" a="1"/>
  <c r="BC164" i="2" s="1"/>
  <c r="BC38" i="2" a="1"/>
  <c r="BC38" i="2" s="1"/>
  <c r="BC130" i="2" a="1"/>
  <c r="BC130" i="2" s="1"/>
  <c r="BC65" i="2" a="1"/>
  <c r="BC65" i="2" s="1"/>
  <c r="BC83" i="2" a="1"/>
  <c r="BC83" i="2" s="1"/>
  <c r="BC47" i="2" a="1"/>
  <c r="BC47" i="2" s="1"/>
  <c r="AH151" i="2" a="1"/>
  <c r="AH151" i="2" s="1"/>
  <c r="BC34" i="2" a="1"/>
  <c r="BC34" i="2" s="1"/>
  <c r="BC114" i="2" a="1"/>
  <c r="BC114" i="2" s="1"/>
  <c r="BC126" i="2" a="1"/>
  <c r="BC126" i="2" s="1"/>
  <c r="BC82" i="2" a="1"/>
  <c r="BC82" i="2" s="1"/>
  <c r="BC58" i="2" a="1"/>
  <c r="BC58" i="2" s="1"/>
  <c r="CS38" i="2" a="1"/>
  <c r="CS38" i="2" s="1"/>
  <c r="CS77" i="2" a="1"/>
  <c r="CS77" i="2" s="1"/>
  <c r="AH19" i="2" a="1"/>
  <c r="AH19" i="2" s="1"/>
  <c r="AH90" i="2" a="1"/>
  <c r="AH90" i="2" s="1"/>
  <c r="BP203" i="2"/>
  <c r="DN16" i="2" a="1"/>
  <c r="DN16" i="2" s="1"/>
  <c r="FY173" i="2" a="1"/>
  <c r="FY173" i="2" s="1"/>
  <c r="DN43" i="2" a="1"/>
  <c r="DN43" i="2" s="1"/>
  <c r="FY188" i="2" a="1"/>
  <c r="FY188" i="2" s="1"/>
  <c r="DN49" i="2" a="1"/>
  <c r="DN49" i="2" s="1"/>
  <c r="DN186" i="2" a="1"/>
  <c r="DN186" i="2" s="1"/>
  <c r="FY28" i="2" a="1"/>
  <c r="FY28" i="2" s="1"/>
  <c r="FY121" i="2" a="1"/>
  <c r="FY121" i="2" s="1"/>
  <c r="FY35" i="2" a="1"/>
  <c r="FY35" i="2" s="1"/>
  <c r="DN190" i="2" a="1"/>
  <c r="DN190" i="2" s="1"/>
  <c r="DN170" i="2" a="1"/>
  <c r="DN170" i="2" s="1"/>
  <c r="FY142" i="2" a="1"/>
  <c r="FY142" i="2" s="1"/>
  <c r="CS161" i="2" a="1"/>
  <c r="CS161" i="2" s="1"/>
  <c r="DN123" i="2" a="1"/>
  <c r="DN123" i="2" s="1"/>
  <c r="DN129" i="2" a="1"/>
  <c r="DN129" i="2" s="1"/>
  <c r="CS52" i="2" a="1"/>
  <c r="CS52" i="2" s="1"/>
  <c r="FY169" i="2" a="1"/>
  <c r="FY169" i="2" s="1"/>
  <c r="FY99" i="2" a="1"/>
  <c r="FY99" i="2" s="1"/>
  <c r="FY153" i="2" a="1"/>
  <c r="FY153" i="2" s="1"/>
  <c r="FY146" i="2" a="1"/>
  <c r="FY146" i="2" s="1"/>
  <c r="DN132" i="2" a="1"/>
  <c r="DN132" i="2" s="1"/>
  <c r="DN188" i="2" a="1"/>
  <c r="DN188" i="2" s="1"/>
  <c r="FY115" i="2" a="1"/>
  <c r="FY115" i="2" s="1"/>
  <c r="FY133" i="2" a="1"/>
  <c r="FY133" i="2" s="1"/>
  <c r="DN162" i="2" a="1"/>
  <c r="DN162" i="2" s="1"/>
  <c r="DN177" i="2" a="1"/>
  <c r="DN177" i="2" s="1"/>
  <c r="FY164" i="2" a="1"/>
  <c r="FY164" i="2" s="1"/>
  <c r="FY29" i="2" a="1"/>
  <c r="FY29" i="2" s="1"/>
  <c r="DN135" i="2" a="1"/>
  <c r="DN135" i="2" s="1"/>
  <c r="CS129" i="2" a="1"/>
  <c r="CS129" i="2" s="1"/>
  <c r="FY124" i="2" a="1"/>
  <c r="FY124" i="2" s="1"/>
  <c r="BX107" i="2" a="1"/>
  <c r="BX107" i="2" s="1"/>
  <c r="DN65" i="2" a="1"/>
  <c r="DN65" i="2" s="1"/>
  <c r="CS114" i="2" a="1"/>
  <c r="CS114" i="2" s="1"/>
  <c r="CS120" i="2" a="1"/>
  <c r="CS120" i="2" s="1"/>
  <c r="FY80" i="2" a="1"/>
  <c r="FY80" i="2" s="1"/>
  <c r="AH163" i="2" a="1"/>
  <c r="AH163" i="2" s="1"/>
  <c r="DN50" i="2" a="1"/>
  <c r="DN50" i="2" s="1"/>
  <c r="DN124" i="2" a="1"/>
  <c r="DN124" i="2" s="1"/>
  <c r="FY62" i="2" a="1"/>
  <c r="FY62" i="2" s="1"/>
  <c r="FY116" i="2" a="1"/>
  <c r="FY116" i="2" s="1"/>
  <c r="FY102" i="2" a="1"/>
  <c r="FY102" i="2" s="1"/>
  <c r="FY32" i="2" a="1"/>
  <c r="FY32" i="2" s="1"/>
  <c r="FS203" i="2"/>
  <c r="DN41" i="2" a="1"/>
  <c r="DN41" i="2" s="1"/>
  <c r="FY126" i="2" a="1"/>
  <c r="FY126" i="2" s="1"/>
  <c r="DN46" i="2" a="1"/>
  <c r="DN46" i="2" s="1"/>
  <c r="FY140" i="2" a="1"/>
  <c r="FY140" i="2" s="1"/>
  <c r="FY58" i="2" a="1"/>
  <c r="FY58" i="2" s="1"/>
  <c r="FY47" i="2" a="1"/>
  <c r="FY47" i="2" s="1"/>
  <c r="DN176" i="2" a="1"/>
  <c r="DN176" i="2" s="1"/>
  <c r="DN153" i="2" a="1"/>
  <c r="DN153" i="2" s="1"/>
  <c r="FY24" i="2" a="1"/>
  <c r="FY24" i="2" s="1"/>
  <c r="FY167" i="2" a="1"/>
  <c r="FY167" i="2" s="1"/>
  <c r="FY174" i="2" a="1"/>
  <c r="FY174" i="2" s="1"/>
  <c r="DN38" i="2" a="1"/>
  <c r="DN38" i="2" s="1"/>
  <c r="DN70" i="2" a="1"/>
  <c r="DN70" i="2" s="1"/>
  <c r="CS56" i="2" a="1"/>
  <c r="CS56" i="2" s="1"/>
  <c r="DN63" i="2" a="1"/>
  <c r="DN63" i="2" s="1"/>
  <c r="FY30" i="2" a="1"/>
  <c r="FY30" i="2" s="1"/>
  <c r="AH62" i="2" a="1"/>
  <c r="AH62" i="2" s="1"/>
  <c r="CS116" i="2" a="1"/>
  <c r="CS116" i="2" s="1"/>
  <c r="DN113" i="2" a="1"/>
  <c r="DN113" i="2" s="1"/>
  <c r="CS66" i="2" a="1"/>
  <c r="CS66" i="2" s="1"/>
  <c r="FY190" i="2" a="1"/>
  <c r="FY190" i="2" s="1"/>
  <c r="FY92" i="2" a="1"/>
  <c r="FY92" i="2" s="1"/>
  <c r="FY69" i="2" a="1"/>
  <c r="FY69" i="2" s="1"/>
  <c r="FY22" i="2" a="1"/>
  <c r="FY22" i="2" s="1"/>
  <c r="DN30" i="2" a="1"/>
  <c r="DN30" i="2" s="1"/>
  <c r="DN86" i="2" a="1"/>
  <c r="DN86" i="2" s="1"/>
  <c r="FY34" i="2" a="1"/>
  <c r="FY34" i="2" s="1"/>
  <c r="DN114" i="2" a="1"/>
  <c r="DN114" i="2" s="1"/>
  <c r="FY79" i="2" a="1"/>
  <c r="FY79" i="2" s="1"/>
  <c r="DN103" i="2" a="1"/>
  <c r="DN103" i="2" s="1"/>
  <c r="FY143" i="2" a="1"/>
  <c r="FY143" i="2" s="1"/>
  <c r="DN164" i="2" a="1"/>
  <c r="DN164" i="2" s="1"/>
  <c r="DN137" i="2" a="1"/>
  <c r="DN137" i="2" s="1"/>
  <c r="FY78" i="2" a="1"/>
  <c r="FY78" i="2" s="1"/>
  <c r="CS105" i="2" a="1"/>
  <c r="CS105" i="2" s="1"/>
  <c r="FY110" i="2" a="1"/>
  <c r="FY110" i="2" s="1"/>
  <c r="DN133" i="2" a="1"/>
  <c r="DN133" i="2" s="1"/>
  <c r="DN45" i="2" a="1"/>
  <c r="DN45" i="2" s="1"/>
  <c r="DN55" i="2" a="1"/>
  <c r="DN55" i="2" s="1"/>
  <c r="DN80" i="2" a="1"/>
  <c r="DN80" i="2" s="1"/>
  <c r="FY42" i="2" a="1"/>
  <c r="FY42" i="2" s="1"/>
  <c r="AH199" i="2" a="1"/>
  <c r="AH199" i="2" s="1"/>
  <c r="DN150" i="2" a="1"/>
  <c r="DN150" i="2" s="1"/>
  <c r="DN25" i="2" a="1"/>
  <c r="DN25" i="2" s="1"/>
  <c r="DN155" i="2" a="1"/>
  <c r="DN155" i="2" s="1"/>
  <c r="DN56" i="2" a="1"/>
  <c r="DN56" i="2" s="1"/>
  <c r="FY72" i="2" a="1"/>
  <c r="FY72" i="2" s="1"/>
  <c r="FY111" i="2" a="1"/>
  <c r="FY111" i="2" s="1"/>
  <c r="FY66" i="2" a="1"/>
  <c r="FY66" i="2" s="1"/>
  <c r="FY90" i="2" a="1"/>
  <c r="FY90" i="2" s="1"/>
  <c r="DN167" i="2" a="1"/>
  <c r="DN167" i="2" s="1"/>
  <c r="DN29" i="2" a="1"/>
  <c r="DN29" i="2" s="1"/>
  <c r="FY109" i="2" a="1"/>
  <c r="FY109" i="2" s="1"/>
  <c r="FY86" i="2" a="1"/>
  <c r="FY86" i="2" s="1"/>
  <c r="FY159" i="2" a="1"/>
  <c r="FY159" i="2" s="1"/>
  <c r="DN115" i="2" a="1"/>
  <c r="DN115" i="2" s="1"/>
  <c r="FY149" i="2" a="1"/>
  <c r="FY149" i="2" s="1"/>
  <c r="FY191" i="2" a="1"/>
  <c r="FY191" i="2" s="1"/>
  <c r="DN187" i="2" a="1"/>
  <c r="DN187" i="2" s="1"/>
  <c r="CS137" i="2" a="1"/>
  <c r="CS137" i="2" s="1"/>
  <c r="FY165" i="2" a="1"/>
  <c r="FY165" i="2" s="1"/>
  <c r="CS72" i="2" a="1"/>
  <c r="CS72" i="2" s="1"/>
  <c r="CS134" i="2" a="1"/>
  <c r="CS134" i="2" s="1"/>
  <c r="DN110" i="2" a="1"/>
  <c r="DN110" i="2" s="1"/>
  <c r="CS185" i="2" a="1"/>
  <c r="CS185" i="2" s="1"/>
  <c r="FY196" i="2" a="1"/>
  <c r="FY196" i="2" s="1"/>
  <c r="AH166" i="2" a="1"/>
  <c r="AH166" i="2" s="1"/>
  <c r="DN192" i="2" a="1"/>
  <c r="DN192" i="2" s="1"/>
  <c r="DN184" i="2" a="1"/>
  <c r="DN184" i="2" s="1"/>
  <c r="AH92" i="2" a="1"/>
  <c r="AH92" i="2" s="1"/>
  <c r="FY73" i="2" a="1"/>
  <c r="FY73" i="2" s="1"/>
  <c r="FY120" i="2" a="1"/>
  <c r="FY120" i="2" s="1"/>
  <c r="FY57" i="2" a="1"/>
  <c r="FY57" i="2" s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Z8" i="2" s="1"/>
  <c r="FZ9" i="2" s="1"/>
  <c r="FZ10" i="2" s="1"/>
  <c r="FZ11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FT203" i="2" s="1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EY203" i="2" s="1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ED203" i="2" l="1"/>
  <c r="DI203" i="2"/>
  <c r="CN203" i="2"/>
  <c r="FZ12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Z195" i="2" l="1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CY26" i="2" l="1"/>
  <c r="CY200" i="2"/>
  <c r="CY103" i="2"/>
  <c r="CY134" i="2"/>
  <c r="CY138" i="2"/>
  <c r="CY196" i="2"/>
  <c r="CY175" i="2"/>
  <c r="CY80" i="2"/>
  <c r="CY33" i="2"/>
  <c r="CY24" i="2"/>
  <c r="CY43" i="2"/>
  <c r="CY168" i="2"/>
  <c r="CY157" i="2"/>
  <c r="CY56" i="2"/>
  <c r="CY77" i="2"/>
  <c r="CY37" i="2"/>
  <c r="CY201" i="2"/>
  <c r="CY83" i="2"/>
  <c r="CY9" i="2"/>
  <c r="CY113" i="2"/>
  <c r="CY172" i="2"/>
  <c r="CY93" i="2"/>
  <c r="CY42" i="2"/>
  <c r="CY132" i="2"/>
  <c r="CY174" i="2"/>
  <c r="CY102" i="2"/>
  <c r="CY116" i="2"/>
  <c r="CY59" i="2"/>
  <c r="CY96" i="2"/>
  <c r="CY82" i="2"/>
  <c r="CY111" i="2"/>
  <c r="CY66" i="2"/>
  <c r="CY112" i="2"/>
  <c r="CY192" i="2"/>
  <c r="CY39" i="2"/>
  <c r="CY25" i="2"/>
  <c r="CY73" i="2"/>
  <c r="CY117" i="2"/>
  <c r="CY29" i="2"/>
  <c r="CY28" i="2"/>
  <c r="CY166" i="2"/>
  <c r="CY182" i="2"/>
  <c r="CY203" i="2"/>
  <c r="CY190" i="2"/>
  <c r="CY162" i="2"/>
  <c r="CY16" i="2"/>
  <c r="CY67" i="2"/>
  <c r="CY35" i="2"/>
  <c r="CY199" i="2"/>
  <c r="CY131" i="2"/>
  <c r="CY104" i="2"/>
  <c r="CY20" i="2"/>
  <c r="CY150" i="2"/>
  <c r="CY15" i="2"/>
  <c r="CY194" i="2"/>
  <c r="CY119" i="2"/>
  <c r="CY158" i="2"/>
  <c r="CY109" i="2"/>
  <c r="CY145" i="2"/>
  <c r="CY198" i="2"/>
  <c r="CY3" i="2"/>
  <c r="C10" i="4" s="1"/>
  <c r="E10" i="4" s="1"/>
  <c r="F10" i="4" s="1"/>
  <c r="G10" i="4" s="1"/>
  <c r="L10" i="4" s="1"/>
  <c r="CY141" i="2"/>
  <c r="CY19" i="2"/>
  <c r="CY95" i="2"/>
  <c r="CY151" i="2"/>
  <c r="CY161" i="2"/>
  <c r="CY62" i="2"/>
  <c r="CY92" i="2"/>
  <c r="CY41" i="2"/>
  <c r="CY110" i="2"/>
  <c r="CY143" i="2"/>
  <c r="CY127" i="2"/>
  <c r="CY101" i="2"/>
  <c r="CY123" i="2"/>
  <c r="CY6" i="2"/>
  <c r="CY125" i="2"/>
  <c r="CY90" i="2"/>
  <c r="CY34" i="2"/>
  <c r="CY27" i="2"/>
  <c r="CY142" i="2"/>
  <c r="CY23" i="2"/>
  <c r="CY167" i="2"/>
  <c r="CY49" i="2"/>
  <c r="CY137" i="2"/>
  <c r="CY165" i="2"/>
  <c r="CY52" i="2"/>
  <c r="CY7" i="2"/>
  <c r="CY191" i="2"/>
  <c r="CY193" i="2"/>
  <c r="CY14" i="2"/>
  <c r="CY164" i="2"/>
  <c r="CY176" i="2"/>
  <c r="CY78" i="2"/>
  <c r="CY169" i="2"/>
  <c r="CY108" i="2"/>
  <c r="CY121" i="2"/>
  <c r="CY10" i="2"/>
  <c r="CY181" i="2"/>
  <c r="CY155" i="2"/>
  <c r="CY76" i="2"/>
  <c r="CY118" i="2"/>
  <c r="CY195" i="2"/>
  <c r="CY30" i="2"/>
  <c r="CY183" i="2"/>
  <c r="CY64" i="2"/>
  <c r="CY152" i="2"/>
  <c r="CY130" i="2"/>
  <c r="CY72" i="2"/>
  <c r="CY105" i="2"/>
  <c r="CY32" i="2"/>
  <c r="CY84" i="2"/>
  <c r="CY13" i="2"/>
  <c r="CY11" i="2"/>
  <c r="CY51" i="2"/>
  <c r="CY188" i="2"/>
  <c r="CY139" i="2"/>
  <c r="CY122" i="2"/>
  <c r="CY71" i="2"/>
  <c r="CY88" i="2"/>
  <c r="CY48" i="2"/>
  <c r="CY47" i="2"/>
  <c r="CY8" i="2"/>
  <c r="CY60" i="2"/>
  <c r="CY180" i="2"/>
  <c r="CY187" i="2"/>
  <c r="CY128" i="2"/>
  <c r="CY5" i="2"/>
  <c r="CY106" i="2"/>
  <c r="CY100" i="2"/>
  <c r="CY75" i="2"/>
  <c r="CY153" i="2"/>
  <c r="CY115" i="2"/>
  <c r="CY63" i="2"/>
  <c r="CY154" i="2"/>
  <c r="CY185" i="2"/>
  <c r="CY18" i="2"/>
  <c r="CY85" i="2"/>
  <c r="CY44" i="2"/>
  <c r="CY148" i="2"/>
  <c r="CY140" i="2"/>
  <c r="CY135" i="2"/>
  <c r="CY136" i="2"/>
  <c r="CY87" i="2"/>
  <c r="CY156" i="2"/>
  <c r="CY186" i="2"/>
  <c r="CY98" i="2"/>
  <c r="CY65" i="2"/>
  <c r="CY120" i="2"/>
  <c r="CY86" i="2"/>
  <c r="CY146" i="2"/>
  <c r="CY189" i="2"/>
  <c r="CY70" i="2"/>
  <c r="CY163" i="2"/>
  <c r="CY126" i="2"/>
  <c r="CY159" i="2"/>
  <c r="CY97" i="2"/>
  <c r="CY177" i="2"/>
  <c r="CY147" i="2"/>
  <c r="CY57" i="2"/>
  <c r="CY89" i="2"/>
  <c r="CY133" i="2"/>
  <c r="CY45" i="2"/>
  <c r="CY36" i="2"/>
  <c r="CY129" i="2"/>
  <c r="CY17" i="2"/>
  <c r="CY171" i="2"/>
  <c r="CY40" i="2"/>
  <c r="CY178" i="2"/>
  <c r="CY58" i="2"/>
  <c r="CY114" i="2"/>
  <c r="CY170" i="2"/>
  <c r="CY22" i="2"/>
  <c r="CY61" i="2"/>
  <c r="CY38" i="2"/>
  <c r="CY31" i="2"/>
  <c r="CY173" i="2"/>
  <c r="CY21" i="2"/>
  <c r="CY94" i="2"/>
  <c r="CY184" i="2"/>
  <c r="CY12" i="2"/>
  <c r="CY124" i="2"/>
  <c r="CY179" i="2"/>
  <c r="CY160" i="2"/>
  <c r="CY69" i="2"/>
  <c r="CY4" i="2"/>
  <c r="CY74" i="2"/>
  <c r="CY53" i="2"/>
  <c r="CY50" i="2"/>
  <c r="CY79" i="2"/>
  <c r="CY149" i="2"/>
  <c r="CY54" i="2"/>
  <c r="CY91" i="2"/>
  <c r="CY197" i="2"/>
  <c r="CY99" i="2"/>
  <c r="CY46" i="2"/>
  <c r="CY202" i="2"/>
  <c r="CY107" i="2"/>
  <c r="CY81" i="2"/>
  <c r="CY68" i="2"/>
  <c r="CY55" i="2"/>
  <c r="CY144" i="2"/>
  <c r="FE125" i="2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CD167" i="2" l="1"/>
  <c r="CD73" i="2"/>
  <c r="CD136" i="2"/>
  <c r="CD84" i="2"/>
  <c r="CD182" i="2"/>
  <c r="CD147" i="2"/>
  <c r="CD102" i="2"/>
  <c r="CD116" i="2"/>
  <c r="CD164" i="2"/>
  <c r="CD67" i="2"/>
  <c r="CD6" i="2"/>
  <c r="CD120" i="2"/>
  <c r="CD192" i="2"/>
  <c r="CD96" i="2"/>
  <c r="CD137" i="2"/>
  <c r="CD66" i="2"/>
  <c r="CD83" i="2"/>
  <c r="CD189" i="2"/>
  <c r="CD128" i="2"/>
  <c r="CD31" i="2"/>
  <c r="CD176" i="2"/>
  <c r="CD195" i="2"/>
  <c r="CD125" i="2"/>
  <c r="CD23" i="2"/>
  <c r="CD174" i="2"/>
  <c r="CD141" i="2"/>
  <c r="CD191" i="2"/>
  <c r="CD34" i="2"/>
  <c r="CD95" i="2"/>
  <c r="CD151" i="2"/>
  <c r="CD158" i="2"/>
  <c r="CD111" i="2"/>
  <c r="CD37" i="2"/>
  <c r="CD22" i="2"/>
  <c r="CD196" i="2"/>
  <c r="CD178" i="2"/>
  <c r="CD180" i="2"/>
  <c r="CD162" i="2"/>
  <c r="CD155" i="2"/>
  <c r="CD163" i="2"/>
  <c r="CD190" i="2"/>
  <c r="CD29" i="2"/>
  <c r="CD170" i="2"/>
  <c r="CD154" i="2"/>
  <c r="CD44" i="2"/>
  <c r="CD71" i="2"/>
  <c r="CD70" i="2"/>
  <c r="CD181" i="2"/>
  <c r="CD193" i="2"/>
  <c r="CD68" i="2"/>
  <c r="CD156" i="2"/>
  <c r="CD160" i="2"/>
  <c r="CD63" i="2"/>
  <c r="CD90" i="2"/>
  <c r="CD50" i="2"/>
  <c r="CD47" i="2"/>
  <c r="CD60" i="2"/>
  <c r="CD112" i="2"/>
  <c r="CD146" i="2"/>
  <c r="CD173" i="2"/>
  <c r="CD108" i="2"/>
  <c r="CD13" i="2"/>
  <c r="CD169" i="2"/>
  <c r="CD35" i="2"/>
  <c r="CD76" i="2"/>
  <c r="CD177" i="2"/>
  <c r="CD82" i="2"/>
  <c r="CD92" i="2"/>
  <c r="CD74" i="2"/>
  <c r="CD148" i="2"/>
  <c r="CD143" i="2"/>
  <c r="CD139" i="2"/>
  <c r="CD20" i="2"/>
  <c r="CD149" i="2"/>
  <c r="CD200" i="2"/>
  <c r="CD121" i="2"/>
  <c r="CD52" i="2"/>
  <c r="CD86" i="2"/>
  <c r="CD80" i="2"/>
  <c r="CD186" i="2"/>
  <c r="CD115" i="2"/>
  <c r="CD85" i="2"/>
  <c r="CD117" i="2"/>
  <c r="CD14" i="2"/>
  <c r="CD144" i="2"/>
  <c r="CD21" i="2"/>
  <c r="CD107" i="2"/>
  <c r="CD39" i="2"/>
  <c r="CD49" i="2"/>
  <c r="CD30" i="2"/>
  <c r="CD40" i="2"/>
  <c r="CD203" i="2"/>
  <c r="CD113" i="2"/>
  <c r="CD11" i="2"/>
  <c r="CD36" i="2"/>
  <c r="CD104" i="2"/>
  <c r="CD38" i="2"/>
  <c r="CD130" i="2"/>
  <c r="CD16" i="2"/>
  <c r="CD123" i="2"/>
  <c r="CD201" i="2"/>
  <c r="CD109" i="2"/>
  <c r="CD87" i="2"/>
  <c r="CD69" i="2"/>
  <c r="CD33" i="2"/>
  <c r="CD175" i="2"/>
  <c r="CD5" i="2"/>
  <c r="CD122" i="2"/>
  <c r="CD129" i="2"/>
  <c r="CD98" i="2"/>
  <c r="CD8" i="2"/>
  <c r="CD27" i="2"/>
  <c r="CD48" i="2"/>
  <c r="CD78" i="2"/>
  <c r="CD42" i="2"/>
  <c r="CD56" i="2"/>
  <c r="CD187" i="2"/>
  <c r="CD165" i="2"/>
  <c r="CD75" i="2"/>
  <c r="CD7" i="2"/>
  <c r="CD197" i="2"/>
  <c r="CD105" i="2"/>
  <c r="CD10" i="2"/>
  <c r="CD64" i="2"/>
  <c r="CD15" i="2"/>
  <c r="CD18" i="2"/>
  <c r="CD198" i="2"/>
  <c r="CD72" i="2"/>
  <c r="CD12" i="2"/>
  <c r="CD131" i="2"/>
  <c r="CD54" i="2"/>
  <c r="CD168" i="2"/>
  <c r="CD89" i="2"/>
  <c r="CD100" i="2"/>
  <c r="CD81" i="2"/>
  <c r="CD99" i="2"/>
  <c r="CD45" i="2"/>
  <c r="CD61" i="2"/>
  <c r="CD26" i="2"/>
  <c r="CD97" i="2"/>
  <c r="CD124" i="2"/>
  <c r="CD183" i="2"/>
  <c r="CD161" i="2"/>
  <c r="CD65" i="2"/>
  <c r="CD62" i="2"/>
  <c r="CD101" i="2"/>
  <c r="CD24" i="2"/>
  <c r="CD135" i="2"/>
  <c r="CD127" i="2"/>
  <c r="CD77" i="2"/>
  <c r="CD46" i="2"/>
  <c r="CD88" i="2"/>
  <c r="CD28" i="2"/>
  <c r="CD110" i="2"/>
  <c r="CD172" i="2"/>
  <c r="CD55" i="2"/>
  <c r="CD157" i="2"/>
  <c r="CD199" i="2"/>
  <c r="CD93" i="2"/>
  <c r="CD171" i="2"/>
  <c r="CD9" i="2"/>
  <c r="CD25" i="2"/>
  <c r="CD150" i="2"/>
  <c r="CD185" i="2"/>
  <c r="CD3" i="2"/>
  <c r="C9" i="4" s="1"/>
  <c r="E9" i="4" s="1"/>
  <c r="F9" i="4" s="1"/>
  <c r="G9" i="4" s="1"/>
  <c r="L9" i="4" s="1"/>
  <c r="CD53" i="2"/>
  <c r="CD4" i="2"/>
  <c r="CD133" i="2"/>
  <c r="CD202" i="2"/>
  <c r="CD94" i="2"/>
  <c r="CD118" i="2"/>
  <c r="CD166" i="2"/>
  <c r="CD153" i="2"/>
  <c r="CD106" i="2"/>
  <c r="CD188" i="2"/>
  <c r="CD19" i="2"/>
  <c r="CD184" i="2"/>
  <c r="CD119" i="2"/>
  <c r="CD59" i="2"/>
  <c r="CD126" i="2"/>
  <c r="CD142" i="2"/>
  <c r="CD152" i="2"/>
  <c r="CD159" i="2"/>
  <c r="CD57" i="2"/>
  <c r="CD138" i="2"/>
  <c r="CD51" i="2"/>
  <c r="CD134" i="2"/>
  <c r="CD140" i="2"/>
  <c r="CD79" i="2"/>
  <c r="CD179" i="2"/>
  <c r="CD114" i="2"/>
  <c r="CD58" i="2"/>
  <c r="CD43" i="2"/>
  <c r="CD103" i="2"/>
  <c r="CD145" i="2"/>
  <c r="CD91" i="2"/>
  <c r="CD41" i="2"/>
  <c r="CD132" i="2"/>
  <c r="CD32" i="2"/>
  <c r="CD17" i="2"/>
  <c r="CD194" i="2"/>
  <c r="FE164" i="2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I152" i="2" l="1"/>
  <c r="BI47" i="2"/>
  <c r="BI117" i="2"/>
  <c r="BI26" i="2"/>
  <c r="BI79" i="2"/>
  <c r="BI129" i="2"/>
  <c r="BI149" i="2"/>
  <c r="BI94" i="2"/>
  <c r="BI130" i="2"/>
  <c r="BI48" i="2"/>
  <c r="BI39" i="2"/>
  <c r="BI4" i="2"/>
  <c r="BI52" i="2"/>
  <c r="BI10" i="2"/>
  <c r="BI68" i="2"/>
  <c r="BI179" i="2"/>
  <c r="BI16" i="2"/>
  <c r="BI96" i="2"/>
  <c r="BI21" i="2"/>
  <c r="BI61" i="2"/>
  <c r="BI132" i="2"/>
  <c r="BI137" i="2"/>
  <c r="BI193" i="2"/>
  <c r="BI164" i="2"/>
  <c r="BI33" i="2"/>
  <c r="BI106" i="2"/>
  <c r="BI97" i="2"/>
  <c r="BI17" i="2"/>
  <c r="BI41" i="2"/>
  <c r="BI20" i="2"/>
  <c r="BI135" i="2"/>
  <c r="BI189" i="2"/>
  <c r="BI98" i="2"/>
  <c r="BI29" i="2"/>
  <c r="BI172" i="2"/>
  <c r="BI157" i="2"/>
  <c r="BI196" i="2"/>
  <c r="BI30" i="2"/>
  <c r="BI168" i="2"/>
  <c r="BI84" i="2"/>
  <c r="BI44" i="2"/>
  <c r="BI11" i="2"/>
  <c r="BI201" i="2"/>
  <c r="BI86" i="2"/>
  <c r="BI191" i="2"/>
  <c r="BI113" i="2"/>
  <c r="BI105" i="2"/>
  <c r="BI7" i="2"/>
  <c r="BI58" i="2"/>
  <c r="BI159" i="2"/>
  <c r="BI199" i="2"/>
  <c r="BI74" i="2"/>
  <c r="BI12" i="2"/>
  <c r="BI144" i="2"/>
  <c r="BI112" i="2"/>
  <c r="BI76" i="2"/>
  <c r="BI146" i="2"/>
  <c r="BI77" i="2"/>
  <c r="BI64" i="2"/>
  <c r="BI120" i="2"/>
  <c r="BI162" i="2"/>
  <c r="BI114" i="2"/>
  <c r="BI100" i="2"/>
  <c r="BI192" i="2"/>
  <c r="BI131" i="2"/>
  <c r="BI69" i="2"/>
  <c r="BI177" i="2"/>
  <c r="BI56" i="2"/>
  <c r="BI103" i="2"/>
  <c r="BI90" i="2"/>
  <c r="BI82" i="2"/>
  <c r="BI141" i="2"/>
  <c r="BI136" i="2"/>
  <c r="BI62" i="2"/>
  <c r="BI99" i="2"/>
  <c r="BI154" i="2"/>
  <c r="BI87" i="2"/>
  <c r="BI125" i="2"/>
  <c r="BI50" i="2"/>
  <c r="BI88" i="2"/>
  <c r="BI151" i="2"/>
  <c r="BI63" i="2"/>
  <c r="BI186" i="2"/>
  <c r="BI53" i="2"/>
  <c r="BI147" i="2"/>
  <c r="BI36" i="2"/>
  <c r="BI134" i="2"/>
  <c r="BI161" i="2"/>
  <c r="BI95" i="2"/>
  <c r="BI167" i="2"/>
  <c r="BI37" i="2"/>
  <c r="BI163" i="2"/>
  <c r="BI23" i="2"/>
  <c r="BI59" i="2"/>
  <c r="BI57" i="2"/>
  <c r="BI116" i="2"/>
  <c r="BI34" i="2"/>
  <c r="BI109" i="2"/>
  <c r="BI73" i="2"/>
  <c r="BI170" i="2"/>
  <c r="BI123" i="2"/>
  <c r="BI35" i="2"/>
  <c r="BI9" i="2"/>
  <c r="BI72" i="2"/>
  <c r="BI181" i="2"/>
  <c r="BI15" i="2"/>
  <c r="BI38" i="2"/>
  <c r="BI128" i="2"/>
  <c r="BI85" i="2"/>
  <c r="BI5" i="2"/>
  <c r="BI71" i="2"/>
  <c r="BI176" i="2"/>
  <c r="BI175" i="2"/>
  <c r="BI127" i="2"/>
  <c r="BI27" i="2"/>
  <c r="BI45" i="2"/>
  <c r="BI115" i="2"/>
  <c r="BI32" i="2"/>
  <c r="BI158" i="2"/>
  <c r="BI160" i="2"/>
  <c r="BI18" i="2"/>
  <c r="BI178" i="2"/>
  <c r="BI200" i="2"/>
  <c r="BI124" i="2"/>
  <c r="BI133" i="2"/>
  <c r="BI55" i="2"/>
  <c r="BI150" i="2"/>
  <c r="BI143" i="2"/>
  <c r="BI183" i="2"/>
  <c r="BI111" i="2"/>
  <c r="BI51" i="2"/>
  <c r="BI54" i="2"/>
  <c r="BI70" i="2"/>
  <c r="BI42" i="2"/>
  <c r="BI198" i="2"/>
  <c r="BI166" i="2"/>
  <c r="BI108" i="2"/>
  <c r="BI140" i="2"/>
  <c r="BI43" i="2"/>
  <c r="BI155" i="2"/>
  <c r="BI65" i="2"/>
  <c r="BI139" i="2"/>
  <c r="BI22" i="2"/>
  <c r="BI122" i="2"/>
  <c r="BI121" i="2"/>
  <c r="BI46" i="2"/>
  <c r="BI107" i="2"/>
  <c r="BI92" i="2"/>
  <c r="BI142" i="2"/>
  <c r="BI3" i="2"/>
  <c r="C8" i="4" s="1"/>
  <c r="E8" i="4" s="1"/>
  <c r="F8" i="4" s="1"/>
  <c r="G8" i="4" s="1"/>
  <c r="L8" i="4" s="1"/>
  <c r="BI180" i="2"/>
  <c r="BI40" i="2"/>
  <c r="BI93" i="2"/>
  <c r="BI156" i="2"/>
  <c r="BI197" i="2"/>
  <c r="BI66" i="2"/>
  <c r="BI14" i="2"/>
  <c r="BI110" i="2"/>
  <c r="BI148" i="2"/>
  <c r="BI126" i="2"/>
  <c r="BI101" i="2"/>
  <c r="BI67" i="2"/>
  <c r="BI104" i="2"/>
  <c r="BI145" i="2"/>
  <c r="BI190" i="2"/>
  <c r="BI202" i="2"/>
  <c r="BI25" i="2"/>
  <c r="BI182" i="2"/>
  <c r="BI195" i="2"/>
  <c r="BI171" i="2"/>
  <c r="BI91" i="2"/>
  <c r="BI169" i="2"/>
  <c r="BI118" i="2"/>
  <c r="BI203" i="2"/>
  <c r="BI31" i="2"/>
  <c r="BI6" i="2"/>
  <c r="BI24" i="2"/>
  <c r="BI75" i="2"/>
  <c r="BI28" i="2"/>
  <c r="BI187" i="2"/>
  <c r="BI19" i="2"/>
  <c r="BI188" i="2"/>
  <c r="BI13" i="2"/>
  <c r="BI8" i="2"/>
  <c r="BI185" i="2"/>
  <c r="BI165" i="2"/>
  <c r="BI174" i="2"/>
  <c r="BI173" i="2"/>
  <c r="BI49" i="2"/>
  <c r="BI83" i="2"/>
  <c r="BI78" i="2"/>
  <c r="BI194" i="2"/>
  <c r="BI153" i="2"/>
  <c r="BI81" i="2"/>
  <c r="BI119" i="2"/>
  <c r="BI102" i="2"/>
  <c r="BI138" i="2"/>
  <c r="BI184" i="2"/>
  <c r="BI60" i="2"/>
  <c r="BI89" i="2"/>
  <c r="BI80" i="2"/>
  <c r="BS152" i="2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<sst xmlns="http://schemas.openxmlformats.org/spreadsheetml/2006/main" count="1173" uniqueCount="325">
  <si>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</si>
  <si>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</si>
  <si>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Seules les cellules en jaune pâle sont à remplir</t>
  </si>
  <si>
    <t>V15/10/2021</t>
  </si>
  <si>
    <t>SCÉNARIO DE PROJET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</si>
  <si>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</si>
  <si>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</si>
  <si>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La surface du projet</t>
  </si>
  <si>
    <t>Entrer une surface en hectares</t>
  </si>
  <si>
    <t>Les essences du projet</t>
  </si>
  <si>
    <t>Choisir dans le menu déroulant</t>
  </si>
  <si>
    <t>Proportion</t>
  </si>
  <si>
    <t>Surface de l'essence</t>
  </si>
  <si>
    <t>Durée de révolution</t>
  </si>
  <si>
    <t>Vérification</t>
  </si>
  <si>
    <t>Essence 1</t>
  </si>
  <si>
    <t>Douglas</t>
  </si>
  <si>
    <t>NB : La durée de révolution doit être identique à la dernière année indiquée dans la table de production renseignée en dessous</t>
  </si>
  <si>
    <t>Essence 2</t>
  </si>
  <si>
    <t>Mélèze d'Europe</t>
  </si>
  <si>
    <t>Essence 3</t>
  </si>
  <si>
    <t>Chêne pubescent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</si>
  <si>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</si>
  <si>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</si>
  <si>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</si>
  <si>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</si>
  <si>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</si>
  <si>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</si>
  <si>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</si>
  <si>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</si>
  <si>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Les rabais à appliquer</t>
  </si>
  <si>
    <t>Rabais 1</t>
  </si>
  <si>
    <t>Analyse économique (VAN)</t>
  </si>
  <si>
    <t>Indiquer 20 % si absence de calcul de VAN, 0 % sinon</t>
  </si>
  <si>
    <t>Rabais 2</t>
  </si>
  <si>
    <t>Risque de non permanence</t>
  </si>
  <si>
    <t>Rabais 3</t>
  </si>
  <si>
    <t>Risque d'incendie</t>
  </si>
  <si>
    <t>Indiquer 5 %, 10 %, 15 % selon le risque (cf. méthodes), 0 % sinon</t>
  </si>
  <si>
    <t>Rabais 4</t>
  </si>
  <si>
    <t>Classe de fertilité</t>
  </si>
  <si>
    <t>Indiquer 10 % si absence de justification de la classe de fertilité, 0 % sinon</t>
  </si>
  <si>
    <t>Les tables de production</t>
  </si>
  <si>
    <t>NB : Ne remplir qu'avec les années d'éclaircies de la table de production utilisée, ne pas simuler les premières années</t>
  </si>
  <si>
    <t>AVANT ECLAIRCIE</t>
  </si>
  <si>
    <t>ECLAIRCIE</t>
  </si>
  <si>
    <t>VENTILATION PRODUITS BOIS</t>
  </si>
  <si>
    <t>Age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</si>
  <si>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</si>
  <si>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Numéro d'éclaircie</t>
  </si>
  <si>
    <t>Volume bois fort 
prélevé (m³/ha)</t>
  </si>
  <si>
    <t>% sciages</t>
  </si>
  <si>
    <t>% panneaux</t>
  </si>
  <si>
    <t>% papier</t>
  </si>
  <si>
    <t>% BE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</si>
  <si>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</si>
  <si>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CR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</si>
  <si>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</si>
  <si>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Renseignez les surfaces concernées par le ou les scénarios puis choisissez la nature de culture et/ou l'essence de colonisation</t>
  </si>
  <si>
    <t>% de surface</t>
  </si>
  <si>
    <t>Méthode boisement</t>
  </si>
  <si>
    <t>Méthode reconstitution</t>
  </si>
  <si>
    <t>Poursuite de la culture agricole</t>
  </si>
  <si>
    <t>Récolte d'une forêt dégradée et colonisation par des accrus (hors Méditerranée)</t>
  </si>
  <si>
    <t>Embroussaillement par colonisation naturelle (hors Méditerranée)</t>
  </si>
  <si>
    <t>Récolte d'une forêt dégradée et colonisation par des accrus en Méditerranée</t>
  </si>
  <si>
    <t>Embroussaillement par colonisation naturelle en Méditerranée</t>
  </si>
  <si>
    <t>→ Si scénario 1 :</t>
  </si>
  <si>
    <t>→ Si scénarios 2, 3, 4 ou 5 :</t>
  </si>
  <si>
    <t>Renseignez les % de surfaces de culture à l'année 0 (en % de la surface totale du projet)</t>
  </si>
  <si>
    <t>Choisir l'essence de colonisation</t>
  </si>
  <si>
    <t>Epicéa de Sitka</t>
  </si>
  <si>
    <t>Culture agricole</t>
  </si>
  <si>
    <t>Prairie</t>
  </si>
  <si>
    <t>Verger ou vigne</t>
  </si>
  <si>
    <t>Scénario de référence</t>
  </si>
  <si>
    <t>Année</t>
  </si>
  <si>
    <t>Biomasse culture
(tC/ha)</t>
  </si>
  <si>
    <t>Biomasse aérienne accrus 
(tMS/ha)</t>
  </si>
  <si>
    <t>Biomasse 
racinaire accrus
(tMS/ha)</t>
  </si>
  <si>
    <t>Sol (tC/ha)</t>
  </si>
  <si>
    <t>Litière (tC/ha)</t>
  </si>
  <si>
    <t>Biomasse totale (tCO₂/ha)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</si>
  <si>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</si>
  <si>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Volume BF (m³/ha)</t>
  </si>
  <si>
    <t>Accroissement 
courant 
(m³/ha/an)</t>
  </si>
  <si>
    <t>Volume BF 
linéarisé (m³/ha)</t>
  </si>
  <si>
    <t>Biomasse 
aérienne 
(tMS/ha)</t>
  </si>
  <si>
    <t>Biomasse 
racinaire (tMS/ha)</t>
  </si>
  <si>
    <t>Biomasse totale + sol + litière (tCO₂/ha)</t>
  </si>
  <si>
    <t>ΔStock moyen de long terme (tCO₂/ha)</t>
  </si>
  <si>
    <t>Δstock CO₂ 30 ans (tCO₂/ha)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</si>
  <si>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</si>
  <si>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</si>
  <si>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</si>
  <si>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</si>
  <si>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</si>
  <si>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</si>
  <si>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</si>
  <si>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% pâte à 
papier</t>
  </si>
  <si>
    <t>% pâte 
à papier</t>
  </si>
  <si>
    <t>a</t>
  </si>
  <si>
    <t>Essence</t>
  </si>
  <si>
    <t>Nom scientifique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</si>
  <si>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</si>
  <si>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Source</t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</si>
  <si>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</si>
  <si>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</si>
  <si>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</si>
  <si>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Alisier torminal</t>
  </si>
  <si>
    <t>Sorbus torminalis</t>
  </si>
  <si>
    <t>IGN, d'après Dupouey 2002</t>
  </si>
  <si>
    <t>Inra, 2016</t>
  </si>
  <si>
    <t>Assimilation au chêne</t>
  </si>
  <si>
    <t>Rabais analyse écomique</t>
  </si>
  <si>
    <t>Arbousier</t>
  </si>
  <si>
    <t>Arbutus unedo</t>
  </si>
  <si>
    <t>Aulne à feuilles en cœur</t>
  </si>
  <si>
    <t>Alnus cordata</t>
  </si>
  <si>
    <t>Aulne glutineux</t>
  </si>
  <si>
    <t>Alnus glutinosa</t>
  </si>
  <si>
    <t>Rabais incendie</t>
  </si>
  <si>
    <t>Aulne vert</t>
  </si>
  <si>
    <t>Alnus viridis</t>
  </si>
  <si>
    <t>Bouleau verruqueux</t>
  </si>
  <si>
    <t>Betula pendula</t>
  </si>
  <si>
    <t>Cèdre de l'Atlas</t>
  </si>
  <si>
    <t>Cedrus atlantica</t>
  </si>
  <si>
    <t>Assimilation à épicéa</t>
  </si>
  <si>
    <t>Charme</t>
  </si>
  <si>
    <t>Carpinus betulus</t>
  </si>
  <si>
    <t>Charme-houblon</t>
  </si>
  <si>
    <t>Ostrya carpinifolia</t>
  </si>
  <si>
    <t>Rabais Fertilité</t>
  </si>
  <si>
    <t>Châtaignier</t>
  </si>
  <si>
    <t>Castanea sativa</t>
  </si>
  <si>
    <t>Chêne chevelu</t>
  </si>
  <si>
    <t>Quercus cerris</t>
  </si>
  <si>
    <t>FCBA, 2020</t>
  </si>
  <si>
    <t>Chêne-liège</t>
  </si>
  <si>
    <t>Quercus suber</t>
  </si>
  <si>
    <t>Chêne pédonculé</t>
  </si>
  <si>
    <t>Quercus robur</t>
  </si>
  <si>
    <t>Quercus pubescens</t>
  </si>
  <si>
    <t>Chêne rouge d'Amérique</t>
  </si>
  <si>
    <t>Quercus rubra</t>
  </si>
  <si>
    <t>Chêne sessile</t>
  </si>
  <si>
    <t>Quercus petraea</t>
  </si>
  <si>
    <t>Chêne tauzin</t>
  </si>
  <si>
    <t>Quercus pyrenaica</t>
  </si>
  <si>
    <t>Chêne vert</t>
  </si>
  <si>
    <t>Quercus ilex</t>
  </si>
  <si>
    <t>Cormier</t>
  </si>
  <si>
    <t>Sorbus domestica</t>
  </si>
  <si>
    <t>Leban, Xylodensmap, 2021</t>
  </si>
  <si>
    <t>Assimilation à chêne</t>
  </si>
  <si>
    <t>Cryptomère du Japon</t>
  </si>
  <si>
    <t>Cryptomeria japonica</t>
  </si>
  <si>
    <t>Cyprès de Provence</t>
  </si>
  <si>
    <t>Cupressus sempervirens</t>
  </si>
  <si>
    <t>Pseudotsuga menziesii</t>
  </si>
  <si>
    <t>Epicéa commun</t>
  </si>
  <si>
    <t>Picea abies</t>
  </si>
  <si>
    <t>Picea sitchensis</t>
  </si>
  <si>
    <t>Erable champêtre</t>
  </si>
  <si>
    <t>Acer campestre</t>
  </si>
  <si>
    <t>Assimilation au hêtre</t>
  </si>
  <si>
    <t>Erable plane</t>
  </si>
  <si>
    <t>Acer platanoides</t>
  </si>
  <si>
    <t>Erable sycomore</t>
  </si>
  <si>
    <t>Acer pseudoplatanus</t>
  </si>
  <si>
    <t>Eucalyptus</t>
  </si>
  <si>
    <t>Hêtre</t>
  </si>
  <si>
    <t>Fagus sylvatica</t>
  </si>
  <si>
    <t>Frêne</t>
  </si>
  <si>
    <t>Fraxinus excelsior</t>
  </si>
  <si>
    <t>Larix decidua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</si>
  <si>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</si>
  <si>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Mélèze du Japon</t>
  </si>
  <si>
    <t>Larix kaempferi</t>
  </si>
  <si>
    <t>Mélèze hybride</t>
  </si>
  <si>
    <t>Larix eurolepsis</t>
  </si>
  <si>
    <t>Mémoire de Léopold Baquet, 2014</t>
  </si>
  <si>
    <t>Bourgeois, 2001 in Forêt méditerranéenne</t>
  </si>
  <si>
    <t>Merisier</t>
  </si>
  <si>
    <t>Prunus avium</t>
  </si>
  <si>
    <t>Micocoulier de Provence</t>
  </si>
  <si>
    <t>Celtis australis</t>
  </si>
  <si>
    <t>Noyer</t>
  </si>
  <si>
    <t>Juglans sp.</t>
  </si>
  <si>
    <t>Orme</t>
  </si>
  <si>
    <t>Ulmus sp.</t>
  </si>
  <si>
    <t>Peuplier A4A</t>
  </si>
  <si>
    <t>-</t>
  </si>
  <si>
    <t>CNPF, FCBA, Arts et Métiers ParisTech, 2013</t>
  </si>
  <si>
    <t>Thèse El Haouzali, 2010</t>
  </si>
  <si>
    <t>Peuplier Alcinde</t>
  </si>
  <si>
    <t>Peuplier Beaupré</t>
  </si>
  <si>
    <t>Peuplier Blanc du Poitou</t>
  </si>
  <si>
    <t>Peuplier Brenta</t>
  </si>
  <si>
    <t>Peuplier Dorskamp</t>
  </si>
  <si>
    <t>Peuplier Dvena</t>
  </si>
  <si>
    <t>Peuplier Flevo</t>
  </si>
  <si>
    <t>Peuplier Fritzi Pauley</t>
  </si>
  <si>
    <t>Peuplier Ghoy</t>
  </si>
  <si>
    <t>Peuplier I-214</t>
  </si>
  <si>
    <t>Peuplier I-45/51</t>
  </si>
  <si>
    <t>Peuplier Koster</t>
  </si>
  <si>
    <t>Peuplier Lambro</t>
  </si>
  <si>
    <t>Peuplier Lena</t>
  </si>
  <si>
    <t>Peuplier Mella</t>
  </si>
  <si>
    <t>Peuplier Polargo</t>
  </si>
  <si>
    <t>Peuplier Raspalje</t>
  </si>
  <si>
    <t>Peuplier Robusta</t>
  </si>
  <si>
    <t>Peuplier Soligo</t>
  </si>
  <si>
    <t>Peuplier Taro</t>
  </si>
  <si>
    <t>Peuplier Trichobel</t>
  </si>
  <si>
    <t>Peuplier Triplo</t>
  </si>
  <si>
    <t>Peuplier non cultivé</t>
  </si>
  <si>
    <t>Populus sp.</t>
  </si>
  <si>
    <t>Pin d'Alep</t>
  </si>
  <si>
    <t>Pinus halepensis</t>
  </si>
  <si>
    <t>Assimilation au pin maritime</t>
  </si>
  <si>
    <t>Pin cembro</t>
  </si>
  <si>
    <t>Pinus cembra</t>
  </si>
  <si>
    <t>Pin à crochets</t>
  </si>
  <si>
    <t>Pinus uncinata</t>
  </si>
  <si>
    <t>Pin laricio</t>
  </si>
  <si>
    <t>Pinus laricio</t>
  </si>
  <si>
    <t>Pin maritime</t>
  </si>
  <si>
    <t>Pinus pinaster</t>
  </si>
  <si>
    <t>Pin mugho</t>
  </si>
  <si>
    <t>Pinus mugo</t>
  </si>
  <si>
    <t>Pin noir d'Autriche</t>
  </si>
  <si>
    <t>Pinus nigra</t>
  </si>
  <si>
    <t>Pin pignon</t>
  </si>
  <si>
    <t>Pinus pinea</t>
  </si>
  <si>
    <t>Correia, 2010</t>
  </si>
  <si>
    <t>Pin de Salzmann</t>
  </si>
  <si>
    <t>Pinus nigra subsp. Salzmannii</t>
  </si>
  <si>
    <t>Assimilation à pin noir</t>
  </si>
  <si>
    <t>Pin sylvestre</t>
  </si>
  <si>
    <t>Pinus sylvestris</t>
  </si>
  <si>
    <t>Pin taeda</t>
  </si>
  <si>
    <t>Pinus taeda</t>
  </si>
  <si>
    <t>Assimilation à pin maritime</t>
  </si>
  <si>
    <t>Pin de Weymouth</t>
  </si>
  <si>
    <t>Pinus strobus</t>
  </si>
  <si>
    <t>Platane</t>
  </si>
  <si>
    <t>Platanus sp.</t>
  </si>
  <si>
    <t>Robinier faux-acacia</t>
  </si>
  <si>
    <t>Robinia pseudacacia</t>
  </si>
  <si>
    <t>Dire d'expert</t>
  </si>
  <si>
    <t>Sapin méditerranéen</t>
  </si>
  <si>
    <t>Abies sp.</t>
  </si>
  <si>
    <t>Sapin de Nordmann</t>
  </si>
  <si>
    <t>Abies nordmanniana</t>
  </si>
  <si>
    <t>Sapin pectiné</t>
  </si>
  <si>
    <t>Abies alba</t>
  </si>
  <si>
    <t>Sapin de Vancouver</t>
  </si>
  <si>
    <t>Abies grandis</t>
  </si>
  <si>
    <t>Saule</t>
  </si>
  <si>
    <t>Salix sp.</t>
  </si>
  <si>
    <t>Séquoia géant</t>
  </si>
  <si>
    <t>Sequoiadendron giganteum</t>
  </si>
  <si>
    <t>FCBA, 2013</t>
  </si>
  <si>
    <t>Séquoia toujours vert</t>
  </si>
  <si>
    <t>Sequoia sempervirens</t>
  </si>
  <si>
    <t>Thuya géant</t>
  </si>
  <si>
    <t>Thuja plicata</t>
  </si>
  <si>
    <t>Tilleul</t>
  </si>
  <si>
    <t>Tilia sp.</t>
  </si>
  <si>
    <t>Tremble</t>
  </si>
  <si>
    <t>Populus tremula</t>
  </si>
  <si>
    <t>Assimilation au peuplier</t>
  </si>
  <si>
    <t>Tulipier de Virginie</t>
  </si>
  <si>
    <t>Liriodendron tulipifera</t>
  </si>
  <si>
    <t>Xinhao Feng et al., 2021</t>
  </si>
  <si>
    <t>Conifères (moyenne)</t>
  </si>
  <si>
    <t>Feuillus (moyenne)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</si>
  <si>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</si>
  <si>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t>Essences</t>
  </si>
  <si>
    <t>Surface 
(ha)</t>
  </si>
  <si>
    <t>Stock biomasse 
(tCO₂/ha)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</si>
  <si>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</si>
  <si>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</si>
  <si>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</si>
  <si>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</si>
  <si>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</si>
  <si>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</si>
  <si>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</si>
  <si>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</si>
  <si>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</si>
  <si>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Seules les cellules en jaune doivent être remplies</t>
  </si>
  <si>
    <t>Taux d'actualisation</t>
  </si>
  <si>
    <t>VAN TOTALE</t>
  </si>
  <si>
    <t xml:space="preserve">Remplir pour les essences concernées par le projet, les recettes et les coûts du projets imputables aux essences, </t>
  </si>
  <si>
    <t xml:space="preserve">Remplir pour les essences concernées par le projet, les recettes et les coûts du projets non imputables </t>
  </si>
  <si>
    <t>VAN (€/ha)</t>
  </si>
  <si>
    <t>Surface (ha)</t>
  </si>
  <si>
    <t>VAN (€)</t>
  </si>
  <si>
    <t>pour les différentes années.</t>
  </si>
  <si>
    <t>aux essences, pour les différentes années.</t>
  </si>
  <si>
    <t>NB : coûts imputables à l'essence = achats des plants, opération de plantation, éclaircies, etc.</t>
  </si>
  <si>
    <t>NB : coûts non imputables aux essences = préparation de la parcelle, protections, assurance, etc.</t>
  </si>
  <si>
    <t>Si scénarios 2, 3, 4 ou 5, remplir les cases jaunes</t>
  </si>
  <si>
    <t>Aide publique (€/ha)</t>
  </si>
  <si>
    <t>NB : Indiquer le numéro de l'année à partir du début du projet et non l'année réelle (ex: année 1 et non année 2022)</t>
  </si>
  <si>
    <t>Volume bois fort prélevé (m³/ha)</t>
  </si>
  <si>
    <t>Prix unitaire (€/m³)</t>
  </si>
  <si>
    <t>Recettes</t>
  </si>
  <si>
    <t>Coûts (€/ha)</t>
  </si>
  <si>
    <t>Âge de récolte des accrus</t>
  </si>
  <si>
    <t>Volume (m³/ha)</t>
  </si>
  <si>
    <t>Coût du boisement/reboisement (€/ha)</t>
  </si>
  <si>
    <t>Recettes (€/ha)</t>
  </si>
  <si>
    <t>Si scénario 1, remplir la case jaune</t>
  </si>
  <si>
    <t>VAN scénario de projet</t>
  </si>
  <si>
    <t>VAN scénario de référence</t>
  </si>
  <si>
    <t>Recettes nettes déclarées par le Porteur de projet (€/ha)</t>
  </si>
  <si>
    <t>ΔVAN</t>
  </si>
  <si>
    <t>Par défaut le calcul économique des recettes nettes du Porteur de projet sera établi sur la durée de révolution la plus courte parmi les essences de projet</t>
  </si>
  <si>
    <t>Additionnalité économique</t>
  </si>
  <si>
    <t>Reprendre les valeurs du tableau dans le Document descriptif de projet</t>
  </si>
  <si>
    <t>VAN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</si>
</sst>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rgb="FFFFFF99"/>
      </patternFill>
    </fill>
  </fills>
  <borders count="5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1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9" fillId="21" borderId="54" xfId="0" applyFont="1" applyFill="1" applyBorder="1" applyAlignment="1" applyProtection="1">
      <alignment horizontal="center"/>
      <protection locked="0" hidden="1"/>
    </xf>
    <xf numFmtId="0" fontId="9" fillId="21" borderId="54" xfId="0" applyFont="1" applyFill="1" applyBorder="1" applyAlignment="1" applyProtection="1">
      <alignment horizontal="center"/>
      <protection locked="0"/>
    </xf>
    <xf numFmtId="9" fontId="9" fillId="21" borderId="54" xfId="1" applyFont="1" applyFill="1" applyBorder="1" applyAlignment="1" applyProtection="1">
      <alignment horizontal="center"/>
      <protection locked="0" hidden="1"/>
    </xf>
    <xf numFmtId="9" fontId="9" fillId="21" borderId="54" xfId="1" applyFont="1" applyFill="1" applyBorder="1" applyAlignment="1" applyProtection="1">
      <alignment horizontal="center" vertical="center"/>
      <protection locked="0" hidden="1"/>
    </xf>
    <xf numFmtId="0" fontId="9" fillId="21" borderId="54" xfId="0" applyFont="1" applyFill="1" applyBorder="1" applyAlignment="1" applyProtection="1">
      <alignment horizontal="center" vertical="center"/>
      <protection locked="0" hidden="1"/>
    </xf>
    <xf numFmtId="9" fontId="9" fillId="21" borderId="54" xfId="1" applyFont="1" applyFill="1" applyBorder="1" applyAlignment="1" applyProtection="1">
      <alignment horizontal="center"/>
      <protection locked="0"/>
    </xf>
    <xf numFmtId="9" fontId="9" fillId="21" borderId="54" xfId="1" applyFont="1" applyFill="1" applyBorder="1" applyAlignment="1" applyProtection="1">
      <alignment horizontal="center" vertical="center"/>
      <protection locked="0"/>
    </xf>
    <xf numFmtId="0" fontId="9" fillId="21" borderId="54" xfId="0" applyFont="1" applyFill="1" applyBorder="1" applyAlignment="1" applyProtection="1">
      <alignment horizontal="center" vertical="center"/>
      <protection locked="0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1.557347294979565</c:v>
                </c:pt>
                <c:pt idx="2">
                  <c:v>1.9279956386709596</c:v>
                </c:pt>
                <c:pt idx="3">
                  <c:v>2.3872063202401321</c:v>
                </c:pt>
                <c:pt idx="4">
                  <c:v>2.956219054030786</c:v>
                </c:pt>
                <c:pt idx="5">
                  <c:v>3.6613851605982912</c:v>
                </c:pt>
                <c:pt idx="6">
                  <c:v>4.5354017186132491</c:v>
                </c:pt>
                <c:pt idx="7">
                  <c:v>5.6188445816486796</c:v>
                </c:pt>
                <c:pt idx="8">
                  <c:v>6.9620728319789764</c:v>
                </c:pt>
                <c:pt idx="9">
                  <c:v>8.6275949099959099</c:v>
                </c:pt>
                <c:pt idx="10">
                  <c:v>10.693008634705352</c:v>
                </c:pt>
                <c:pt idx="11">
                  <c:v>13.254654671843122</c:v>
                </c:pt>
                <c:pt idx="12">
                  <c:v>16.432157023400681</c:v>
                </c:pt>
                <c:pt idx="13">
                  <c:v>20.374066439198891</c:v>
                </c:pt>
                <c:pt idx="14">
                  <c:v>25.264875321356385</c:v>
                </c:pt>
                <c:pt idx="15">
                  <c:v>31.33373823846205</c:v>
                </c:pt>
                <c:pt idx="16">
                  <c:v>38.865313741441959</c:v>
                </c:pt>
                <c:pt idx="17">
                  <c:v>48.213244704594594</c:v>
                </c:pt>
                <c:pt idx="18">
                  <c:v>59.816920793827343</c:v>
                </c:pt>
                <c:pt idx="19">
                  <c:v>74.22232398105983</c:v>
                </c:pt>
                <c:pt idx="20">
                  <c:v>92.107953865993707</c:v>
                </c:pt>
                <c:pt idx="21">
                  <c:v>114.31707338429015</c:v>
                </c:pt>
                <c:pt idx="22">
                  <c:v>141.89781904660879</c:v>
                </c:pt>
                <c:pt idx="23">
                  <c:v>176.15309783069145</c:v>
                </c:pt>
                <c:pt idx="24">
                  <c:v>218.70266350803945</c:v>
                </c:pt>
                <c:pt idx="25">
                  <c:v>271.56035128876016</c:v>
                </c:pt>
                <c:pt idx="26">
                  <c:v>225.52091702047929</c:v>
                </c:pt>
                <c:pt idx="27">
                  <c:v>249.03836881934498</c:v>
                </c:pt>
                <c:pt idx="28">
                  <c:v>272.50543872588077</c:v>
                </c:pt>
                <c:pt idx="29">
                  <c:v>295.92707384304424</c:v>
                </c:pt>
                <c:pt idx="30">
                  <c:v>319.30737396752465</c:v>
                </c:pt>
                <c:pt idx="31">
                  <c:v>248.75188515995148</c:v>
                </c:pt>
                <c:pt idx="32">
                  <c:v>271.09175109948336</c:v>
                </c:pt>
                <c:pt idx="33">
                  <c:v>293.39020785421491</c:v>
                </c:pt>
                <c:pt idx="34">
                  <c:v>315.65084376789031</c:v>
                </c:pt>
                <c:pt idx="35">
                  <c:v>337.87669971821106</c:v>
                </c:pt>
                <c:pt idx="36">
                  <c:v>360.07038391977659</c:v>
                </c:pt>
                <c:pt idx="37">
                  <c:v>293.14442301082295</c:v>
                </c:pt>
                <c:pt idx="38">
                  <c:v>314.07555615334945</c:v>
                </c:pt>
                <c:pt idx="39">
                  <c:v>334.97577072128598</c:v>
                </c:pt>
                <c:pt idx="40">
                  <c:v>355.84726616592843</c:v>
                </c:pt>
                <c:pt idx="41">
                  <c:v>376.69196293834995</c:v>
                </c:pt>
                <c:pt idx="42">
                  <c:v>397.51155168067754</c:v>
                </c:pt>
                <c:pt idx="43">
                  <c:v>336.66607016676141</c:v>
                </c:pt>
                <c:pt idx="44">
                  <c:v>356.07357931478197</c:v>
                </c:pt>
                <c:pt idx="45">
                  <c:v>375.45793365393951</c:v>
                </c:pt>
                <c:pt idx="46">
                  <c:v>394.82049624422615</c:v>
                </c:pt>
                <c:pt idx="47">
                  <c:v>414.16248559469642</c:v>
                </c:pt>
                <c:pt idx="48">
                  <c:v>433.48499716668175</c:v>
                </c:pt>
                <c:pt idx="49">
                  <c:v>362.93517122307065</c:v>
                </c:pt>
                <c:pt idx="50">
                  <c:v>380.41323185353514</c:v>
                </c:pt>
                <c:pt idx="51">
                  <c:v>397.8738294241457</c:v>
                </c:pt>
                <c:pt idx="52">
                  <c:v>415.31783787814931</c:v>
                </c:pt>
                <c:pt idx="53">
                  <c:v>432.74605177990497</c:v>
                </c:pt>
                <c:pt idx="54">
                  <c:v>450.15919649723497</c:v>
                </c:pt>
                <c:pt idx="55">
                  <c:v>467.5579367263137</c:v>
                </c:pt>
                <c:pt idx="56">
                  <c:v>397.70281721868969</c:v>
                </c:pt>
                <c:pt idx="57">
                  <c:v>413.34730872929498</c:v>
                </c:pt>
                <c:pt idx="58">
                  <c:v>428.97902939615483</c:v>
                </c:pt>
                <c:pt idx="59">
                  <c:v>444.59850998338266</c:v>
                </c:pt>
                <c:pt idx="60">
                  <c:v>460.20624093000612</c:v>
                </c:pt>
                <c:pt idx="61">
                  <c:v>475.80267670577973</c:v>
                </c:pt>
                <c:pt idx="62">
                  <c:v>491.38823956622952</c:v>
                </c:pt>
                <c:pt idx="63">
                  <c:v>401.25436983120085</c:v>
                </c:pt>
                <c:pt idx="64">
                  <c:v>414.7400767430845</c:v>
                </c:pt>
                <c:pt idx="65">
                  <c:v>428.21632879502982</c:v>
                </c:pt>
                <c:pt idx="66">
                  <c:v>441.68346543538541</c:v>
                </c:pt>
                <c:pt idx="67">
                  <c:v>455.14180372580881</c:v>
                </c:pt>
                <c:pt idx="68">
                  <c:v>468.59164044987955</c:v>
                </c:pt>
                <c:pt idx="69">
                  <c:v>482.03325396703349</c:v>
                </c:pt>
                <c:pt idx="70">
                  <c:v>398.12584450920184</c:v>
                </c:pt>
                <c:pt idx="71">
                  <c:v>409.72271359205246</c:v>
                </c:pt>
                <c:pt idx="72">
                  <c:v>421.31249636554816</c:v>
                </c:pt>
                <c:pt idx="73">
                  <c:v>432.89541526547646</c:v>
                </c:pt>
                <c:pt idx="74">
                  <c:v>444.47167985178152</c:v>
                </c:pt>
                <c:pt idx="75">
                  <c:v>456.04148787695766</c:v>
                </c:pt>
                <c:pt idx="76">
                  <c:v>467.60502624037053</c:v>
                </c:pt>
                <c:pt idx="77">
                  <c:v>479.16247184326198</c:v>
                </c:pt>
                <c:pt idx="78">
                  <c:v>5.6057193314796512E-12</c:v>
                </c:pt>
                <c:pt idx="79">
                  <c:v>5.6057193314796512E-12</c:v>
                </c:pt>
                <c:pt idx="80">
                  <c:v>5.6057193314796512E-12</c:v>
                </c:pt>
                <c:pt idx="81">
                  <c:v>5.6057193314796512E-12</c:v>
                </c:pt>
                <c:pt idx="82">
                  <c:v>5.6057193314796512E-12</c:v>
                </c:pt>
                <c:pt idx="83">
                  <c:v>5.6057193314796512E-12</c:v>
                </c:pt>
                <c:pt idx="84">
                  <c:v>5.6057193314796512E-12</c:v>
                </c:pt>
                <c:pt idx="85">
                  <c:v>5.6057193314796512E-12</c:v>
                </c:pt>
                <c:pt idx="86">
                  <c:v>5.6057193314796512E-12</c:v>
                </c:pt>
                <c:pt idx="87">
                  <c:v>5.6057193314796512E-12</c:v>
                </c:pt>
                <c:pt idx="88">
                  <c:v>5.6057193314796512E-12</c:v>
                </c:pt>
                <c:pt idx="89">
                  <c:v>5.6057193314796512E-12</c:v>
                </c:pt>
                <c:pt idx="90">
                  <c:v>5.6057193314796512E-12</c:v>
                </c:pt>
                <c:pt idx="91">
                  <c:v>5.6057193314796512E-12</c:v>
                </c:pt>
                <c:pt idx="92">
                  <c:v>5.6057193314796512E-12</c:v>
                </c:pt>
                <c:pt idx="93">
                  <c:v>5.6057193314796512E-12</c:v>
                </c:pt>
                <c:pt idx="94">
                  <c:v>5.6057193314796512E-12</c:v>
                </c:pt>
                <c:pt idx="95">
                  <c:v>5.6057193314796512E-12</c:v>
                </c:pt>
                <c:pt idx="96">
                  <c:v>5.6057193314796512E-12</c:v>
                </c:pt>
                <c:pt idx="97">
                  <c:v>5.6057193314796512E-12</c:v>
                </c:pt>
                <c:pt idx="98">
                  <c:v>5.6057193314796512E-12</c:v>
                </c:pt>
                <c:pt idx="99">
                  <c:v>5.6057193314796512E-12</c:v>
                </c:pt>
                <c:pt idx="100">
                  <c:v>5.6057193314796512E-12</c:v>
                </c:pt>
                <c:pt idx="101">
                  <c:v>5.6057193314796512E-12</c:v>
                </c:pt>
                <c:pt idx="102">
                  <c:v>5.6057193314796512E-12</c:v>
                </c:pt>
                <c:pt idx="103">
                  <c:v>5.6057193314796512E-12</c:v>
                </c:pt>
                <c:pt idx="104">
                  <c:v>5.6057193314796512E-12</c:v>
                </c:pt>
                <c:pt idx="105">
                  <c:v>5.6057193314796512E-12</c:v>
                </c:pt>
                <c:pt idx="106">
                  <c:v>5.6057193314796512E-12</c:v>
                </c:pt>
                <c:pt idx="107">
                  <c:v>5.6057193314796512E-12</c:v>
                </c:pt>
                <c:pt idx="108">
                  <c:v>5.6057193314796512E-12</c:v>
                </c:pt>
                <c:pt idx="109">
                  <c:v>5.6057193314796512E-12</c:v>
                </c:pt>
                <c:pt idx="110">
                  <c:v>5.6057193314796512E-12</c:v>
                </c:pt>
                <c:pt idx="111">
                  <c:v>5.6057193314796512E-12</c:v>
                </c:pt>
                <c:pt idx="112">
                  <c:v>5.6057193314796512E-12</c:v>
                </c:pt>
                <c:pt idx="113">
                  <c:v>5.6057193314796512E-12</c:v>
                </c:pt>
                <c:pt idx="114">
                  <c:v>5.6057193314796512E-12</c:v>
                </c:pt>
                <c:pt idx="115">
                  <c:v>5.6057193314796512E-12</c:v>
                </c:pt>
                <c:pt idx="116">
                  <c:v>5.6057193314796512E-12</c:v>
                </c:pt>
                <c:pt idx="117">
                  <c:v>5.6057193314796512E-12</c:v>
                </c:pt>
                <c:pt idx="118">
                  <c:v>5.6057193314796512E-12</c:v>
                </c:pt>
                <c:pt idx="119">
                  <c:v>5.6057193314796512E-12</c:v>
                </c:pt>
                <c:pt idx="120">
                  <c:v>5.6057193314796512E-12</c:v>
                </c:pt>
                <c:pt idx="121">
                  <c:v>5.6057193314796512E-12</c:v>
                </c:pt>
                <c:pt idx="122">
                  <c:v>5.6057193314796512E-12</c:v>
                </c:pt>
                <c:pt idx="123">
                  <c:v>5.6057193314796512E-12</c:v>
                </c:pt>
                <c:pt idx="124">
                  <c:v>5.6057193314796512E-12</c:v>
                </c:pt>
                <c:pt idx="125">
                  <c:v>5.6057193314796512E-12</c:v>
                </c:pt>
                <c:pt idx="126">
                  <c:v>5.6057193314796512E-12</c:v>
                </c:pt>
                <c:pt idx="127">
                  <c:v>5.6057193314796512E-12</c:v>
                </c:pt>
                <c:pt idx="128">
                  <c:v>5.6057193314796512E-12</c:v>
                </c:pt>
                <c:pt idx="129">
                  <c:v>5.6057193314796512E-12</c:v>
                </c:pt>
                <c:pt idx="130">
                  <c:v>5.6057193314796512E-12</c:v>
                </c:pt>
                <c:pt idx="131">
                  <c:v>5.6057193314796512E-12</c:v>
                </c:pt>
                <c:pt idx="132">
                  <c:v>5.6057193314796512E-12</c:v>
                </c:pt>
                <c:pt idx="133">
                  <c:v>5.6057193314796512E-12</c:v>
                </c:pt>
                <c:pt idx="134">
                  <c:v>5.6057193314796512E-12</c:v>
                </c:pt>
                <c:pt idx="135">
                  <c:v>5.6057193314796512E-12</c:v>
                </c:pt>
                <c:pt idx="136">
                  <c:v>5.6057193314796512E-12</c:v>
                </c:pt>
                <c:pt idx="137">
                  <c:v>5.6057193314796512E-12</c:v>
                </c:pt>
                <c:pt idx="138">
                  <c:v>5.6057193314796512E-12</c:v>
                </c:pt>
                <c:pt idx="139">
                  <c:v>5.6057193314796512E-12</c:v>
                </c:pt>
                <c:pt idx="140">
                  <c:v>5.6057193314796512E-12</c:v>
                </c:pt>
                <c:pt idx="141">
                  <c:v>5.6057193314796512E-12</c:v>
                </c:pt>
                <c:pt idx="142">
                  <c:v>5.6057193314796512E-12</c:v>
                </c:pt>
                <c:pt idx="143">
                  <c:v>5.6057193314796512E-12</c:v>
                </c:pt>
                <c:pt idx="144">
                  <c:v>5.6057193314796512E-12</c:v>
                </c:pt>
                <c:pt idx="145">
                  <c:v>5.6057193314796512E-12</c:v>
                </c:pt>
                <c:pt idx="146">
                  <c:v>5.6057193314796512E-12</c:v>
                </c:pt>
                <c:pt idx="147">
                  <c:v>5.6057193314796512E-12</c:v>
                </c:pt>
                <c:pt idx="148">
                  <c:v>5.6057193314796512E-12</c:v>
                </c:pt>
                <c:pt idx="149">
                  <c:v>5.6057193314796512E-12</c:v>
                </c:pt>
                <c:pt idx="150">
                  <c:v>5.6057193314796512E-12</c:v>
                </c:pt>
                <c:pt idx="151">
                  <c:v>5.6057193314796512E-12</c:v>
                </c:pt>
                <c:pt idx="152">
                  <c:v>5.6057193314796512E-12</c:v>
                </c:pt>
                <c:pt idx="153">
                  <c:v>5.6057193314796512E-12</c:v>
                </c:pt>
                <c:pt idx="154">
                  <c:v>5.6057193314796512E-12</c:v>
                </c:pt>
                <c:pt idx="155">
                  <c:v>5.6057193314796512E-12</c:v>
                </c:pt>
                <c:pt idx="156">
                  <c:v>5.6057193314796512E-12</c:v>
                </c:pt>
                <c:pt idx="157">
                  <c:v>5.6057193314796512E-12</c:v>
                </c:pt>
                <c:pt idx="158">
                  <c:v>5.6057193314796512E-12</c:v>
                </c:pt>
                <c:pt idx="159">
                  <c:v>5.6057193314796512E-12</c:v>
                </c:pt>
                <c:pt idx="160">
                  <c:v>5.6057193314796512E-12</c:v>
                </c:pt>
                <c:pt idx="161">
                  <c:v>5.6057193314796512E-12</c:v>
                </c:pt>
                <c:pt idx="162">
                  <c:v>5.6057193314796512E-12</c:v>
                </c:pt>
                <c:pt idx="163">
                  <c:v>5.6057193314796512E-12</c:v>
                </c:pt>
                <c:pt idx="164">
                  <c:v>5.6057193314796512E-12</c:v>
                </c:pt>
                <c:pt idx="165">
                  <c:v>5.6057193314796512E-12</c:v>
                </c:pt>
                <c:pt idx="166">
                  <c:v>5.6057193314796512E-12</c:v>
                </c:pt>
                <c:pt idx="167">
                  <c:v>5.6057193314796512E-12</c:v>
                </c:pt>
                <c:pt idx="168">
                  <c:v>5.6057193314796512E-12</c:v>
                </c:pt>
                <c:pt idx="169">
                  <c:v>5.6057193314796512E-12</c:v>
                </c:pt>
                <c:pt idx="170">
                  <c:v>5.6057193314796512E-12</c:v>
                </c:pt>
                <c:pt idx="171">
                  <c:v>5.6057193314796512E-12</c:v>
                </c:pt>
                <c:pt idx="172">
                  <c:v>5.6057193314796512E-12</c:v>
                </c:pt>
                <c:pt idx="173">
                  <c:v>5.6057193314796512E-12</c:v>
                </c:pt>
                <c:pt idx="174">
                  <c:v>5.6057193314796512E-12</c:v>
                </c:pt>
                <c:pt idx="175">
                  <c:v>5.6057193314796512E-12</c:v>
                </c:pt>
                <c:pt idx="176">
                  <c:v>5.6057193314796512E-12</c:v>
                </c:pt>
                <c:pt idx="177">
                  <c:v>5.6057193314796512E-12</c:v>
                </c:pt>
                <c:pt idx="178">
                  <c:v>5.6057193314796512E-12</c:v>
                </c:pt>
                <c:pt idx="179">
                  <c:v>5.6057193314796512E-12</c:v>
                </c:pt>
                <c:pt idx="180">
                  <c:v>5.6057193314796512E-12</c:v>
                </c:pt>
                <c:pt idx="181">
                  <c:v>5.6057193314796512E-12</c:v>
                </c:pt>
                <c:pt idx="182">
                  <c:v>5.6057193314796512E-12</c:v>
                </c:pt>
                <c:pt idx="183">
                  <c:v>5.6057193314796512E-12</c:v>
                </c:pt>
                <c:pt idx="184">
                  <c:v>5.6057193314796512E-12</c:v>
                </c:pt>
                <c:pt idx="185">
                  <c:v>5.6057193314796512E-12</c:v>
                </c:pt>
                <c:pt idx="186">
                  <c:v>5.6057193314796512E-12</c:v>
                </c:pt>
                <c:pt idx="187">
                  <c:v>5.6057193314796512E-12</c:v>
                </c:pt>
                <c:pt idx="188">
                  <c:v>5.6057193314796512E-12</c:v>
                </c:pt>
                <c:pt idx="189">
                  <c:v>5.6057193314796512E-12</c:v>
                </c:pt>
                <c:pt idx="190">
                  <c:v>5.6057193314796512E-12</c:v>
                </c:pt>
                <c:pt idx="191">
                  <c:v>5.6057193314796512E-12</c:v>
                </c:pt>
                <c:pt idx="192">
                  <c:v>5.6057193314796512E-12</c:v>
                </c:pt>
                <c:pt idx="193">
                  <c:v>5.6057193314796512E-12</c:v>
                </c:pt>
                <c:pt idx="194">
                  <c:v>5.6057193314796512E-12</c:v>
                </c:pt>
                <c:pt idx="195">
                  <c:v>5.6057193314796512E-12</c:v>
                </c:pt>
                <c:pt idx="196">
                  <c:v>5.6057193314796512E-12</c:v>
                </c:pt>
                <c:pt idx="197">
                  <c:v>5.6057193314796512E-12</c:v>
                </c:pt>
                <c:pt idx="198">
                  <c:v>5.6057193314796512E-12</c:v>
                </c:pt>
                <c:pt idx="199">
                  <c:v>5.6057193314796512E-12</c:v>
                </c:pt>
                <c:pt idx="200">
                  <c:v>5.6057193314796512E-12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2.0795372090593456</c:v>
                </c:pt>
                <c:pt idx="2">
                  <c:v>2.6767360435395098</c:v>
                </c:pt>
                <c:pt idx="3">
                  <c:v>3.4461288787733699</c:v>
                </c:pt>
                <c:pt idx="4">
                  <c:v>4.4375534869622877</c:v>
                </c:pt>
                <c:pt idx="5">
                  <c:v>5.7153230288444377</c:v>
                </c:pt>
                <c:pt idx="6">
                  <c:v>7.3624441813975059</c:v>
                </c:pt>
                <c:pt idx="7">
                  <c:v>9.4860681256370967</c:v>
                </c:pt>
                <c:pt idx="8">
                  <c:v>12.224535721998178</c:v>
                </c:pt>
                <c:pt idx="9">
                  <c:v>15.75648436384756</c:v>
                </c:pt>
                <c:pt idx="10">
                  <c:v>20.312621425545984</c:v>
                </c:pt>
                <c:pt idx="11">
                  <c:v>26.1909471351813</c:v>
                </c:pt>
                <c:pt idx="12">
                  <c:v>33.776440055750776</c:v>
                </c:pt>
                <c:pt idx="13">
                  <c:v>43.566516638901568</c:v>
                </c:pt>
                <c:pt idx="14">
                  <c:v>56.203962590623313</c:v>
                </c:pt>
                <c:pt idx="15">
                  <c:v>72.519534065863823</c:v>
                </c:pt>
                <c:pt idx="16">
                  <c:v>93.587074695597963</c:v>
                </c:pt>
                <c:pt idx="17">
                  <c:v>120.79483383419057</c:v>
                </c:pt>
                <c:pt idx="18">
                  <c:v>155.93775882820458</c:v>
                </c:pt>
                <c:pt idx="19">
                  <c:v>153.22371186614836</c:v>
                </c:pt>
                <c:pt idx="20">
                  <c:v>177.61148225294494</c:v>
                </c:pt>
                <c:pt idx="21">
                  <c:v>201.92063702336623</c:v>
                </c:pt>
                <c:pt idx="22">
                  <c:v>188.42454454363443</c:v>
                </c:pt>
                <c:pt idx="23">
                  <c:v>210.0081668012941</c:v>
                </c:pt>
                <c:pt idx="24">
                  <c:v>231.54060536306486</c:v>
                </c:pt>
                <c:pt idx="25">
                  <c:v>211.57989792897527</c:v>
                </c:pt>
                <c:pt idx="26">
                  <c:v>230.64436776020281</c:v>
                </c:pt>
                <c:pt idx="27">
                  <c:v>249.67282178538531</c:v>
                </c:pt>
                <c:pt idx="28">
                  <c:v>268.6683907698814</c:v>
                </c:pt>
                <c:pt idx="29">
                  <c:v>287.63372643257628</c:v>
                </c:pt>
                <c:pt idx="30">
                  <c:v>306.57110217476503</c:v>
                </c:pt>
                <c:pt idx="31">
                  <c:v>252.80368978904474</c:v>
                </c:pt>
                <c:pt idx="32">
                  <c:v>270.00808353321963</c:v>
                </c:pt>
                <c:pt idx="33">
                  <c:v>287.18781271272866</c:v>
                </c:pt>
                <c:pt idx="34">
                  <c:v>304.34456023906205</c:v>
                </c:pt>
                <c:pt idx="35">
                  <c:v>321.47980377066716</c:v>
                </c:pt>
                <c:pt idx="36">
                  <c:v>338.5948505822164</c:v>
                </c:pt>
                <c:pt idx="37">
                  <c:v>271.12437982914275</c:v>
                </c:pt>
                <c:pt idx="38">
                  <c:v>286.51891307475506</c:v>
                </c:pt>
                <c:pt idx="39">
                  <c:v>301.89494535388923</c:v>
                </c:pt>
                <c:pt idx="40">
                  <c:v>317.25355162035777</c:v>
                </c:pt>
                <c:pt idx="41">
                  <c:v>332.59569423900763</c:v>
                </c:pt>
                <c:pt idx="42">
                  <c:v>347.92223953697521</c:v>
                </c:pt>
                <c:pt idx="43">
                  <c:v>272.68702100091008</c:v>
                </c:pt>
                <c:pt idx="44">
                  <c:v>286.96485004460743</c:v>
                </c:pt>
                <c:pt idx="45">
                  <c:v>301.22679191692959</c:v>
                </c:pt>
                <c:pt idx="46">
                  <c:v>315.47370483249205</c:v>
                </c:pt>
                <c:pt idx="47">
                  <c:v>329.70636314748066</c:v>
                </c:pt>
                <c:pt idx="48">
                  <c:v>343.92546889640715</c:v>
                </c:pt>
                <c:pt idx="49">
                  <c:v>270.11971783077774</c:v>
                </c:pt>
                <c:pt idx="50">
                  <c:v>283.1738887162237</c:v>
                </c:pt>
                <c:pt idx="51">
                  <c:v>296.21458319381429</c:v>
                </c:pt>
                <c:pt idx="52">
                  <c:v>309.24247828757859</c:v>
                </c:pt>
                <c:pt idx="53">
                  <c:v>322.25818930207646</c:v>
                </c:pt>
                <c:pt idx="54">
                  <c:v>335.2622777674473</c:v>
                </c:pt>
                <c:pt idx="55">
                  <c:v>348.25525808679203</c:v>
                </c:pt>
                <c:pt idx="56">
                  <c:v>361.2376031393249</c:v>
                </c:pt>
                <c:pt idx="57">
                  <c:v>374.20974903573409</c:v>
                </c:pt>
                <c:pt idx="58">
                  <c:v>387.17209917956257</c:v>
                </c:pt>
                <c:pt idx="59">
                  <c:v>400.12502775620351</c:v>
                </c:pt>
                <c:pt idx="60">
                  <c:v>413.06888274647389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1.9203140204213316</c:v>
                </c:pt>
                <c:pt idx="2">
                  <c:v>2.5373503253048804</c:v>
                </c:pt>
                <c:pt idx="3">
                  <c:v>3.3534746967259621</c:v>
                </c:pt>
                <c:pt idx="4">
                  <c:v>4.4331733568356464</c:v>
                </c:pt>
                <c:pt idx="5">
                  <c:v>5.8618959086463436</c:v>
                </c:pt>
                <c:pt idx="6">
                  <c:v>7.7528930524348363</c:v>
                </c:pt>
                <c:pt idx="7">
                  <c:v>10.256291470438329</c:v>
                </c:pt>
                <c:pt idx="8">
                  <c:v>13.571139900733398</c:v>
                </c:pt>
                <c:pt idx="9">
                  <c:v>17.961401871893774</c:v>
                </c:pt>
                <c:pt idx="10">
                  <c:v>23.777191627870639</c:v>
                </c:pt>
                <c:pt idx="11">
                  <c:v>31.482976738898202</c:v>
                </c:pt>
                <c:pt idx="12">
                  <c:v>41.695038776362409</c:v>
                </c:pt>
                <c:pt idx="13">
                  <c:v>55.231238827136707</c:v>
                </c:pt>
                <c:pt idx="14">
                  <c:v>73.177139572871184</c:v>
                </c:pt>
                <c:pt idx="15">
                  <c:v>96.97387275850123</c:v>
                </c:pt>
                <c:pt idx="16">
                  <c:v>128.53492010151578</c:v>
                </c:pt>
                <c:pt idx="17">
                  <c:v>170.40134350425296</c:v>
                </c:pt>
                <c:pt idx="18">
                  <c:v>225.9481518705777</c:v>
                </c:pt>
                <c:pt idx="19">
                  <c:v>167.1629650420995</c:v>
                </c:pt>
                <c:pt idx="20">
                  <c:v>192.18884671776516</c:v>
                </c:pt>
                <c:pt idx="21">
                  <c:v>217.13883006272945</c:v>
                </c:pt>
                <c:pt idx="22">
                  <c:v>242.02286551975575</c:v>
                </c:pt>
                <c:pt idx="23">
                  <c:v>266.84868654930165</c:v>
                </c:pt>
                <c:pt idx="24">
                  <c:v>291.62246862735793</c:v>
                </c:pt>
                <c:pt idx="25">
                  <c:v>267.83973843136442</c:v>
                </c:pt>
                <c:pt idx="26">
                  <c:v>295.20984437767919</c:v>
                </c:pt>
                <c:pt idx="27">
                  <c:v>322.52334410117277</c:v>
                </c:pt>
                <c:pt idx="28">
                  <c:v>349.785701644997</c:v>
                </c:pt>
                <c:pt idx="29">
                  <c:v>377.00145984165829</c:v>
                </c:pt>
                <c:pt idx="30">
                  <c:v>404.17445231612891</c:v>
                </c:pt>
                <c:pt idx="31">
                  <c:v>353.21192910385736</c:v>
                </c:pt>
                <c:pt idx="32">
                  <c:v>380.48929393712291</c:v>
                </c:pt>
                <c:pt idx="33">
                  <c:v>407.72413216850504</c:v>
                </c:pt>
                <c:pt idx="34">
                  <c:v>434.91968079517784</c:v>
                </c:pt>
                <c:pt idx="35">
                  <c:v>462.07873925701483</c:v>
                </c:pt>
                <c:pt idx="36">
                  <c:v>489.20375134717256</c:v>
                </c:pt>
                <c:pt idx="37">
                  <c:v>433.59961838636042</c:v>
                </c:pt>
                <c:pt idx="38">
                  <c:v>460.20839311111928</c:v>
                </c:pt>
                <c:pt idx="39">
                  <c:v>486.78434108389075</c:v>
                </c:pt>
                <c:pt idx="40">
                  <c:v>513.32950438861235</c:v>
                </c:pt>
                <c:pt idx="41">
                  <c:v>539.8456968976792</c:v>
                </c:pt>
                <c:pt idx="42">
                  <c:v>566.33453995655509</c:v>
                </c:pt>
                <c:pt idx="43">
                  <c:v>505.1294376134187</c:v>
                </c:pt>
                <c:pt idx="44">
                  <c:v>530.71596265986352</c:v>
                </c:pt>
                <c:pt idx="45">
                  <c:v>556.27653997817106</c:v>
                </c:pt>
                <c:pt idx="46">
                  <c:v>581.81252811346246</c:v>
                </c:pt>
                <c:pt idx="47">
                  <c:v>607.32515676835726</c:v>
                </c:pt>
                <c:pt idx="48">
                  <c:v>632.81554402908364</c:v>
                </c:pt>
                <c:pt idx="49">
                  <c:v>561.06523629540254</c:v>
                </c:pt>
                <c:pt idx="50">
                  <c:v>585.27746751979453</c:v>
                </c:pt>
                <c:pt idx="51">
                  <c:v>609.46883490395464</c:v>
                </c:pt>
                <c:pt idx="52">
                  <c:v>633.64028211551329</c:v>
                </c:pt>
                <c:pt idx="53">
                  <c:v>657.79267504043685</c:v>
                </c:pt>
                <c:pt idx="54">
                  <c:v>681.92681087155927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2.574052909151487</c:v>
                </c:pt>
                <c:pt idx="2">
                  <c:v>3.2461281653882743</c:v>
                </c:pt>
                <c:pt idx="3">
                  <c:v>4.0943661844375043</c:v>
                </c:pt>
                <c:pt idx="4">
                  <c:v>5.1651119528221656</c:v>
                </c:pt>
                <c:pt idx="5">
                  <c:v>6.5169446661128978</c:v>
                </c:pt>
                <c:pt idx="6">
                  <c:v>8.2239175681987557</c:v>
                </c:pt>
                <c:pt idx="7">
                  <c:v>10.379658260168837</c:v>
                </c:pt>
                <c:pt idx="8">
                  <c:v>13.102558620551131</c:v>
                </c:pt>
                <c:pt idx="9">
                  <c:v>16.542344646784436</c:v>
                </c:pt>
                <c:pt idx="10">
                  <c:v>20.888394060285197</c:v>
                </c:pt>
                <c:pt idx="11">
                  <c:v>26.380267800949554</c:v>
                </c:pt>
                <c:pt idx="12">
                  <c:v>33.321046136009507</c:v>
                </c:pt>
                <c:pt idx="13">
                  <c:v>42.094218082254564</c:v>
                </c:pt>
                <c:pt idx="14">
                  <c:v>53.185073146122171</c:v>
                </c:pt>
                <c:pt idx="15">
                  <c:v>67.207798386934755</c:v>
                </c:pt>
                <c:pt idx="16">
                  <c:v>61.195253174133917</c:v>
                </c:pt>
                <c:pt idx="17">
                  <c:v>81.654071629220851</c:v>
                </c:pt>
                <c:pt idx="18">
                  <c:v>101.98231585945268</c:v>
                </c:pt>
                <c:pt idx="19">
                  <c:v>122.20987672882796</c:v>
                </c:pt>
                <c:pt idx="20">
                  <c:v>142.35583160682572</c:v>
                </c:pt>
                <c:pt idx="21">
                  <c:v>115.59337364680668</c:v>
                </c:pt>
                <c:pt idx="22">
                  <c:v>137.4997067322079</c:v>
                </c:pt>
                <c:pt idx="23">
                  <c:v>159.32196170762117</c:v>
                </c:pt>
                <c:pt idx="24">
                  <c:v>181.07329523604912</c:v>
                </c:pt>
                <c:pt idx="25">
                  <c:v>202.76343275622807</c:v>
                </c:pt>
                <c:pt idx="26">
                  <c:v>174.86524839501377</c:v>
                </c:pt>
                <c:pt idx="27">
                  <c:v>195.19554735609913</c:v>
                </c:pt>
                <c:pt idx="28">
                  <c:v>215.47663414709197</c:v>
                </c:pt>
                <c:pt idx="29">
                  <c:v>235.71379290964839</c:v>
                </c:pt>
                <c:pt idx="30">
                  <c:v>255.91132536435109</c:v>
                </c:pt>
                <c:pt idx="31">
                  <c:v>226.45787789505599</c:v>
                </c:pt>
                <c:pt idx="32">
                  <c:v>244.96141929271744</c:v>
                </c:pt>
                <c:pt idx="33">
                  <c:v>263.43320731240294</c:v>
                </c:pt>
                <c:pt idx="34">
                  <c:v>281.875781441058</c:v>
                </c:pt>
                <c:pt idx="35">
                  <c:v>300.2913216340458</c:v>
                </c:pt>
                <c:pt idx="36">
                  <c:v>268.90061493982017</c:v>
                </c:pt>
                <c:pt idx="37">
                  <c:v>285.288046348151</c:v>
                </c:pt>
                <c:pt idx="38">
                  <c:v>301.65441391376049</c:v>
                </c:pt>
                <c:pt idx="39">
                  <c:v>318.00102122537902</c:v>
                </c:pt>
                <c:pt idx="40">
                  <c:v>334.32902690172892</c:v>
                </c:pt>
                <c:pt idx="41">
                  <c:v>300.63210759978875</c:v>
                </c:pt>
                <c:pt idx="42">
                  <c:v>314.59704855401981</c:v>
                </c:pt>
                <c:pt idx="43">
                  <c:v>328.54825156463437</c:v>
                </c:pt>
                <c:pt idx="44">
                  <c:v>342.48638220302013</c:v>
                </c:pt>
                <c:pt idx="45">
                  <c:v>356.4120474383385</c:v>
                </c:pt>
                <c:pt idx="46">
                  <c:v>331.26889354954557</c:v>
                </c:pt>
                <c:pt idx="47">
                  <c:v>343.50574897575689</c:v>
                </c:pt>
                <c:pt idx="48">
                  <c:v>355.73302732578964</c:v>
                </c:pt>
                <c:pt idx="49">
                  <c:v>367.95110424042508</c:v>
                </c:pt>
                <c:pt idx="50">
                  <c:v>380.160328372322</c:v>
                </c:pt>
                <c:pt idx="51">
                  <c:v>361.5037994693871</c:v>
                </c:pt>
                <c:pt idx="52">
                  <c:v>371.68262431492622</c:v>
                </c:pt>
                <c:pt idx="53">
                  <c:v>381.85537235272426</c:v>
                </c:pt>
                <c:pt idx="54">
                  <c:v>392.02222835802286</c:v>
                </c:pt>
                <c:pt idx="55">
                  <c:v>402.18336673633195</c:v>
                </c:pt>
                <c:pt idx="56">
                  <c:v>388.97277965128006</c:v>
                </c:pt>
                <c:pt idx="57">
                  <c:v>397.78089798901971</c:v>
                </c:pt>
                <c:pt idx="58">
                  <c:v>406.58479291095313</c:v>
                </c:pt>
                <c:pt idx="59">
                  <c:v>415.384568809923</c:v>
                </c:pt>
                <c:pt idx="60">
                  <c:v>424.18032529272591</c:v>
                </c:pt>
                <c:pt idx="61">
                  <c:v>411.32363915605634</c:v>
                </c:pt>
                <c:pt idx="62">
                  <c:v>418.76802245127936</c:v>
                </c:pt>
                <c:pt idx="63">
                  <c:v>426.20955457884071</c:v>
                </c:pt>
                <c:pt idx="64">
                  <c:v>433.64829237194994</c:v>
                </c:pt>
                <c:pt idx="65">
                  <c:v>441.08429055375751</c:v>
                </c:pt>
                <c:pt idx="66">
                  <c:v>428.91487052918592</c:v>
                </c:pt>
                <c:pt idx="67">
                  <c:v>435.33853059869892</c:v>
                </c:pt>
                <c:pt idx="68">
                  <c:v>441.76015637738465</c:v>
                </c:pt>
                <c:pt idx="69">
                  <c:v>448.17978162908167</c:v>
                </c:pt>
                <c:pt idx="70">
                  <c:v>454.59743907080406</c:v>
                </c:pt>
                <c:pt idx="71">
                  <c:v>443.44972404678083</c:v>
                </c:pt>
                <c:pt idx="72">
                  <c:v>449.1932259604792</c:v>
                </c:pt>
                <c:pt idx="73">
                  <c:v>454.93515661064157</c:v>
                </c:pt>
                <c:pt idx="74">
                  <c:v>460.67553864161067</c:v>
                </c:pt>
                <c:pt idx="75">
                  <c:v>466.41439408694333</c:v>
                </c:pt>
                <c:pt idx="76">
                  <c:v>455.94827709810414</c:v>
                </c:pt>
                <c:pt idx="77">
                  <c:v>460.67553864161067</c:v>
                </c:pt>
                <c:pt idx="78">
                  <c:v>465.40176486435234</c:v>
                </c:pt>
                <c:pt idx="79">
                  <c:v>470.12696777260271</c:v>
                </c:pt>
                <c:pt idx="80">
                  <c:v>474.85115911139536</c:v>
                </c:pt>
                <c:pt idx="81">
                  <c:v>461.35077692036231</c:v>
                </c:pt>
                <c:pt idx="82">
                  <c:v>461.35077692036231</c:v>
                </c:pt>
                <c:pt idx="83">
                  <c:v>461.35077692036231</c:v>
                </c:pt>
                <c:pt idx="84">
                  <c:v>461.35077692036231</c:v>
                </c:pt>
                <c:pt idx="85">
                  <c:v>461.35077692036231</c:v>
                </c:pt>
                <c:pt idx="86">
                  <c:v>461.35077692036231</c:v>
                </c:pt>
                <c:pt idx="87">
                  <c:v>461.35077692036231</c:v>
                </c:pt>
                <c:pt idx="88">
                  <c:v>461.35077692036231</c:v>
                </c:pt>
                <c:pt idx="89">
                  <c:v>461.35077692036231</c:v>
                </c:pt>
                <c:pt idx="90">
                  <c:v>461.35077692036231</c:v>
                </c:pt>
                <c:pt idx="91">
                  <c:v>461.35077692036231</c:v>
                </c:pt>
                <c:pt idx="92">
                  <c:v>461.35077692036231</c:v>
                </c:pt>
                <c:pt idx="93">
                  <c:v>461.35077692036231</c:v>
                </c:pt>
                <c:pt idx="94">
                  <c:v>461.35077692036231</c:v>
                </c:pt>
                <c:pt idx="95">
                  <c:v>461.35077692036231</c:v>
                </c:pt>
                <c:pt idx="96">
                  <c:v>461.35077692036231</c:v>
                </c:pt>
                <c:pt idx="97">
                  <c:v>461.35077692036231</c:v>
                </c:pt>
                <c:pt idx="98">
                  <c:v>461.35077692036231</c:v>
                </c:pt>
                <c:pt idx="99">
                  <c:v>461.35077692036231</c:v>
                </c:pt>
                <c:pt idx="100">
                  <c:v>461.35077692036231</c:v>
                </c:pt>
                <c:pt idx="101">
                  <c:v>461.35077692036231</c:v>
                </c:pt>
                <c:pt idx="102">
                  <c:v>461.35077692036231</c:v>
                </c:pt>
                <c:pt idx="103">
                  <c:v>461.35077692036231</c:v>
                </c:pt>
                <c:pt idx="104">
                  <c:v>461.35077692036231</c:v>
                </c:pt>
                <c:pt idx="105">
                  <c:v>461.35077692036231</c:v>
                </c:pt>
                <c:pt idx="106">
                  <c:v>461.35077692036231</c:v>
                </c:pt>
                <c:pt idx="107">
                  <c:v>461.35077692036231</c:v>
                </c:pt>
                <c:pt idx="108">
                  <c:v>461.35077692036231</c:v>
                </c:pt>
                <c:pt idx="109">
                  <c:v>461.35077692036231</c:v>
                </c:pt>
                <c:pt idx="110">
                  <c:v>461.35077692036231</c:v>
                </c:pt>
                <c:pt idx="111">
                  <c:v>461.35077692036231</c:v>
                </c:pt>
                <c:pt idx="112">
                  <c:v>461.35077692036231</c:v>
                </c:pt>
                <c:pt idx="113">
                  <c:v>461.35077692036231</c:v>
                </c:pt>
                <c:pt idx="114">
                  <c:v>461.35077692036231</c:v>
                </c:pt>
                <c:pt idx="115">
                  <c:v>461.35077692036231</c:v>
                </c:pt>
                <c:pt idx="116">
                  <c:v>461.35077692036231</c:v>
                </c:pt>
                <c:pt idx="117">
                  <c:v>461.35077692036231</c:v>
                </c:pt>
                <c:pt idx="118">
                  <c:v>461.35077692036231</c:v>
                </c:pt>
                <c:pt idx="119">
                  <c:v>461.35077692036231</c:v>
                </c:pt>
                <c:pt idx="120">
                  <c:v>461.35077692036231</c:v>
                </c:pt>
                <c:pt idx="121">
                  <c:v>461.35077692036231</c:v>
                </c:pt>
                <c:pt idx="122">
                  <c:v>461.35077692036231</c:v>
                </c:pt>
                <c:pt idx="123">
                  <c:v>461.35077692036231</c:v>
                </c:pt>
                <c:pt idx="124">
                  <c:v>461.35077692036231</c:v>
                </c:pt>
                <c:pt idx="125">
                  <c:v>461.35077692036231</c:v>
                </c:pt>
                <c:pt idx="126">
                  <c:v>461.35077692036231</c:v>
                </c:pt>
                <c:pt idx="127">
                  <c:v>461.35077692036231</c:v>
                </c:pt>
                <c:pt idx="128">
                  <c:v>461.35077692036231</c:v>
                </c:pt>
                <c:pt idx="129">
                  <c:v>461.35077692036231</c:v>
                </c:pt>
                <c:pt idx="130">
                  <c:v>461.35077692036231</c:v>
                </c:pt>
                <c:pt idx="131">
                  <c:v>461.35077692036231</c:v>
                </c:pt>
                <c:pt idx="132">
                  <c:v>461.35077692036231</c:v>
                </c:pt>
                <c:pt idx="133">
                  <c:v>461.35077692036231</c:v>
                </c:pt>
                <c:pt idx="134">
                  <c:v>461.35077692036231</c:v>
                </c:pt>
                <c:pt idx="135">
                  <c:v>461.35077692036231</c:v>
                </c:pt>
                <c:pt idx="136">
                  <c:v>461.35077692036231</c:v>
                </c:pt>
                <c:pt idx="137">
                  <c:v>461.35077692036231</c:v>
                </c:pt>
                <c:pt idx="138">
                  <c:v>461.35077692036231</c:v>
                </c:pt>
                <c:pt idx="139">
                  <c:v>461.35077692036231</c:v>
                </c:pt>
                <c:pt idx="140">
                  <c:v>461.35077692036231</c:v>
                </c:pt>
                <c:pt idx="141">
                  <c:v>461.35077692036231</c:v>
                </c:pt>
                <c:pt idx="142">
                  <c:v>461.35077692036231</c:v>
                </c:pt>
                <c:pt idx="143">
                  <c:v>461.35077692036231</c:v>
                </c:pt>
                <c:pt idx="144">
                  <c:v>461.35077692036231</c:v>
                </c:pt>
                <c:pt idx="145">
                  <c:v>461.35077692036231</c:v>
                </c:pt>
                <c:pt idx="146">
                  <c:v>461.35077692036231</c:v>
                </c:pt>
                <c:pt idx="147">
                  <c:v>461.35077692036231</c:v>
                </c:pt>
                <c:pt idx="148">
                  <c:v>461.35077692036231</c:v>
                </c:pt>
                <c:pt idx="149">
                  <c:v>461.35077692036231</c:v>
                </c:pt>
                <c:pt idx="150">
                  <c:v>461.35077692036231</c:v>
                </c:pt>
                <c:pt idx="151">
                  <c:v>461.35077692036231</c:v>
                </c:pt>
                <c:pt idx="152">
                  <c:v>461.35077692036231</c:v>
                </c:pt>
                <c:pt idx="153">
                  <c:v>461.35077692036231</c:v>
                </c:pt>
                <c:pt idx="154">
                  <c:v>461.35077692036231</c:v>
                </c:pt>
                <c:pt idx="155">
                  <c:v>461.35077692036231</c:v>
                </c:pt>
                <c:pt idx="156">
                  <c:v>461.35077692036231</c:v>
                </c:pt>
                <c:pt idx="157">
                  <c:v>461.35077692036231</c:v>
                </c:pt>
                <c:pt idx="158">
                  <c:v>461.35077692036231</c:v>
                </c:pt>
                <c:pt idx="159">
                  <c:v>461.35077692036231</c:v>
                </c:pt>
                <c:pt idx="160">
                  <c:v>461.35077692036231</c:v>
                </c:pt>
                <c:pt idx="161">
                  <c:v>461.35077692036231</c:v>
                </c:pt>
                <c:pt idx="162">
                  <c:v>461.35077692036231</c:v>
                </c:pt>
                <c:pt idx="163">
                  <c:v>461.35077692036231</c:v>
                </c:pt>
                <c:pt idx="164">
                  <c:v>461.35077692036231</c:v>
                </c:pt>
                <c:pt idx="165">
                  <c:v>461.35077692036231</c:v>
                </c:pt>
                <c:pt idx="166">
                  <c:v>461.35077692036231</c:v>
                </c:pt>
                <c:pt idx="167">
                  <c:v>461.35077692036231</c:v>
                </c:pt>
                <c:pt idx="168">
                  <c:v>461.35077692036231</c:v>
                </c:pt>
                <c:pt idx="169">
                  <c:v>461.35077692036231</c:v>
                </c:pt>
                <c:pt idx="170">
                  <c:v>461.35077692036231</c:v>
                </c:pt>
                <c:pt idx="171">
                  <c:v>461.35077692036231</c:v>
                </c:pt>
                <c:pt idx="172">
                  <c:v>461.35077692036231</c:v>
                </c:pt>
                <c:pt idx="173">
                  <c:v>461.35077692036231</c:v>
                </c:pt>
                <c:pt idx="174">
                  <c:v>461.35077692036231</c:v>
                </c:pt>
                <c:pt idx="175">
                  <c:v>461.35077692036231</c:v>
                </c:pt>
                <c:pt idx="176">
                  <c:v>461.35077692036231</c:v>
                </c:pt>
                <c:pt idx="177">
                  <c:v>461.35077692036231</c:v>
                </c:pt>
                <c:pt idx="178">
                  <c:v>461.35077692036231</c:v>
                </c:pt>
                <c:pt idx="179">
                  <c:v>461.35077692036231</c:v>
                </c:pt>
                <c:pt idx="180">
                  <c:v>461.35077692036231</c:v>
                </c:pt>
                <c:pt idx="181">
                  <c:v>461.35077692036231</c:v>
                </c:pt>
                <c:pt idx="182">
                  <c:v>461.35077692036231</c:v>
                </c:pt>
                <c:pt idx="183">
                  <c:v>461.35077692036231</c:v>
                </c:pt>
                <c:pt idx="184">
                  <c:v>461.35077692036231</c:v>
                </c:pt>
                <c:pt idx="185">
                  <c:v>461.35077692036231</c:v>
                </c:pt>
                <c:pt idx="186">
                  <c:v>461.35077692036231</c:v>
                </c:pt>
                <c:pt idx="187">
                  <c:v>461.35077692036231</c:v>
                </c:pt>
                <c:pt idx="188">
                  <c:v>461.35077692036231</c:v>
                </c:pt>
                <c:pt idx="189">
                  <c:v>461.35077692036231</c:v>
                </c:pt>
                <c:pt idx="190">
                  <c:v>461.35077692036231</c:v>
                </c:pt>
                <c:pt idx="191">
                  <c:v>461.35077692036231</c:v>
                </c:pt>
                <c:pt idx="192">
                  <c:v>461.35077692036231</c:v>
                </c:pt>
                <c:pt idx="193">
                  <c:v>461.35077692036231</c:v>
                </c:pt>
                <c:pt idx="194">
                  <c:v>461.35077692036231</c:v>
                </c:pt>
                <c:pt idx="195">
                  <c:v>461.35077692036231</c:v>
                </c:pt>
                <c:pt idx="196">
                  <c:v>461.35077692036231</c:v>
                </c:pt>
                <c:pt idx="197">
                  <c:v>461.35077692036231</c:v>
                </c:pt>
                <c:pt idx="198">
                  <c:v>461.35077692036231</c:v>
                </c:pt>
                <c:pt idx="199">
                  <c:v>461.35077692036231</c:v>
                </c:pt>
                <c:pt idx="200">
                  <c:v>461.35077692036231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I6" sqref="I6"/>
    </sheetView>
  </sheetViews>
  <sheetFormatPr baseColWidth="10" defaultColWidth="11.453125" defaultRowHeight="14.5" x14ac:dyDescent="0.35"/>
  <cols>
    <col min="1" max="1" width="6.7265625" customWidth="1"/>
    <col min="2" max="13" width="15.81640625" customWidth="1"/>
  </cols>
  <sheetData>
    <row r="12" spans="2:13" ht="15" customHeight="1" x14ac:dyDescent="0.35">
      <c r="B12" s="265" t="s">
        <v>0</v>
      </c>
      <c r="C12" s="265"/>
      <c r="D12" s="265"/>
      <c r="E12" s="265"/>
      <c r="F12" s="265"/>
      <c r="G12" s="265"/>
      <c r="H12" s="265"/>
      <c r="I12" s="265"/>
      <c r="J12" s="265"/>
      <c r="K12" s="265"/>
      <c r="L12" s="265"/>
      <c r="M12" s="265"/>
    </row>
    <row r="13" spans="2:13" ht="15" customHeight="1" x14ac:dyDescent="0.35">
      <c r="B13" s="265"/>
      <c r="C13" s="265"/>
      <c r="D13" s="265"/>
      <c r="E13" s="265"/>
      <c r="F13" s="265"/>
      <c r="G13" s="265"/>
      <c r="H13" s="265"/>
      <c r="I13" s="265"/>
      <c r="J13" s="265"/>
      <c r="K13" s="265"/>
      <c r="L13" s="265"/>
      <c r="M13" s="265"/>
    </row>
    <row r="14" spans="2:13" ht="15" customHeight="1" x14ac:dyDescent="0.35">
      <c r="B14" s="265"/>
      <c r="C14" s="265"/>
      <c r="D14" s="265"/>
      <c r="E14" s="265"/>
      <c r="F14" s="265"/>
      <c r="G14" s="265"/>
      <c r="H14" s="265"/>
      <c r="I14" s="265"/>
      <c r="J14" s="265"/>
      <c r="K14" s="265"/>
      <c r="L14" s="265"/>
      <c r="M14" s="265"/>
    </row>
    <row r="15" spans="2:13" ht="18.75" customHeight="1" x14ac:dyDescent="0.35">
      <c r="B15" s="265"/>
      <c r="C15" s="265"/>
      <c r="D15" s="265"/>
      <c r="E15" s="265"/>
      <c r="F15" s="265"/>
      <c r="G15" s="265"/>
      <c r="H15" s="265"/>
      <c r="I15" s="265"/>
      <c r="J15" s="265"/>
      <c r="K15" s="265"/>
      <c r="L15" s="265"/>
      <c r="M15" s="265"/>
    </row>
    <row r="16" spans="2:13" ht="18.75" customHeight="1" x14ac:dyDescent="0.35">
      <c r="B16" s="265"/>
      <c r="C16" s="265"/>
      <c r="D16" s="265"/>
      <c r="E16" s="265"/>
      <c r="F16" s="265"/>
      <c r="G16" s="265"/>
      <c r="H16" s="265"/>
      <c r="I16" s="265"/>
      <c r="J16" s="265"/>
      <c r="K16" s="265"/>
      <c r="L16" s="265"/>
      <c r="M16" s="265"/>
    </row>
    <row r="18" spans="2:13" ht="12" customHeight="1" x14ac:dyDescent="0.35">
      <c r="B18" s="265" t="s">
        <v>1</v>
      </c>
      <c r="C18" s="265"/>
      <c r="D18" s="265"/>
      <c r="E18" s="265"/>
      <c r="F18" s="265"/>
      <c r="G18" s="265"/>
      <c r="H18" s="265"/>
      <c r="I18" s="265"/>
      <c r="J18" s="265"/>
      <c r="K18" s="265"/>
      <c r="L18" s="265"/>
      <c r="M18" s="265"/>
    </row>
    <row r="19" spans="2:13" ht="12" customHeight="1" x14ac:dyDescent="0.35">
      <c r="B19" s="265"/>
      <c r="C19" s="265"/>
      <c r="D19" s="265"/>
      <c r="E19" s="265"/>
      <c r="F19" s="265"/>
      <c r="G19" s="265"/>
      <c r="H19" s="265"/>
      <c r="I19" s="265"/>
      <c r="J19" s="265"/>
      <c r="K19" s="265"/>
      <c r="L19" s="265"/>
      <c r="M19" s="265"/>
    </row>
    <row r="20" spans="2:13" ht="12" customHeight="1" x14ac:dyDescent="0.35">
      <c r="B20" s="265"/>
      <c r="C20" s="265"/>
      <c r="D20" s="265"/>
      <c r="E20" s="265"/>
      <c r="F20" s="265"/>
      <c r="G20" s="265"/>
      <c r="H20" s="265"/>
      <c r="I20" s="265"/>
      <c r="J20" s="265"/>
      <c r="K20" s="265"/>
      <c r="L20" s="265"/>
      <c r="M20" s="265"/>
    </row>
    <row r="21" spans="2:13" ht="12" customHeight="1" x14ac:dyDescent="0.35">
      <c r="B21" s="265"/>
      <c r="C21" s="265"/>
      <c r="D21" s="265"/>
      <c r="E21" s="265"/>
      <c r="F21" s="265"/>
      <c r="G21" s="265"/>
      <c r="H21" s="265"/>
      <c r="I21" s="265"/>
      <c r="J21" s="265"/>
      <c r="K21" s="265"/>
      <c r="L21" s="265"/>
      <c r="M21" s="265"/>
    </row>
    <row r="22" spans="2:13" ht="12" customHeight="1" x14ac:dyDescent="0.35">
      <c r="B22" s="265"/>
      <c r="C22" s="265"/>
      <c r="D22" s="265"/>
      <c r="E22" s="265"/>
      <c r="F22" s="265"/>
      <c r="G22" s="265"/>
      <c r="H22" s="265"/>
      <c r="I22" s="265"/>
      <c r="J22" s="265"/>
      <c r="K22" s="265"/>
      <c r="L22" s="265"/>
      <c r="M22" s="265"/>
    </row>
    <row r="23" spans="2:13" ht="12" customHeight="1" x14ac:dyDescent="0.35">
      <c r="B23" s="265"/>
      <c r="C23" s="265"/>
      <c r="D23" s="265"/>
      <c r="E23" s="265"/>
      <c r="F23" s="265"/>
      <c r="G23" s="265"/>
      <c r="H23" s="265"/>
      <c r="I23" s="265"/>
      <c r="J23" s="265"/>
      <c r="K23" s="265"/>
      <c r="L23" s="265"/>
      <c r="M23" s="265"/>
    </row>
    <row r="24" spans="2:13" ht="12" customHeight="1" x14ac:dyDescent="0.35">
      <c r="B24" s="265"/>
      <c r="C24" s="265"/>
      <c r="D24" s="265"/>
      <c r="E24" s="265"/>
      <c r="F24" s="265"/>
      <c r="G24" s="265"/>
      <c r="H24" s="265"/>
      <c r="I24" s="265"/>
      <c r="J24" s="265"/>
      <c r="K24" s="265"/>
      <c r="L24" s="265"/>
      <c r="M24" s="265"/>
    </row>
    <row r="25" spans="2:13" ht="12" customHeight="1" x14ac:dyDescent="0.35">
      <c r="B25" s="265"/>
      <c r="C25" s="265"/>
      <c r="D25" s="265"/>
      <c r="E25" s="265"/>
      <c r="F25" s="265"/>
      <c r="G25" s="265"/>
      <c r="H25" s="265"/>
      <c r="I25" s="265"/>
      <c r="J25" s="265"/>
      <c r="K25" s="265"/>
      <c r="L25" s="265"/>
      <c r="M25" s="265"/>
    </row>
    <row r="26" spans="2:13" ht="12" customHeight="1" x14ac:dyDescent="0.35">
      <c r="B26" s="265"/>
      <c r="C26" s="265"/>
      <c r="D26" s="265"/>
      <c r="E26" s="265"/>
      <c r="F26" s="265"/>
      <c r="G26" s="265"/>
      <c r="H26" s="265"/>
      <c r="I26" s="265"/>
      <c r="J26" s="265"/>
      <c r="K26" s="265"/>
      <c r="L26" s="265"/>
      <c r="M26" s="265"/>
    </row>
    <row r="27" spans="2:13" ht="12" customHeight="1" x14ac:dyDescent="0.35">
      <c r="B27" s="265"/>
      <c r="C27" s="265"/>
      <c r="D27" s="265"/>
      <c r="E27" s="265"/>
      <c r="F27" s="265"/>
      <c r="G27" s="265"/>
      <c r="H27" s="265"/>
      <c r="I27" s="265"/>
      <c r="J27" s="265"/>
      <c r="K27" s="265"/>
      <c r="L27" s="265"/>
      <c r="M27" s="265"/>
    </row>
    <row r="28" spans="2:13" ht="12" customHeight="1" x14ac:dyDescent="0.35">
      <c r="B28" s="265"/>
      <c r="C28" s="265"/>
      <c r="D28" s="265"/>
      <c r="E28" s="265"/>
      <c r="F28" s="265"/>
      <c r="G28" s="265"/>
      <c r="H28" s="265"/>
      <c r="I28" s="265"/>
      <c r="J28" s="265"/>
      <c r="K28" s="265"/>
      <c r="L28" s="265"/>
      <c r="M28" s="265"/>
    </row>
    <row r="29" spans="2:13" ht="12" customHeight="1" x14ac:dyDescent="0.35">
      <c r="B29" s="265"/>
      <c r="C29" s="265"/>
      <c r="D29" s="265"/>
      <c r="E29" s="265"/>
      <c r="F29" s="265"/>
      <c r="G29" s="265"/>
      <c r="H29" s="265"/>
      <c r="I29" s="265"/>
      <c r="J29" s="265"/>
      <c r="K29" s="265"/>
      <c r="L29" s="265"/>
      <c r="M29" s="265"/>
    </row>
    <row r="30" spans="2:13" ht="12" customHeight="1" x14ac:dyDescent="0.35">
      <c r="B30" s="265"/>
      <c r="C30" s="265"/>
      <c r="D30" s="265"/>
      <c r="E30" s="265"/>
      <c r="F30" s="265"/>
      <c r="G30" s="265"/>
      <c r="H30" s="265"/>
      <c r="I30" s="265"/>
      <c r="J30" s="265"/>
      <c r="K30" s="265"/>
      <c r="L30" s="265"/>
      <c r="M30" s="265"/>
    </row>
    <row r="31" spans="2:13" ht="12" customHeight="1" x14ac:dyDescent="0.35">
      <c r="B31" s="265"/>
      <c r="C31" s="265"/>
      <c r="D31" s="265"/>
      <c r="E31" s="265"/>
      <c r="F31" s="265"/>
      <c r="G31" s="265"/>
      <c r="H31" s="265"/>
      <c r="I31" s="265"/>
      <c r="J31" s="265"/>
      <c r="K31" s="265"/>
      <c r="L31" s="265"/>
      <c r="M31" s="265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7" zoomScale="85" zoomScaleNormal="85" workbookViewId="0">
      <selection activeCell="E20" sqref="E20"/>
    </sheetView>
  </sheetViews>
  <sheetFormatPr baseColWidth="10" defaultColWidth="11.453125" defaultRowHeight="14.5" x14ac:dyDescent="0.35"/>
  <cols>
    <col min="1" max="1" width="13.7265625" style="23" customWidth="1"/>
    <col min="2" max="2" width="36.1796875" style="23" customWidth="1"/>
    <col min="3" max="3" width="14.81640625" style="23" bestFit="1" customWidth="1"/>
    <col min="4" max="4" width="16.453125" style="23" customWidth="1"/>
    <col min="5" max="5" width="23.26953125" style="23" customWidth="1"/>
    <col min="6" max="6" width="28.81640625" style="23" bestFit="1" customWidth="1"/>
    <col min="7" max="8" width="14.7265625" style="23" customWidth="1"/>
    <col min="9" max="9" width="17" style="23" customWidth="1"/>
    <col min="10" max="10" width="13.81640625" style="23" customWidth="1"/>
    <col min="11" max="16384" width="11.453125" style="23"/>
  </cols>
  <sheetData>
    <row r="1" spans="1:38" x14ac:dyDescent="0.35">
      <c r="A1" s="4"/>
      <c r="B1" s="4"/>
      <c r="C1" s="266" t="s">
        <v>2</v>
      </c>
      <c r="D1" s="266"/>
      <c r="E1" s="266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4">
      <c r="A2" s="4"/>
      <c r="B2" s="4"/>
      <c r="C2" s="4"/>
      <c r="D2" s="4"/>
      <c r="E2" s="4"/>
      <c r="F2" s="4"/>
      <c r="G2" s="4"/>
      <c r="H2" s="4"/>
      <c r="I2" s="211" t="s">
        <v>3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5" thickBot="1" x14ac:dyDescent="0.4">
      <c r="A3" s="4"/>
      <c r="B3" s="271" t="s">
        <v>4</v>
      </c>
      <c r="C3" s="272"/>
      <c r="D3" s="272"/>
      <c r="E3" s="272"/>
      <c r="F3" s="273"/>
      <c r="G3" s="89"/>
      <c r="I3" s="211" t="s">
        <v>5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" x14ac:dyDescent="0.35">
      <c r="A4" s="90"/>
      <c r="B4" s="90"/>
      <c r="C4" s="90"/>
      <c r="D4" s="90"/>
      <c r="E4" s="90"/>
      <c r="F4" s="90"/>
      <c r="G4" s="218"/>
      <c r="I4" s="211" t="s">
        <v>6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" x14ac:dyDescent="0.35">
      <c r="A5" s="276" t="s">
        <v>7</v>
      </c>
      <c r="B5" s="276"/>
      <c r="C5" s="24">
        <v>11.67</v>
      </c>
      <c r="D5" s="277" t="s">
        <v>8</v>
      </c>
      <c r="E5" s="278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" x14ac:dyDescent="0.35">
      <c r="A7" s="275" t="s">
        <v>9</v>
      </c>
      <c r="B7" s="275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5">
      <c r="A8" s="4"/>
      <c r="B8" s="25" t="s">
        <v>10</v>
      </c>
      <c r="C8" s="26" t="s">
        <v>11</v>
      </c>
      <c r="D8" s="27" t="s">
        <v>12</v>
      </c>
      <c r="E8" s="28" t="s">
        <v>13</v>
      </c>
      <c r="F8" s="29" t="s">
        <v>14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5">
      <c r="A9" s="30" t="s">
        <v>15</v>
      </c>
      <c r="B9" s="31" t="s">
        <v>161</v>
      </c>
      <c r="C9" s="32">
        <v>0.35</v>
      </c>
      <c r="D9" s="33">
        <f t="shared" ref="D9:D18" si="0">C9*$C$5</f>
        <v>4.0844999999999994</v>
      </c>
      <c r="E9" s="34">
        <v>77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17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5">
      <c r="A10" s="30" t="s">
        <v>18</v>
      </c>
      <c r="B10" s="31" t="s">
        <v>19</v>
      </c>
      <c r="C10" s="32">
        <v>0.35</v>
      </c>
      <c r="D10" s="33">
        <f t="shared" si="0"/>
        <v>4.0844999999999994</v>
      </c>
      <c r="E10" s="34">
        <v>60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5">
      <c r="A11" s="30" t="s">
        <v>20</v>
      </c>
      <c r="B11" s="31" t="s">
        <v>16</v>
      </c>
      <c r="C11" s="32">
        <v>0.27</v>
      </c>
      <c r="D11" s="33">
        <f t="shared" si="0"/>
        <v>3.1509</v>
      </c>
      <c r="E11" s="34">
        <v>54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5">
      <c r="A12" s="30" t="s">
        <v>22</v>
      </c>
      <c r="B12" s="31" t="s">
        <v>169</v>
      </c>
      <c r="C12" s="32">
        <v>0.03</v>
      </c>
      <c r="D12" s="33">
        <f t="shared" si="0"/>
        <v>0.35009999999999997</v>
      </c>
      <c r="E12" s="34">
        <v>80</v>
      </c>
      <c r="F12" s="35" t="str">
        <f t="array" ref="F12">IF(E12="","",IF(INDEX(A:A,MAX(IF(ISNUMBER($A$114:$A$133),ROW($A$114:$A$133),"")))&lt;&gt;E12,"Corrigez : révolution incorrecte","OK"))</f>
        <v>OK</v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5">
      <c r="A13" s="30" t="s">
        <v>23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5">
      <c r="A14" s="30" t="s">
        <v>24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5">
      <c r="A15" s="30" t="s">
        <v>25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5">
      <c r="A16" s="30" t="s">
        <v>26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5">
      <c r="A17" s="30" t="s">
        <v>27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5">
      <c r="A18" s="30" t="s">
        <v>28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5">
      <c r="A19" s="78"/>
      <c r="B19" s="36" t="s">
        <v>29</v>
      </c>
      <c r="C19" s="37">
        <f>SUM(C9:C18)</f>
        <v>1</v>
      </c>
      <c r="D19" s="38">
        <f>SUM(D9:D18)</f>
        <v>11.669999999999998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5">
      <c r="A20" s="78"/>
      <c r="B20" s="39" t="s">
        <v>14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5">
      <c r="A22" s="274" t="s">
        <v>30</v>
      </c>
      <c r="B22" s="274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5">
      <c r="A24" s="41" t="s">
        <v>31</v>
      </c>
      <c r="B24" s="42" t="s">
        <v>32</v>
      </c>
      <c r="C24" s="43">
        <v>0</v>
      </c>
      <c r="D24" s="44" t="s">
        <v>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5">
      <c r="A25" s="41" t="s">
        <v>34</v>
      </c>
      <c r="B25" s="42" t="s">
        <v>35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5">
      <c r="A26" s="41" t="s">
        <v>36</v>
      </c>
      <c r="B26" s="42" t="s">
        <v>37</v>
      </c>
      <c r="C26" s="43">
        <v>0.05</v>
      </c>
      <c r="D26" s="44" t="s">
        <v>38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5">
      <c r="A27" s="41" t="s">
        <v>39</v>
      </c>
      <c r="B27" s="42" t="s">
        <v>40</v>
      </c>
      <c r="C27" s="43">
        <v>0</v>
      </c>
      <c r="D27" s="44" t="s">
        <v>41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5">
      <c r="A30" s="275" t="s">
        <v>42</v>
      </c>
      <c r="B30" s="275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5">
      <c r="A32" s="46" t="s">
        <v>15</v>
      </c>
      <c r="B32" s="47" t="str">
        <f>IF(B9="","",B9)</f>
        <v>Epicéa commun</v>
      </c>
      <c r="D32" s="229" t="s">
        <v>43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5">
      <c r="A34" s="4"/>
      <c r="B34" s="85" t="s">
        <v>44</v>
      </c>
      <c r="C34" s="267" t="s">
        <v>45</v>
      </c>
      <c r="D34" s="267"/>
      <c r="E34" s="268" t="s">
        <v>46</v>
      </c>
      <c r="F34" s="269"/>
      <c r="G34" s="269"/>
      <c r="H34" s="270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5" x14ac:dyDescent="0.35">
      <c r="A35" s="36" t="s">
        <v>47</v>
      </c>
      <c r="B35" s="36" t="s">
        <v>48</v>
      </c>
      <c r="C35" s="48" t="s">
        <v>49</v>
      </c>
      <c r="D35" s="48" t="s">
        <v>50</v>
      </c>
      <c r="E35" s="36" t="s">
        <v>51</v>
      </c>
      <c r="F35" s="36" t="s">
        <v>52</v>
      </c>
      <c r="G35" s="36" t="s">
        <v>53</v>
      </c>
      <c r="H35" s="36" t="s">
        <v>54</v>
      </c>
      <c r="I35" s="48" t="s">
        <v>55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5">
      <c r="A36" s="50">
        <v>25</v>
      </c>
      <c r="B36" s="60">
        <v>256.63846153846151</v>
      </c>
      <c r="C36" s="60">
        <v>1</v>
      </c>
      <c r="D36" s="60">
        <v>67.207692307692312</v>
      </c>
      <c r="E36" s="51">
        <v>0</v>
      </c>
      <c r="F36" s="51">
        <v>0.8</v>
      </c>
      <c r="G36" s="51">
        <v>0.2</v>
      </c>
      <c r="H36" s="51">
        <v>0</v>
      </c>
      <c r="I36" s="49">
        <f>IFERROR(B36/A36,"")</f>
        <v>10.26553846153846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5">
      <c r="A37" s="50">
        <v>30</v>
      </c>
      <c r="B37" s="60">
        <v>302.96923076923071</v>
      </c>
      <c r="C37" s="60">
        <v>2</v>
      </c>
      <c r="D37" s="60">
        <v>90.015384615384605</v>
      </c>
      <c r="E37" s="51">
        <v>0.3</v>
      </c>
      <c r="F37" s="51">
        <v>0.6</v>
      </c>
      <c r="G37" s="51">
        <v>0.1</v>
      </c>
      <c r="H37" s="51">
        <v>0</v>
      </c>
      <c r="I37" s="53">
        <f t="shared" ref="I37:I55" si="1">IF(A37&lt;&gt;0,(B37-(B36-D36))/(A37-A36),"")</f>
        <v>22.707692307692298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5">
      <c r="A38" s="50">
        <v>36</v>
      </c>
      <c r="B38" s="60">
        <v>342.64615384615388</v>
      </c>
      <c r="C38" s="60">
        <v>3</v>
      </c>
      <c r="D38" s="60">
        <v>85.407692307692301</v>
      </c>
      <c r="E38" s="51">
        <v>0.3</v>
      </c>
      <c r="F38" s="51">
        <v>0.6</v>
      </c>
      <c r="G38" s="51">
        <v>0.1</v>
      </c>
      <c r="H38" s="51">
        <v>0</v>
      </c>
      <c r="I38" s="53">
        <f t="shared" si="1"/>
        <v>21.615384615384631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5">
      <c r="A39" s="50">
        <v>42</v>
      </c>
      <c r="B39" s="60">
        <v>379.17692307692306</v>
      </c>
      <c r="C39" s="60">
        <v>4</v>
      </c>
      <c r="D39" s="60">
        <v>78.223076923076917</v>
      </c>
      <c r="E39" s="51">
        <v>0.4</v>
      </c>
      <c r="F39" s="51">
        <v>0.6</v>
      </c>
      <c r="G39" s="51">
        <v>0</v>
      </c>
      <c r="H39" s="51">
        <v>0</v>
      </c>
      <c r="I39" s="49">
        <f t="shared" si="1"/>
        <v>20.323076923076911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5">
      <c r="A40" s="50">
        <v>48</v>
      </c>
      <c r="B40" s="60">
        <v>414.34615384615381</v>
      </c>
      <c r="C40" s="60">
        <v>5</v>
      </c>
      <c r="D40" s="60">
        <v>85.953846153846143</v>
      </c>
      <c r="E40" s="51">
        <v>0.4</v>
      </c>
      <c r="F40" s="51">
        <v>0.6</v>
      </c>
      <c r="G40" s="51">
        <v>0</v>
      </c>
      <c r="H40" s="51">
        <v>0</v>
      </c>
      <c r="I40" s="49">
        <f t="shared" si="1"/>
        <v>18.898717948717945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5">
      <c r="A41" s="50">
        <v>55</v>
      </c>
      <c r="B41" s="60">
        <v>447.71538461538455</v>
      </c>
      <c r="C41" s="60">
        <v>6</v>
      </c>
      <c r="D41" s="60">
        <v>83.638461538461542</v>
      </c>
      <c r="E41" s="51">
        <v>0.6</v>
      </c>
      <c r="F41" s="51">
        <v>0.4</v>
      </c>
      <c r="G41" s="51">
        <v>0</v>
      </c>
      <c r="H41" s="51">
        <v>0</v>
      </c>
      <c r="I41" s="53">
        <f t="shared" si="1"/>
        <v>17.046153846153839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5">
      <c r="A42" s="50">
        <v>62</v>
      </c>
      <c r="B42" s="60">
        <v>471.0846153846154</v>
      </c>
      <c r="C42" s="60">
        <v>7</v>
      </c>
      <c r="D42" s="60">
        <v>101.43076923076924</v>
      </c>
      <c r="E42" s="51">
        <v>0.6</v>
      </c>
      <c r="F42" s="51">
        <v>0.4</v>
      </c>
      <c r="G42" s="51">
        <v>0</v>
      </c>
      <c r="H42" s="51">
        <v>0</v>
      </c>
      <c r="I42" s="53">
        <f t="shared" si="1"/>
        <v>15.286813186813204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5">
      <c r="A43" s="50">
        <v>69</v>
      </c>
      <c r="B43" s="60">
        <v>461.90769230769229</v>
      </c>
      <c r="C43" s="60">
        <v>8</v>
      </c>
      <c r="D43" s="60">
        <v>93.461538461538453</v>
      </c>
      <c r="E43" s="51">
        <v>0.7</v>
      </c>
      <c r="F43" s="51">
        <v>0.3</v>
      </c>
      <c r="G43" s="51">
        <v>0</v>
      </c>
      <c r="H43" s="51">
        <v>0</v>
      </c>
      <c r="I43" s="49">
        <f t="shared" si="1"/>
        <v>13.179120879120871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5">
      <c r="A44" s="50">
        <v>77</v>
      </c>
      <c r="B44" s="60">
        <v>459.09230769230771</v>
      </c>
      <c r="C44" s="60">
        <v>9</v>
      </c>
      <c r="D44" s="60">
        <v>459.09230769230771</v>
      </c>
      <c r="E44" s="51">
        <v>0.7</v>
      </c>
      <c r="F44" s="51">
        <v>0.3</v>
      </c>
      <c r="G44" s="51">
        <v>0</v>
      </c>
      <c r="H44" s="51">
        <v>0</v>
      </c>
      <c r="I44" s="49">
        <f t="shared" si="1"/>
        <v>11.330769230769235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5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5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5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5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5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5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5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5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5">
      <c r="A58" s="46" t="s">
        <v>18</v>
      </c>
      <c r="B58" s="52" t="str">
        <f>IF(B10="","",B10)</f>
        <v>Mélèze d'Europe</v>
      </c>
      <c r="D58" s="229" t="s">
        <v>43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5">
      <c r="A60" s="4"/>
      <c r="B60" s="85" t="s">
        <v>44</v>
      </c>
      <c r="C60" s="267" t="s">
        <v>45</v>
      </c>
      <c r="D60" s="267"/>
      <c r="E60" s="268" t="s">
        <v>46</v>
      </c>
      <c r="F60" s="269"/>
      <c r="G60" s="269"/>
      <c r="H60" s="270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5" x14ac:dyDescent="0.35">
      <c r="A61" s="36" t="s">
        <v>47</v>
      </c>
      <c r="B61" s="36" t="s">
        <v>48</v>
      </c>
      <c r="C61" s="48" t="s">
        <v>49</v>
      </c>
      <c r="D61" s="48" t="s">
        <v>50</v>
      </c>
      <c r="E61" s="36" t="s">
        <v>51</v>
      </c>
      <c r="F61" s="36" t="s">
        <v>52</v>
      </c>
      <c r="G61" s="36" t="s">
        <v>53</v>
      </c>
      <c r="H61" s="36" t="s">
        <v>54</v>
      </c>
      <c r="I61" s="48" t="s">
        <v>55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5">
      <c r="A62" s="257">
        <v>18</v>
      </c>
      <c r="B62" s="258">
        <v>112</v>
      </c>
      <c r="C62" s="258">
        <v>1</v>
      </c>
      <c r="D62" s="258">
        <v>20</v>
      </c>
      <c r="E62" s="259">
        <v>0</v>
      </c>
      <c r="F62" s="259">
        <v>0.7</v>
      </c>
      <c r="G62" s="259">
        <v>0</v>
      </c>
      <c r="H62" s="259">
        <v>0.3</v>
      </c>
      <c r="I62" s="53">
        <f>IFERROR(B62/A62,"")</f>
        <v>6.2222222222222223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5">
      <c r="A63" s="257">
        <v>21</v>
      </c>
      <c r="B63" s="258">
        <v>146</v>
      </c>
      <c r="C63" s="258">
        <v>2</v>
      </c>
      <c r="D63" s="258">
        <v>26</v>
      </c>
      <c r="E63" s="259">
        <v>0</v>
      </c>
      <c r="F63" s="259">
        <v>0.8</v>
      </c>
      <c r="G63" s="259">
        <v>0</v>
      </c>
      <c r="H63" s="259">
        <v>0.2</v>
      </c>
      <c r="I63" s="49">
        <f>IF(A63&lt;&gt;0,(B63-(B62-D62))/(A63-A62),"")</f>
        <v>18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5">
      <c r="A64" s="257">
        <v>24</v>
      </c>
      <c r="B64" s="258">
        <v>168</v>
      </c>
      <c r="C64" s="258">
        <v>3</v>
      </c>
      <c r="D64" s="258">
        <v>29</v>
      </c>
      <c r="E64" s="259">
        <v>0</v>
      </c>
      <c r="F64" s="259">
        <v>0.8</v>
      </c>
      <c r="G64" s="259">
        <v>0</v>
      </c>
      <c r="H64" s="259">
        <v>0.2</v>
      </c>
      <c r="I64" s="49">
        <f>IF(A64&lt;&gt;0,(B64-(B63-D63))/(A64-A63),"")</f>
        <v>16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5">
      <c r="A65" s="257">
        <v>30</v>
      </c>
      <c r="B65" s="258">
        <v>224</v>
      </c>
      <c r="C65" s="258">
        <v>4</v>
      </c>
      <c r="D65" s="258">
        <v>53</v>
      </c>
      <c r="E65" s="259">
        <v>0</v>
      </c>
      <c r="F65" s="259">
        <v>0.8</v>
      </c>
      <c r="G65" s="259">
        <v>0</v>
      </c>
      <c r="H65" s="259">
        <v>0.2</v>
      </c>
      <c r="I65" s="49">
        <f>IF(A65&lt;&gt;0,(B65-(B64-D64))/(A65-A64),"")</f>
        <v>14.166666666666666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5">
      <c r="A66" s="257">
        <v>36</v>
      </c>
      <c r="B66" s="258">
        <v>248</v>
      </c>
      <c r="C66" s="258">
        <v>5</v>
      </c>
      <c r="D66" s="258">
        <v>62</v>
      </c>
      <c r="E66" s="259">
        <v>0.3</v>
      </c>
      <c r="F66" s="259">
        <v>0.6</v>
      </c>
      <c r="G66" s="259">
        <v>0</v>
      </c>
      <c r="H66" s="259">
        <v>0.1</v>
      </c>
      <c r="I66" s="49">
        <f t="shared" ref="I66:I81" si="2">IF(A66&lt;&gt;0,(B66-(B65-D65))/(A66-A65),"")</f>
        <v>12.833333333333334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5">
      <c r="A67" s="257">
        <v>42</v>
      </c>
      <c r="B67" s="258">
        <v>255</v>
      </c>
      <c r="C67" s="258">
        <v>6</v>
      </c>
      <c r="D67" s="258">
        <v>67</v>
      </c>
      <c r="E67" s="260">
        <v>0.3</v>
      </c>
      <c r="F67" s="260">
        <v>0.6</v>
      </c>
      <c r="G67" s="260">
        <v>0</v>
      </c>
      <c r="H67" s="260">
        <v>0.1</v>
      </c>
      <c r="I67" s="49">
        <f t="shared" si="2"/>
        <v>11.5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5">
      <c r="A68" s="257">
        <v>48</v>
      </c>
      <c r="B68" s="258">
        <v>252</v>
      </c>
      <c r="C68" s="258">
        <v>7</v>
      </c>
      <c r="D68" s="258">
        <v>65</v>
      </c>
      <c r="E68" s="260">
        <v>0.4</v>
      </c>
      <c r="F68" s="260">
        <v>0.6</v>
      </c>
      <c r="G68" s="260">
        <v>0</v>
      </c>
      <c r="H68" s="260">
        <v>0</v>
      </c>
      <c r="I68" s="49">
        <f t="shared" si="2"/>
        <v>10.666666666666666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5">
      <c r="A69" s="261">
        <v>60</v>
      </c>
      <c r="B69" s="261">
        <v>304</v>
      </c>
      <c r="C69" s="261" t="s">
        <v>56</v>
      </c>
      <c r="D69" s="261">
        <v>304</v>
      </c>
      <c r="E69" s="260">
        <v>0.4</v>
      </c>
      <c r="F69" s="260">
        <v>0.6</v>
      </c>
      <c r="G69" s="260">
        <v>0</v>
      </c>
      <c r="H69" s="260">
        <v>0</v>
      </c>
      <c r="I69" s="49">
        <f t="shared" si="2"/>
        <v>9.75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5">
      <c r="A70" s="261"/>
      <c r="B70" s="261"/>
      <c r="C70" s="261"/>
      <c r="D70" s="261"/>
      <c r="E70" s="260"/>
      <c r="F70" s="260"/>
      <c r="G70" s="260"/>
      <c r="H70" s="260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5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5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5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5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5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5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5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5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5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5">
      <c r="A84" s="46" t="s">
        <v>20</v>
      </c>
      <c r="B84" s="52" t="str">
        <f>IF(B11="","",B11)</f>
        <v>Douglas</v>
      </c>
      <c r="D84" s="229" t="s">
        <v>43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5">
      <c r="A86" s="4"/>
      <c r="B86" s="85" t="s">
        <v>44</v>
      </c>
      <c r="C86" s="267" t="s">
        <v>45</v>
      </c>
      <c r="D86" s="267"/>
      <c r="E86" s="268" t="s">
        <v>46</v>
      </c>
      <c r="F86" s="269"/>
      <c r="G86" s="269"/>
      <c r="H86" s="270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5" x14ac:dyDescent="0.35">
      <c r="A87" s="36" t="s">
        <v>47</v>
      </c>
      <c r="B87" s="36" t="s">
        <v>48</v>
      </c>
      <c r="C87" s="48" t="s">
        <v>49</v>
      </c>
      <c r="D87" s="48" t="s">
        <v>50</v>
      </c>
      <c r="E87" s="36" t="s">
        <v>51</v>
      </c>
      <c r="F87" s="36" t="s">
        <v>52</v>
      </c>
      <c r="G87" s="36" t="s">
        <v>53</v>
      </c>
      <c r="H87" s="36" t="s">
        <v>54</v>
      </c>
      <c r="I87" s="48" t="s">
        <v>55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5">
      <c r="A88" s="257">
        <v>18</v>
      </c>
      <c r="B88" s="258">
        <v>182.89230769230767</v>
      </c>
      <c r="C88" s="258">
        <v>1</v>
      </c>
      <c r="D88" s="258">
        <v>69.284615384615378</v>
      </c>
      <c r="E88" s="259">
        <v>0</v>
      </c>
      <c r="F88" s="259">
        <v>0.56000000000000005</v>
      </c>
      <c r="G88" s="259">
        <v>0.44</v>
      </c>
      <c r="H88" s="262">
        <v>0</v>
      </c>
      <c r="I88" s="53">
        <f>IFERROR(B88/A88,"")</f>
        <v>10.16068376068376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5">
      <c r="A89" s="257">
        <v>24</v>
      </c>
      <c r="B89" s="258">
        <v>237.56153846153845</v>
      </c>
      <c r="C89" s="258">
        <v>2</v>
      </c>
      <c r="D89" s="258">
        <v>42.661538461538463</v>
      </c>
      <c r="E89" s="259">
        <v>0.7</v>
      </c>
      <c r="F89" s="259">
        <v>0.16800000000000001</v>
      </c>
      <c r="G89" s="259">
        <v>0.13200000000000001</v>
      </c>
      <c r="H89" s="262">
        <v>0</v>
      </c>
      <c r="I89" s="53">
        <f t="shared" ref="I89:I107" si="3">IF(A89&lt;&gt;0,(B89-(B88-D88))/(A89-A88),"")</f>
        <v>20.658974358974358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5">
      <c r="A90" s="257">
        <v>30</v>
      </c>
      <c r="B90" s="258">
        <v>331.86923076923074</v>
      </c>
      <c r="C90" s="258">
        <v>3</v>
      </c>
      <c r="D90" s="258">
        <v>65.669230769230765</v>
      </c>
      <c r="E90" s="262">
        <v>0.7</v>
      </c>
      <c r="F90" s="262">
        <v>0.16800000000000001</v>
      </c>
      <c r="G90" s="262">
        <v>0.13200000000000001</v>
      </c>
      <c r="H90" s="262">
        <v>0</v>
      </c>
      <c r="I90" s="53">
        <f t="shared" si="3"/>
        <v>22.828205128205127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5">
      <c r="A91" s="257">
        <v>36</v>
      </c>
      <c r="B91" s="258">
        <v>403.50769230769237</v>
      </c>
      <c r="C91" s="258">
        <v>4</v>
      </c>
      <c r="D91" s="258">
        <v>69.3</v>
      </c>
      <c r="E91" s="262">
        <v>0.7</v>
      </c>
      <c r="F91" s="262">
        <v>0.16800000000000001</v>
      </c>
      <c r="G91" s="262">
        <v>0.13200000000000001</v>
      </c>
      <c r="H91" s="262">
        <v>0</v>
      </c>
      <c r="I91" s="53">
        <f t="shared" si="3"/>
        <v>22.884615384615397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5">
      <c r="A92" s="257">
        <v>42</v>
      </c>
      <c r="B92" s="258">
        <v>468.72307692307686</v>
      </c>
      <c r="C92" s="258">
        <v>5</v>
      </c>
      <c r="D92" s="258">
        <v>73.392307692307682</v>
      </c>
      <c r="E92" s="262">
        <v>0.7</v>
      </c>
      <c r="F92" s="262">
        <v>0.16800000000000001</v>
      </c>
      <c r="G92" s="262">
        <v>0.13200000000000001</v>
      </c>
      <c r="H92" s="262">
        <v>0</v>
      </c>
      <c r="I92" s="53">
        <f t="shared" si="3"/>
        <v>22.419230769230751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5">
      <c r="A93" s="257">
        <v>48</v>
      </c>
      <c r="B93" s="258">
        <v>525.0846153846154</v>
      </c>
      <c r="C93" s="258">
        <v>6</v>
      </c>
      <c r="D93" s="258">
        <v>81.330769230769235</v>
      </c>
      <c r="E93" s="263">
        <v>0.7</v>
      </c>
      <c r="F93" s="263">
        <v>0.16800000000000001</v>
      </c>
      <c r="G93" s="263">
        <v>0.13200000000000001</v>
      </c>
      <c r="H93" s="263">
        <v>0</v>
      </c>
      <c r="I93" s="53">
        <f t="shared" si="3"/>
        <v>21.625641025641034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5">
      <c r="A94" s="257">
        <v>54</v>
      </c>
      <c r="B94" s="258">
        <v>566.79999999999995</v>
      </c>
      <c r="C94" s="258">
        <v>7</v>
      </c>
      <c r="D94" s="258">
        <v>566.79999999999995</v>
      </c>
      <c r="E94" s="263">
        <v>0.7</v>
      </c>
      <c r="F94" s="263">
        <v>0.16800000000000001</v>
      </c>
      <c r="G94" s="263">
        <v>0.13200000000000001</v>
      </c>
      <c r="H94" s="263">
        <v>0</v>
      </c>
      <c r="I94" s="53">
        <f t="shared" si="3"/>
        <v>20.507692307692299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5">
      <c r="A95" s="60"/>
      <c r="B95" s="60"/>
      <c r="C95" s="60"/>
      <c r="D95" s="60"/>
      <c r="E95" s="87"/>
      <c r="F95" s="87"/>
      <c r="G95" s="87"/>
      <c r="H95" s="87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5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5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5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5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5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5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5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5">
      <c r="A110" s="46" t="s">
        <v>22</v>
      </c>
      <c r="B110" s="52" t="str">
        <f>IF(B12="","",B12)</f>
        <v>Erable sycomore</v>
      </c>
      <c r="D110" s="229" t="s">
        <v>43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5">
      <c r="A112" s="4"/>
      <c r="B112" s="85" t="s">
        <v>44</v>
      </c>
      <c r="C112" s="267" t="s">
        <v>45</v>
      </c>
      <c r="D112" s="267"/>
      <c r="E112" s="268" t="s">
        <v>46</v>
      </c>
      <c r="F112" s="269"/>
      <c r="G112" s="269"/>
      <c r="H112" s="270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5" x14ac:dyDescent="0.35">
      <c r="A113" s="36" t="s">
        <v>47</v>
      </c>
      <c r="B113" s="36" t="s">
        <v>48</v>
      </c>
      <c r="C113" s="48" t="s">
        <v>49</v>
      </c>
      <c r="D113" s="48" t="s">
        <v>50</v>
      </c>
      <c r="E113" s="36" t="s">
        <v>51</v>
      </c>
      <c r="F113" s="36" t="s">
        <v>52</v>
      </c>
      <c r="G113" s="36" t="s">
        <v>53</v>
      </c>
      <c r="H113" s="36" t="s">
        <v>54</v>
      </c>
      <c r="I113" s="48" t="s">
        <v>55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5">
      <c r="A114" s="257">
        <v>15</v>
      </c>
      <c r="B114" s="258">
        <v>37</v>
      </c>
      <c r="C114" s="257">
        <v>1</v>
      </c>
      <c r="D114" s="258">
        <v>15</v>
      </c>
      <c r="E114" s="259">
        <v>0</v>
      </c>
      <c r="F114" s="259">
        <v>0</v>
      </c>
      <c r="G114" s="259">
        <v>0</v>
      </c>
      <c r="H114" s="259">
        <v>1</v>
      </c>
      <c r="I114" s="53">
        <f>IFERROR(B114/A114,"")</f>
        <v>2.4666666666666668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5">
      <c r="A115" s="257">
        <v>20</v>
      </c>
      <c r="B115" s="258">
        <v>80</v>
      </c>
      <c r="C115" s="257">
        <v>2</v>
      </c>
      <c r="D115" s="258">
        <v>28</v>
      </c>
      <c r="E115" s="259">
        <v>0</v>
      </c>
      <c r="F115" s="259">
        <v>0</v>
      </c>
      <c r="G115" s="259">
        <v>0</v>
      </c>
      <c r="H115" s="259">
        <v>1</v>
      </c>
      <c r="I115" s="53">
        <f t="shared" ref="I115:I133" si="4">IF(A115&lt;&gt;0,(B115-(B114-D114))/(A115-A114),"")</f>
        <v>11.6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5">
      <c r="A116" s="257">
        <v>25</v>
      </c>
      <c r="B116" s="258">
        <v>115</v>
      </c>
      <c r="C116" s="257">
        <v>3</v>
      </c>
      <c r="D116" s="258">
        <v>28</v>
      </c>
      <c r="E116" s="259">
        <v>0</v>
      </c>
      <c r="F116" s="259">
        <v>7.0000000000000007E-2</v>
      </c>
      <c r="G116" s="259">
        <v>0</v>
      </c>
      <c r="H116" s="259">
        <v>0.93</v>
      </c>
      <c r="I116" s="53">
        <f t="shared" si="4"/>
        <v>12.6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5">
      <c r="A117" s="257">
        <v>30</v>
      </c>
      <c r="B117" s="258">
        <v>146</v>
      </c>
      <c r="C117" s="257">
        <v>4</v>
      </c>
      <c r="D117" s="258">
        <v>28</v>
      </c>
      <c r="E117" s="259">
        <v>0.04</v>
      </c>
      <c r="F117" s="259">
        <v>0.28999999999999998</v>
      </c>
      <c r="G117" s="259">
        <v>0</v>
      </c>
      <c r="H117" s="259">
        <v>0.68</v>
      </c>
      <c r="I117" s="53">
        <f t="shared" si="4"/>
        <v>11.8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5">
      <c r="A118" s="257">
        <v>35</v>
      </c>
      <c r="B118" s="258">
        <v>172</v>
      </c>
      <c r="C118" s="257">
        <v>5</v>
      </c>
      <c r="D118" s="258">
        <v>28</v>
      </c>
      <c r="E118" s="259">
        <v>0.18</v>
      </c>
      <c r="F118" s="259">
        <v>0.43</v>
      </c>
      <c r="G118" s="259">
        <v>0</v>
      </c>
      <c r="H118" s="259">
        <v>0.39</v>
      </c>
      <c r="I118" s="53">
        <f t="shared" si="4"/>
        <v>10.8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5">
      <c r="A119" s="257">
        <v>40</v>
      </c>
      <c r="B119" s="258">
        <v>192</v>
      </c>
      <c r="C119" s="257">
        <v>6</v>
      </c>
      <c r="D119" s="258">
        <v>28</v>
      </c>
      <c r="E119" s="260">
        <v>0.39</v>
      </c>
      <c r="F119" s="260">
        <v>0.39</v>
      </c>
      <c r="G119" s="260">
        <v>0</v>
      </c>
      <c r="H119" s="260">
        <v>0.21</v>
      </c>
      <c r="I119" s="53">
        <f t="shared" si="4"/>
        <v>9.6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5">
      <c r="A120" s="258">
        <v>45</v>
      </c>
      <c r="B120" s="258">
        <v>205</v>
      </c>
      <c r="C120" s="258">
        <v>7</v>
      </c>
      <c r="D120" s="258">
        <v>22</v>
      </c>
      <c r="E120" s="263">
        <v>0.59</v>
      </c>
      <c r="F120" s="263">
        <v>0.27</v>
      </c>
      <c r="G120" s="263">
        <v>0</v>
      </c>
      <c r="H120" s="263">
        <v>0.14000000000000001</v>
      </c>
      <c r="I120" s="53">
        <f t="shared" si="4"/>
        <v>8.1999999999999993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5">
      <c r="A121" s="264">
        <v>50</v>
      </c>
      <c r="B121" s="264">
        <v>219</v>
      </c>
      <c r="C121" s="264">
        <v>8</v>
      </c>
      <c r="D121" s="264">
        <v>17</v>
      </c>
      <c r="E121" s="263">
        <v>0.71</v>
      </c>
      <c r="F121" s="263">
        <v>0.18</v>
      </c>
      <c r="G121" s="263">
        <v>0</v>
      </c>
      <c r="H121" s="263">
        <v>0.12</v>
      </c>
      <c r="I121" s="53">
        <f t="shared" si="4"/>
        <v>7.2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5">
      <c r="A122" s="264">
        <v>55</v>
      </c>
      <c r="B122" s="264">
        <v>232</v>
      </c>
      <c r="C122" s="264">
        <v>9</v>
      </c>
      <c r="D122" s="264">
        <v>13</v>
      </c>
      <c r="E122" s="263">
        <v>0.77</v>
      </c>
      <c r="F122" s="263">
        <v>0.15</v>
      </c>
      <c r="G122" s="263">
        <v>0</v>
      </c>
      <c r="H122" s="263">
        <v>0.08</v>
      </c>
      <c r="I122" s="53">
        <f t="shared" si="4"/>
        <v>6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5">
      <c r="A123" s="60">
        <v>60</v>
      </c>
      <c r="B123" s="60">
        <v>245</v>
      </c>
      <c r="C123" s="60">
        <v>10</v>
      </c>
      <c r="D123" s="60">
        <v>12</v>
      </c>
      <c r="E123" s="87">
        <v>0.83</v>
      </c>
      <c r="F123" s="87">
        <v>0.08</v>
      </c>
      <c r="G123" s="87">
        <v>0</v>
      </c>
      <c r="H123" s="87">
        <v>0.08</v>
      </c>
      <c r="I123" s="53">
        <f t="shared" si="4"/>
        <v>5.2</v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5">
      <c r="A124" s="60">
        <v>65</v>
      </c>
      <c r="B124" s="60">
        <v>255</v>
      </c>
      <c r="C124" s="60">
        <v>11</v>
      </c>
      <c r="D124" s="60">
        <v>11</v>
      </c>
      <c r="E124" s="87">
        <v>0.82</v>
      </c>
      <c r="F124" s="87">
        <v>0.09</v>
      </c>
      <c r="G124" s="87">
        <v>0</v>
      </c>
      <c r="H124" s="87">
        <v>0.09</v>
      </c>
      <c r="I124" s="53">
        <f t="shared" si="4"/>
        <v>4.4000000000000004</v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5">
      <c r="A125" s="60">
        <v>70</v>
      </c>
      <c r="B125" s="60">
        <v>263</v>
      </c>
      <c r="C125" s="60">
        <v>12</v>
      </c>
      <c r="D125" s="60">
        <v>10</v>
      </c>
      <c r="E125" s="87">
        <v>0.9</v>
      </c>
      <c r="F125" s="87">
        <v>0.1</v>
      </c>
      <c r="G125" s="87">
        <v>0</v>
      </c>
      <c r="H125" s="87">
        <v>0</v>
      </c>
      <c r="I125" s="53">
        <f t="shared" si="4"/>
        <v>3.8</v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5">
      <c r="A126" s="60">
        <v>75</v>
      </c>
      <c r="B126" s="60">
        <v>270</v>
      </c>
      <c r="C126" s="60">
        <v>13</v>
      </c>
      <c r="D126" s="60">
        <v>9</v>
      </c>
      <c r="E126" s="65">
        <v>0.89</v>
      </c>
      <c r="F126" s="65">
        <v>0.11</v>
      </c>
      <c r="G126" s="65">
        <v>0</v>
      </c>
      <c r="H126" s="65">
        <v>0</v>
      </c>
      <c r="I126" s="53">
        <f t="shared" si="4"/>
        <v>3.4</v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5">
      <c r="A127" s="60">
        <v>80</v>
      </c>
      <c r="B127" s="60">
        <v>275</v>
      </c>
      <c r="C127" s="60">
        <v>14</v>
      </c>
      <c r="D127" s="60">
        <v>8</v>
      </c>
      <c r="E127" s="65">
        <v>0.88</v>
      </c>
      <c r="F127" s="65">
        <v>0.13</v>
      </c>
      <c r="G127" s="65">
        <v>0</v>
      </c>
      <c r="H127" s="65">
        <v>0</v>
      </c>
      <c r="I127" s="53">
        <f t="shared" si="4"/>
        <v>2.8</v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5">
      <c r="A136" s="46" t="s">
        <v>23</v>
      </c>
      <c r="B136" s="52" t="str">
        <f>IF(B13="","",B13)</f>
        <v/>
      </c>
      <c r="D136" s="229" t="s">
        <v>43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5">
      <c r="A138" s="4"/>
      <c r="B138" s="85" t="s">
        <v>44</v>
      </c>
      <c r="C138" s="267" t="s">
        <v>45</v>
      </c>
      <c r="D138" s="267"/>
      <c r="E138" s="268" t="s">
        <v>46</v>
      </c>
      <c r="F138" s="269"/>
      <c r="G138" s="269"/>
      <c r="H138" s="270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5" x14ac:dyDescent="0.35">
      <c r="A139" s="36" t="s">
        <v>47</v>
      </c>
      <c r="B139" s="36" t="s">
        <v>48</v>
      </c>
      <c r="C139" s="48" t="s">
        <v>49</v>
      </c>
      <c r="D139" s="48" t="s">
        <v>50</v>
      </c>
      <c r="E139" s="36" t="s">
        <v>51</v>
      </c>
      <c r="F139" s="36" t="s">
        <v>52</v>
      </c>
      <c r="G139" s="36" t="s">
        <v>53</v>
      </c>
      <c r="H139" s="36" t="s">
        <v>54</v>
      </c>
      <c r="I139" s="48" t="s">
        <v>55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5">
      <c r="A140" s="257"/>
      <c r="B140" s="258"/>
      <c r="C140" s="257"/>
      <c r="D140" s="258"/>
      <c r="E140" s="259"/>
      <c r="F140" s="259"/>
      <c r="G140" s="259"/>
      <c r="H140" s="259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5">
      <c r="A141" s="257"/>
      <c r="B141" s="258"/>
      <c r="C141" s="257"/>
      <c r="D141" s="258"/>
      <c r="E141" s="259"/>
      <c r="F141" s="259"/>
      <c r="G141" s="259"/>
      <c r="H141" s="259"/>
      <c r="I141" s="57" t="str">
        <f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5">
      <c r="A142" s="257"/>
      <c r="B142" s="258"/>
      <c r="C142" s="257"/>
      <c r="D142" s="258"/>
      <c r="E142" s="259"/>
      <c r="F142" s="259"/>
      <c r="G142" s="259"/>
      <c r="H142" s="259"/>
      <c r="I142" s="57" t="str">
        <f>IF(A142&lt;&gt;0,(B142-(B141-D141))/(A142-A141),"")</f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5">
      <c r="A143" s="257"/>
      <c r="B143" s="258"/>
      <c r="C143" s="257"/>
      <c r="D143" s="258"/>
      <c r="E143" s="259"/>
      <c r="F143" s="259"/>
      <c r="G143" s="259"/>
      <c r="H143" s="259"/>
      <c r="I143" s="57" t="str">
        <f t="shared" ref="I143:I159" si="5">IF(A143&lt;&gt;0,(B143-(B142-D142))/(A143-A142),"")</f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5">
      <c r="A144" s="257"/>
      <c r="B144" s="258"/>
      <c r="C144" s="257"/>
      <c r="D144" s="258"/>
      <c r="E144" s="259"/>
      <c r="F144" s="259"/>
      <c r="G144" s="259"/>
      <c r="H144" s="259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5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5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5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5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5">
      <c r="A162" s="46" t="s">
        <v>24</v>
      </c>
      <c r="B162" s="52" t="str">
        <f>IF(B14="","",B14)</f>
        <v/>
      </c>
      <c r="D162" s="229" t="s">
        <v>43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5">
      <c r="A164" s="4"/>
      <c r="B164" s="85" t="s">
        <v>44</v>
      </c>
      <c r="C164" s="267" t="s">
        <v>45</v>
      </c>
      <c r="D164" s="267"/>
      <c r="E164" s="268" t="s">
        <v>46</v>
      </c>
      <c r="F164" s="269"/>
      <c r="G164" s="269"/>
      <c r="H164" s="270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5" x14ac:dyDescent="0.35">
      <c r="A165" s="36" t="s">
        <v>47</v>
      </c>
      <c r="B165" s="36" t="s">
        <v>48</v>
      </c>
      <c r="C165" s="48" t="s">
        <v>49</v>
      </c>
      <c r="D165" s="48" t="s">
        <v>50</v>
      </c>
      <c r="E165" s="36" t="s">
        <v>51</v>
      </c>
      <c r="F165" s="36" t="s">
        <v>52</v>
      </c>
      <c r="G165" s="36" t="s">
        <v>53</v>
      </c>
      <c r="H165" s="36" t="s">
        <v>54</v>
      </c>
      <c r="I165" s="48" t="s">
        <v>55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5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5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5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5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5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5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5">
      <c r="A188" s="46" t="s">
        <v>25</v>
      </c>
      <c r="B188" s="52" t="str">
        <f>IF(B15="","",B15)</f>
        <v/>
      </c>
      <c r="D188" s="229" t="s">
        <v>43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5">
      <c r="A190" s="4"/>
      <c r="B190" s="85" t="s">
        <v>44</v>
      </c>
      <c r="C190" s="267" t="s">
        <v>45</v>
      </c>
      <c r="D190" s="267"/>
      <c r="E190" s="268" t="s">
        <v>46</v>
      </c>
      <c r="F190" s="269"/>
      <c r="G190" s="269"/>
      <c r="H190" s="270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5" x14ac:dyDescent="0.35">
      <c r="A191" s="36" t="s">
        <v>47</v>
      </c>
      <c r="B191" s="36" t="s">
        <v>48</v>
      </c>
      <c r="C191" s="48" t="s">
        <v>49</v>
      </c>
      <c r="D191" s="48" t="s">
        <v>50</v>
      </c>
      <c r="E191" s="36" t="s">
        <v>51</v>
      </c>
      <c r="F191" s="36" t="s">
        <v>52</v>
      </c>
      <c r="G191" s="36" t="s">
        <v>53</v>
      </c>
      <c r="H191" s="36" t="s">
        <v>54</v>
      </c>
      <c r="I191" s="48" t="s">
        <v>55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5">
      <c r="A214" s="46" t="s">
        <v>26</v>
      </c>
      <c r="B214" s="52" t="str">
        <f>IF(B16="","",B16)</f>
        <v/>
      </c>
      <c r="D214" s="229" t="s">
        <v>43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5">
      <c r="A216" s="4"/>
      <c r="B216" s="85" t="s">
        <v>44</v>
      </c>
      <c r="C216" s="267" t="s">
        <v>45</v>
      </c>
      <c r="D216" s="267"/>
      <c r="E216" s="268" t="s">
        <v>46</v>
      </c>
      <c r="F216" s="269"/>
      <c r="G216" s="269"/>
      <c r="H216" s="270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5" x14ac:dyDescent="0.35">
      <c r="A217" s="36" t="s">
        <v>47</v>
      </c>
      <c r="B217" s="36" t="s">
        <v>48</v>
      </c>
      <c r="C217" s="48" t="s">
        <v>49</v>
      </c>
      <c r="D217" s="48" t="s">
        <v>50</v>
      </c>
      <c r="E217" s="36" t="s">
        <v>51</v>
      </c>
      <c r="F217" s="36" t="s">
        <v>52</v>
      </c>
      <c r="G217" s="36" t="s">
        <v>53</v>
      </c>
      <c r="H217" s="36" t="s">
        <v>54</v>
      </c>
      <c r="I217" s="48" t="s">
        <v>55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5">
      <c r="A240" s="46" t="s">
        <v>27</v>
      </c>
      <c r="B240" s="52" t="str">
        <f>IF(B17="","",B17)</f>
        <v/>
      </c>
      <c r="D240" s="229" t="s">
        <v>43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5">
      <c r="A242" s="4"/>
      <c r="B242" s="85" t="s">
        <v>44</v>
      </c>
      <c r="C242" s="267" t="s">
        <v>45</v>
      </c>
      <c r="D242" s="267"/>
      <c r="E242" s="268" t="s">
        <v>46</v>
      </c>
      <c r="F242" s="269"/>
      <c r="G242" s="269"/>
      <c r="H242" s="270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5" x14ac:dyDescent="0.35">
      <c r="A243" s="36" t="s">
        <v>47</v>
      </c>
      <c r="B243" s="36" t="s">
        <v>48</v>
      </c>
      <c r="C243" s="48" t="s">
        <v>49</v>
      </c>
      <c r="D243" s="48" t="s">
        <v>50</v>
      </c>
      <c r="E243" s="36" t="s">
        <v>51</v>
      </c>
      <c r="F243" s="36" t="s">
        <v>52</v>
      </c>
      <c r="G243" s="36" t="s">
        <v>53</v>
      </c>
      <c r="H243" s="36" t="s">
        <v>54</v>
      </c>
      <c r="I243" s="48" t="s">
        <v>55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5">
      <c r="A266" s="46" t="s">
        <v>28</v>
      </c>
      <c r="B266" s="52" t="str">
        <f>IF(B18="","",B18)</f>
        <v/>
      </c>
      <c r="D266" s="229" t="s">
        <v>43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5">
      <c r="A268" s="4"/>
      <c r="B268" s="85" t="s">
        <v>44</v>
      </c>
      <c r="C268" s="267" t="s">
        <v>45</v>
      </c>
      <c r="D268" s="267"/>
      <c r="E268" s="268" t="s">
        <v>46</v>
      </c>
      <c r="F268" s="269"/>
      <c r="G268" s="269"/>
      <c r="H268" s="270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5" x14ac:dyDescent="0.35">
      <c r="A269" s="36" t="s">
        <v>47</v>
      </c>
      <c r="B269" s="36" t="s">
        <v>48</v>
      </c>
      <c r="C269" s="48" t="s">
        <v>49</v>
      </c>
      <c r="D269" s="48" t="s">
        <v>50</v>
      </c>
      <c r="E269" s="36" t="s">
        <v>51</v>
      </c>
      <c r="F269" s="36" t="s">
        <v>52</v>
      </c>
      <c r="G269" s="36" t="s">
        <v>53</v>
      </c>
      <c r="H269" s="36" t="s">
        <v>54</v>
      </c>
      <c r="I269" s="48" t="s">
        <v>55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B16" sqref="B16"/>
    </sheetView>
  </sheetViews>
  <sheetFormatPr baseColWidth="10" defaultColWidth="11.453125" defaultRowHeight="14.5" x14ac:dyDescent="0.35"/>
  <cols>
    <col min="1" max="1" width="5.81640625" style="1" customWidth="1"/>
    <col min="2" max="2" width="14.1796875" style="1" customWidth="1"/>
    <col min="3" max="3" width="62.1796875" style="1" customWidth="1"/>
    <col min="4" max="5" width="4.26953125" style="1" customWidth="1"/>
    <col min="6" max="6" width="14.26953125" style="1" customWidth="1"/>
    <col min="7" max="7" width="73.26953125" style="1" bestFit="1" customWidth="1"/>
    <col min="8" max="10" width="11.453125" style="1"/>
    <col min="11" max="11" width="12.54296875" style="1" customWidth="1"/>
    <col min="12" max="16384" width="11.453125" style="1"/>
  </cols>
  <sheetData>
    <row r="1" spans="1:38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5" thickBot="1" x14ac:dyDescent="0.65">
      <c r="A2" s="4"/>
      <c r="B2" s="280" t="s">
        <v>57</v>
      </c>
      <c r="C2" s="281"/>
      <c r="D2" s="281"/>
      <c r="E2" s="281"/>
      <c r="F2" s="281"/>
      <c r="G2" s="282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5">
      <c r="A4" s="4"/>
      <c r="B4" s="279"/>
      <c r="C4" s="279"/>
      <c r="D4" s="279"/>
      <c r="E4" s="279"/>
      <c r="F4" s="279"/>
      <c r="G4" s="279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5">
      <c r="A5" s="4"/>
      <c r="B5" s="98" t="s">
        <v>58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5">
      <c r="A7" s="99"/>
      <c r="B7" s="26" t="s">
        <v>59</v>
      </c>
      <c r="C7" s="100" t="s">
        <v>60</v>
      </c>
      <c r="D7" s="215"/>
      <c r="E7" s="101"/>
      <c r="F7" s="26" t="s">
        <v>59</v>
      </c>
      <c r="G7" s="100" t="s">
        <v>61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5">
      <c r="A8" s="105">
        <v>1</v>
      </c>
      <c r="B8" s="61">
        <v>0</v>
      </c>
      <c r="C8" s="49" t="s">
        <v>62</v>
      </c>
      <c r="D8" s="23"/>
      <c r="E8" s="105">
        <v>4</v>
      </c>
      <c r="F8" s="61">
        <v>1</v>
      </c>
      <c r="G8" s="102" t="s">
        <v>63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5">
      <c r="A9" s="105">
        <v>2</v>
      </c>
      <c r="B9" s="61">
        <v>0</v>
      </c>
      <c r="C9" s="108" t="s">
        <v>64</v>
      </c>
      <c r="D9" s="23"/>
      <c r="E9" s="105">
        <v>5</v>
      </c>
      <c r="F9" s="61">
        <v>0</v>
      </c>
      <c r="G9" s="103" t="s">
        <v>65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5">
      <c r="A10" s="105">
        <v>3</v>
      </c>
      <c r="B10" s="61">
        <v>0</v>
      </c>
      <c r="C10" s="109" t="s">
        <v>66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5">
      <c r="A13" s="216"/>
      <c r="B13" s="107"/>
      <c r="C13" s="98" t="s">
        <v>67</v>
      </c>
      <c r="D13" s="216"/>
      <c r="E13" s="99"/>
      <c r="F13" s="107"/>
      <c r="G13" s="98" t="s">
        <v>68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5">
      <c r="A14" s="216"/>
      <c r="B14" s="107"/>
      <c r="C14" s="98" t="s">
        <v>69</v>
      </c>
      <c r="D14" s="216"/>
      <c r="E14" s="99"/>
      <c r="F14" s="107"/>
      <c r="G14" s="98" t="s">
        <v>70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5">
      <c r="A15" s="23"/>
      <c r="B15" s="26" t="s">
        <v>59</v>
      </c>
      <c r="C15" s="4"/>
      <c r="D15" s="23"/>
      <c r="E15" s="4"/>
      <c r="F15" s="4"/>
      <c r="G15" s="2" t="s">
        <v>161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5">
      <c r="A16" s="23"/>
      <c r="B16" s="61">
        <v>0</v>
      </c>
      <c r="C16" s="110" t="s">
        <v>72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5">
      <c r="A17" s="23"/>
      <c r="B17" s="61">
        <v>0</v>
      </c>
      <c r="C17" s="110" t="s">
        <v>73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5">
      <c r="A18" s="23"/>
      <c r="B18" s="61">
        <v>0</v>
      </c>
      <c r="C18" s="110" t="s">
        <v>74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5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5">
      <c r="C104" s="4"/>
      <c r="F104" s="4"/>
    </row>
    <row r="105" spans="3:35" x14ac:dyDescent="0.35">
      <c r="C105" s="4"/>
      <c r="F105" s="4"/>
    </row>
    <row r="106" spans="3:35" x14ac:dyDescent="0.35">
      <c r="C106" s="4"/>
      <c r="F106" s="4"/>
    </row>
    <row r="107" spans="3:35" x14ac:dyDescent="0.35">
      <c r="C107" s="4"/>
      <c r="F107" s="4"/>
    </row>
    <row r="108" spans="3:35" x14ac:dyDescent="0.35">
      <c r="C108" s="4"/>
      <c r="F108" s="4"/>
    </row>
    <row r="109" spans="3:35" x14ac:dyDescent="0.35">
      <c r="C109" s="4"/>
      <c r="F109" s="4"/>
    </row>
    <row r="110" spans="3:35" x14ac:dyDescent="0.35">
      <c r="C110" s="4"/>
      <c r="F110" s="4"/>
    </row>
    <row r="111" spans="3:35" x14ac:dyDescent="0.35">
      <c r="C111" s="4"/>
      <c r="F111" s="4"/>
    </row>
    <row r="112" spans="3:35" x14ac:dyDescent="0.35">
      <c r="C112" s="4"/>
      <c r="F112" s="4"/>
    </row>
    <row r="113" spans="3:6" x14ac:dyDescent="0.35">
      <c r="C113" s="4"/>
      <c r="F113" s="4"/>
    </row>
    <row r="114" spans="3:6" x14ac:dyDescent="0.35">
      <c r="C114" s="4"/>
      <c r="F114" s="4"/>
    </row>
    <row r="115" spans="3:6" x14ac:dyDescent="0.35">
      <c r="C115" s="4"/>
      <c r="F115" s="4"/>
    </row>
    <row r="116" spans="3:6" x14ac:dyDescent="0.35">
      <c r="C116" s="4"/>
      <c r="F116" s="4"/>
    </row>
    <row r="117" spans="3:6" x14ac:dyDescent="0.35">
      <c r="C117" s="4"/>
      <c r="F117" s="4"/>
    </row>
    <row r="118" spans="3:6" x14ac:dyDescent="0.35">
      <c r="C118" s="4"/>
      <c r="F118" s="4"/>
    </row>
    <row r="119" spans="3:6" x14ac:dyDescent="0.35">
      <c r="C119" s="4"/>
      <c r="F119" s="4"/>
    </row>
    <row r="120" spans="3:6" x14ac:dyDescent="0.35">
      <c r="C120" s="4"/>
      <c r="F120" s="4"/>
    </row>
    <row r="121" spans="3:6" x14ac:dyDescent="0.35">
      <c r="C121" s="4"/>
      <c r="F121" s="4"/>
    </row>
    <row r="122" spans="3:6" x14ac:dyDescent="0.35">
      <c r="C122" s="4"/>
      <c r="F122" s="4"/>
    </row>
    <row r="123" spans="3:6" x14ac:dyDescent="0.35">
      <c r="C123" s="4"/>
      <c r="F123" s="4"/>
    </row>
    <row r="124" spans="3:6" x14ac:dyDescent="0.35">
      <c r="C124" s="4"/>
      <c r="F124" s="4"/>
    </row>
    <row r="125" spans="3:6" x14ac:dyDescent="0.35">
      <c r="C125" s="4"/>
      <c r="F125" s="4"/>
    </row>
    <row r="126" spans="3:6" x14ac:dyDescent="0.35">
      <c r="C126" s="4"/>
      <c r="F126" s="4"/>
    </row>
    <row r="127" spans="3:6" x14ac:dyDescent="0.35">
      <c r="C127" s="4"/>
      <c r="F127" s="4"/>
    </row>
    <row r="128" spans="3:6" x14ac:dyDescent="0.35">
      <c r="C128" s="4"/>
      <c r="F128" s="4"/>
    </row>
    <row r="129" spans="3:6" x14ac:dyDescent="0.35">
      <c r="C129" s="4"/>
      <c r="F129" s="4"/>
    </row>
    <row r="130" spans="3:6" x14ac:dyDescent="0.35">
      <c r="C130" s="4"/>
      <c r="F130" s="4"/>
    </row>
    <row r="131" spans="3:6" x14ac:dyDescent="0.35">
      <c r="C131" s="4"/>
      <c r="F131" s="4"/>
    </row>
    <row r="132" spans="3:6" x14ac:dyDescent="0.35">
      <c r="F132" s="4"/>
    </row>
    <row r="133" spans="3:6" x14ac:dyDescent="0.35">
      <c r="F133" s="4"/>
    </row>
    <row r="134" spans="3:6" x14ac:dyDescent="0.35">
      <c r="F134" s="4"/>
    </row>
    <row r="135" spans="3:6" x14ac:dyDescent="0.35">
      <c r="F135" s="4"/>
    </row>
    <row r="136" spans="3:6" x14ac:dyDescent="0.35">
      <c r="F136" s="4"/>
    </row>
    <row r="137" spans="3:6" x14ac:dyDescent="0.35">
      <c r="F137" s="4"/>
    </row>
    <row r="138" spans="3:6" x14ac:dyDescent="0.35">
      <c r="F138" s="4"/>
    </row>
    <row r="139" spans="3:6" x14ac:dyDescent="0.35">
      <c r="F139" s="4"/>
    </row>
    <row r="140" spans="3:6" x14ac:dyDescent="0.35">
      <c r="F140" s="4"/>
    </row>
    <row r="141" spans="3:6" x14ac:dyDescent="0.35">
      <c r="F141" s="4"/>
    </row>
    <row r="142" spans="3:6" x14ac:dyDescent="0.35">
      <c r="F142" s="4"/>
    </row>
    <row r="143" spans="3:6" x14ac:dyDescent="0.35">
      <c r="F143" s="4"/>
    </row>
    <row r="144" spans="3:6" x14ac:dyDescent="0.35">
      <c r="F144" s="4"/>
    </row>
    <row r="145" spans="6:6" x14ac:dyDescent="0.35">
      <c r="F145" s="4"/>
    </row>
    <row r="146" spans="6:6" x14ac:dyDescent="0.35">
      <c r="F146" s="4"/>
    </row>
    <row r="147" spans="6:6" x14ac:dyDescent="0.35">
      <c r="F147" s="4"/>
    </row>
    <row r="148" spans="6:6" x14ac:dyDescent="0.35">
      <c r="F148" s="4"/>
    </row>
    <row r="149" spans="6:6" x14ac:dyDescent="0.35">
      <c r="F149" s="4"/>
    </row>
    <row r="150" spans="6:6" x14ac:dyDescent="0.35">
      <c r="F150" s="4"/>
    </row>
    <row r="151" spans="6:6" x14ac:dyDescent="0.35">
      <c r="F151" s="4"/>
    </row>
    <row r="152" spans="6:6" x14ac:dyDescent="0.35">
      <c r="F152" s="4"/>
    </row>
    <row r="153" spans="6:6" x14ac:dyDescent="0.35">
      <c r="F153" s="4"/>
    </row>
    <row r="154" spans="6:6" x14ac:dyDescent="0.35">
      <c r="F154" s="4"/>
    </row>
    <row r="155" spans="6:6" x14ac:dyDescent="0.35">
      <c r="F155" s="4"/>
    </row>
    <row r="156" spans="6:6" x14ac:dyDescent="0.35">
      <c r="F156" s="4"/>
    </row>
    <row r="157" spans="6:6" x14ac:dyDescent="0.35">
      <c r="F157" s="4"/>
    </row>
    <row r="158" spans="6:6" x14ac:dyDescent="0.35">
      <c r="F158" s="4"/>
    </row>
    <row r="159" spans="6:6" x14ac:dyDescent="0.35">
      <c r="F159" s="4"/>
    </row>
    <row r="160" spans="6:6" x14ac:dyDescent="0.35">
      <c r="F160" s="4"/>
    </row>
    <row r="161" spans="6:6" x14ac:dyDescent="0.35">
      <c r="F161" s="4"/>
    </row>
    <row r="162" spans="6:6" x14ac:dyDescent="0.35">
      <c r="F162" s="4"/>
    </row>
    <row r="163" spans="6:6" x14ac:dyDescent="0.3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53125" defaultRowHeight="14.5" x14ac:dyDescent="0.35"/>
  <cols>
    <col min="1" max="1" width="6.81640625" style="4" bestFit="1" customWidth="1"/>
    <col min="2" max="4" width="11.453125" style="4"/>
    <col min="5" max="5" width="9.54296875" style="4" customWidth="1"/>
    <col min="6" max="7" width="11.453125" style="4"/>
    <col min="8" max="8" width="10.7265625" style="4" customWidth="1"/>
    <col min="9" max="9" width="9.453125" style="4" customWidth="1"/>
    <col min="10" max="11" width="10.54296875" style="4" bestFit="1" customWidth="1"/>
    <col min="12" max="12" width="14" style="4" bestFit="1" customWidth="1"/>
    <col min="13" max="13" width="14" style="4" customWidth="1"/>
    <col min="14" max="23" width="11.453125" style="4"/>
    <col min="24" max="24" width="11.7265625" style="4" bestFit="1" customWidth="1"/>
    <col min="25" max="25" width="14.54296875" style="4" bestFit="1" customWidth="1"/>
    <col min="26" max="26" width="12.453125" style="4" bestFit="1" customWidth="1"/>
    <col min="27" max="27" width="9.7265625" style="4" bestFit="1" customWidth="1"/>
    <col min="28" max="28" width="11" style="4" bestFit="1" customWidth="1"/>
    <col min="29" max="29" width="9.453125" style="4" bestFit="1" customWidth="1"/>
    <col min="30" max="31" width="9.453125" style="4" customWidth="1"/>
    <col min="32" max="32" width="11.453125" style="4"/>
    <col min="33" max="34" width="14" style="4" bestFit="1" customWidth="1"/>
    <col min="35" max="35" width="10.54296875" style="4" bestFit="1" customWidth="1"/>
    <col min="36" max="36" width="9.453125" style="4" bestFit="1" customWidth="1"/>
    <col min="37" max="38" width="10.54296875" style="4" bestFit="1" customWidth="1"/>
    <col min="39" max="41" width="10.54296875" style="4" customWidth="1"/>
    <col min="42" max="42" width="9" style="4" bestFit="1" customWidth="1"/>
    <col min="43" max="43" width="10.54296875" style="4" bestFit="1" customWidth="1"/>
    <col min="44" max="44" width="9.26953125" style="4" bestFit="1" customWidth="1"/>
    <col min="45" max="45" width="11.7265625" style="4" bestFit="1" customWidth="1"/>
    <col min="46" max="46" width="8.453125" style="4" bestFit="1" customWidth="1"/>
    <col min="47" max="47" width="9.453125" style="4" bestFit="1" customWidth="1"/>
    <col min="48" max="48" width="9.7265625" style="4" bestFit="1" customWidth="1"/>
    <col min="49" max="49" width="11" style="4" bestFit="1" customWidth="1"/>
    <col min="50" max="50" width="9.453125" style="4" bestFit="1" customWidth="1"/>
    <col min="51" max="52" width="9.453125" style="4" customWidth="1"/>
    <col min="53" max="53" width="10.54296875" style="4" bestFit="1" customWidth="1"/>
    <col min="54" max="54" width="14.26953125" style="4" customWidth="1"/>
    <col min="55" max="55" width="14" style="4" customWidth="1"/>
    <col min="56" max="56" width="10.54296875" style="4" bestFit="1" customWidth="1"/>
    <col min="57" max="57" width="9.453125" style="4" bestFit="1" customWidth="1"/>
    <col min="58" max="59" width="10.54296875" style="4" bestFit="1" customWidth="1"/>
    <col min="60" max="62" width="10.54296875" style="4" customWidth="1"/>
    <col min="63" max="63" width="9" style="4" bestFit="1" customWidth="1"/>
    <col min="64" max="64" width="10.54296875" style="4" bestFit="1" customWidth="1"/>
    <col min="65" max="65" width="9.26953125" style="4" bestFit="1" customWidth="1"/>
    <col min="66" max="66" width="11.7265625" style="4" bestFit="1" customWidth="1"/>
    <col min="67" max="67" width="8.453125" style="4" bestFit="1" customWidth="1"/>
    <col min="68" max="68" width="9.453125" style="4" bestFit="1" customWidth="1"/>
    <col min="69" max="69" width="9.7265625" style="4" bestFit="1" customWidth="1"/>
    <col min="70" max="70" width="11" style="4" bestFit="1" customWidth="1"/>
    <col min="71" max="71" width="9.453125" style="4" bestFit="1" customWidth="1"/>
    <col min="72" max="73" width="9.453125" style="4" customWidth="1"/>
    <col min="74" max="74" width="10.54296875" style="4" bestFit="1" customWidth="1"/>
    <col min="75" max="75" width="14" style="4" bestFit="1" customWidth="1"/>
    <col min="76" max="76" width="13.81640625" style="4" customWidth="1"/>
    <col min="77" max="77" width="10.54296875" style="4" bestFit="1" customWidth="1"/>
    <col min="78" max="78" width="9.453125" style="4" bestFit="1" customWidth="1"/>
    <col min="79" max="80" width="10.54296875" style="4" bestFit="1" customWidth="1"/>
    <col min="81" max="83" width="10.54296875" style="4" customWidth="1"/>
    <col min="84" max="84" width="11.453125" style="4"/>
    <col min="85" max="85" width="10.54296875" style="4" bestFit="1" customWidth="1"/>
    <col min="86" max="86" width="9.26953125" style="4" bestFit="1" customWidth="1"/>
    <col min="87" max="87" width="11.7265625" style="4" bestFit="1" customWidth="1"/>
    <col min="88" max="88" width="8.453125" style="4" bestFit="1" customWidth="1"/>
    <col min="89" max="89" width="9.453125" style="4" bestFit="1" customWidth="1"/>
    <col min="90" max="90" width="9.7265625" style="4" bestFit="1" customWidth="1"/>
    <col min="91" max="91" width="11" style="4" bestFit="1" customWidth="1"/>
    <col min="92" max="92" width="9.453125" style="4" bestFit="1" customWidth="1"/>
    <col min="93" max="94" width="9.453125" style="4" customWidth="1"/>
    <col min="95" max="95" width="11.453125" style="4"/>
    <col min="96" max="97" width="14" style="4" customWidth="1"/>
    <col min="98" max="98" width="10.54296875" style="4" bestFit="1" customWidth="1"/>
    <col min="99" max="99" width="9.453125" style="4" bestFit="1" customWidth="1"/>
    <col min="100" max="101" width="10.54296875" style="4" bestFit="1" customWidth="1"/>
    <col min="102" max="104" width="10.54296875" style="4" customWidth="1"/>
    <col min="105" max="105" width="9" style="4" bestFit="1" customWidth="1"/>
    <col min="106" max="106" width="10.54296875" style="4" bestFit="1" customWidth="1"/>
    <col min="107" max="107" width="9.26953125" style="4" bestFit="1" customWidth="1"/>
    <col min="108" max="108" width="11.7265625" style="4" bestFit="1" customWidth="1"/>
    <col min="109" max="109" width="8.453125" style="4" bestFit="1" customWidth="1"/>
    <col min="110" max="110" width="9.453125" style="4" bestFit="1" customWidth="1"/>
    <col min="111" max="111" width="9.7265625" style="4" bestFit="1" customWidth="1"/>
    <col min="112" max="112" width="11" style="4" bestFit="1" customWidth="1"/>
    <col min="113" max="113" width="9.453125" style="4" bestFit="1" customWidth="1"/>
    <col min="114" max="115" width="9.453125" style="4" customWidth="1"/>
    <col min="116" max="116" width="10.54296875" style="4" bestFit="1" customWidth="1"/>
    <col min="117" max="117" width="14.26953125" style="4" customWidth="1"/>
    <col min="118" max="118" width="14" style="4" bestFit="1" customWidth="1"/>
    <col min="119" max="119" width="10.54296875" style="4" bestFit="1" customWidth="1"/>
    <col min="120" max="120" width="9.453125" style="4" bestFit="1" customWidth="1"/>
    <col min="121" max="122" width="10.54296875" style="4" bestFit="1" customWidth="1"/>
    <col min="123" max="125" width="10.54296875" style="4" customWidth="1"/>
    <col min="126" max="126" width="9" style="4" bestFit="1" customWidth="1"/>
    <col min="127" max="127" width="10.54296875" style="4" bestFit="1" customWidth="1"/>
    <col min="128" max="128" width="9.26953125" style="4" bestFit="1" customWidth="1"/>
    <col min="129" max="129" width="11.7265625" style="4" bestFit="1" customWidth="1"/>
    <col min="130" max="130" width="8.453125" style="4" bestFit="1" customWidth="1"/>
    <col min="131" max="131" width="9.453125" style="4" bestFit="1" customWidth="1"/>
    <col min="132" max="132" width="9.7265625" style="4" bestFit="1" customWidth="1"/>
    <col min="133" max="133" width="11" style="4" bestFit="1" customWidth="1"/>
    <col min="134" max="134" width="9.453125" style="4" bestFit="1" customWidth="1"/>
    <col min="135" max="136" width="9.453125" style="4" customWidth="1"/>
    <col min="137" max="137" width="10.54296875" style="4" bestFit="1" customWidth="1"/>
    <col min="138" max="139" width="14" style="4" customWidth="1"/>
    <col min="140" max="140" width="10.54296875" style="4" bestFit="1" customWidth="1"/>
    <col min="141" max="141" width="9.453125" style="4" bestFit="1" customWidth="1"/>
    <col min="142" max="143" width="10.54296875" style="4" bestFit="1" customWidth="1"/>
    <col min="144" max="146" width="10.54296875" style="4" customWidth="1"/>
    <col min="147" max="147" width="9" style="4" bestFit="1" customWidth="1"/>
    <col min="148" max="148" width="10.54296875" style="4" bestFit="1" customWidth="1"/>
    <col min="149" max="149" width="9.26953125" style="4" bestFit="1" customWidth="1"/>
    <col min="150" max="150" width="11.7265625" style="4" bestFit="1" customWidth="1"/>
    <col min="151" max="151" width="8.453125" style="4" bestFit="1" customWidth="1"/>
    <col min="152" max="152" width="9.453125" style="4" bestFit="1" customWidth="1"/>
    <col min="153" max="153" width="9.7265625" style="4" bestFit="1" customWidth="1"/>
    <col min="154" max="154" width="11" style="4" bestFit="1" customWidth="1"/>
    <col min="155" max="155" width="9.453125" style="4" bestFit="1" customWidth="1"/>
    <col min="156" max="157" width="9.453125" style="4" customWidth="1"/>
    <col min="158" max="158" width="11.453125" style="4"/>
    <col min="159" max="160" width="14" style="4" bestFit="1" customWidth="1"/>
    <col min="161" max="161" width="10.54296875" style="4" bestFit="1" customWidth="1"/>
    <col min="162" max="162" width="9.453125" style="4" bestFit="1" customWidth="1"/>
    <col min="163" max="164" width="10.54296875" style="4" bestFit="1" customWidth="1"/>
    <col min="165" max="167" width="10.54296875" style="4" customWidth="1"/>
    <col min="168" max="168" width="9" style="4" bestFit="1" customWidth="1"/>
    <col min="169" max="169" width="10.54296875" style="4" bestFit="1" customWidth="1"/>
    <col min="170" max="170" width="9.26953125" style="4" bestFit="1" customWidth="1"/>
    <col min="171" max="171" width="11.7265625" style="4" bestFit="1" customWidth="1"/>
    <col min="172" max="172" width="8.1796875" style="4" bestFit="1" customWidth="1"/>
    <col min="173" max="173" width="9.453125" style="4" bestFit="1" customWidth="1"/>
    <col min="174" max="174" width="9.7265625" style="4" bestFit="1" customWidth="1"/>
    <col min="175" max="175" width="11" style="4" bestFit="1" customWidth="1"/>
    <col min="176" max="176" width="9.453125" style="4" bestFit="1" customWidth="1"/>
    <col min="177" max="178" width="9.453125" style="4" customWidth="1"/>
    <col min="179" max="179" width="10.54296875" style="4" bestFit="1" customWidth="1"/>
    <col min="180" max="181" width="14" style="4" bestFit="1" customWidth="1"/>
    <col min="182" max="182" width="10.54296875" style="4" bestFit="1" customWidth="1"/>
    <col min="183" max="183" width="9.453125" style="4" bestFit="1" customWidth="1"/>
    <col min="184" max="185" width="10.54296875" style="4" bestFit="1" customWidth="1"/>
    <col min="186" max="188" width="10.54296875" style="4" customWidth="1"/>
    <col min="189" max="189" width="9" style="4" bestFit="1" customWidth="1"/>
    <col min="190" max="190" width="10.54296875" style="4" bestFit="1" customWidth="1"/>
    <col min="191" max="191" width="9.26953125" style="4" bestFit="1" customWidth="1"/>
    <col min="192" max="192" width="11.453125" style="4"/>
    <col min="193" max="193" width="8.453125" style="4" bestFit="1" customWidth="1"/>
    <col min="194" max="194" width="9.453125" style="4" bestFit="1" customWidth="1"/>
    <col min="195" max="195" width="9.7265625" style="4" bestFit="1" customWidth="1"/>
    <col min="196" max="196" width="11" style="4" bestFit="1" customWidth="1"/>
    <col min="197" max="197" width="9.453125" style="4" bestFit="1" customWidth="1"/>
    <col min="198" max="199" width="9.453125" style="4" customWidth="1"/>
    <col min="200" max="200" width="10.54296875" style="4" bestFit="1" customWidth="1"/>
    <col min="201" max="201" width="14" style="4" customWidth="1"/>
    <col min="202" max="202" width="14.26953125" style="4" customWidth="1"/>
    <col min="203" max="203" width="10.54296875" style="4" bestFit="1" customWidth="1"/>
    <col min="204" max="204" width="9.453125" style="4" bestFit="1" customWidth="1"/>
    <col min="205" max="206" width="10.54296875" style="4" bestFit="1" customWidth="1"/>
    <col min="207" max="209" width="10.54296875" style="4" customWidth="1"/>
    <col min="210" max="210" width="9" style="4" bestFit="1" customWidth="1"/>
    <col min="211" max="211" width="10.54296875" style="4" bestFit="1" customWidth="1"/>
    <col min="212" max="212" width="9.26953125" style="4" bestFit="1" customWidth="1"/>
    <col min="213" max="213" width="11.7265625" style="4" bestFit="1" customWidth="1"/>
    <col min="214" max="214" width="8.453125" style="4" bestFit="1" customWidth="1"/>
    <col min="215" max="215" width="9.453125" style="4" bestFit="1" customWidth="1"/>
    <col min="216" max="216" width="9.7265625" style="4" bestFit="1" customWidth="1"/>
    <col min="217" max="217" width="11" style="4" bestFit="1" customWidth="1"/>
    <col min="218" max="218" width="9.453125" style="4" bestFit="1" customWidth="1"/>
    <col min="219" max="16384" width="11.453125" style="4"/>
  </cols>
  <sheetData>
    <row r="1" spans="1:218" ht="26.5" thickBot="1" x14ac:dyDescent="0.65">
      <c r="B1" s="286" t="s">
        <v>75</v>
      </c>
      <c r="C1" s="287"/>
      <c r="D1" s="287"/>
      <c r="E1" s="287"/>
      <c r="F1" s="287"/>
      <c r="G1" s="287"/>
      <c r="H1" s="288"/>
      <c r="I1" s="283" t="str">
        <f>IF('Données projet'!$B$9="","",'Données projet'!$B$9)</f>
        <v>Epicéa commun</v>
      </c>
      <c r="J1" s="284"/>
      <c r="K1" s="284"/>
      <c r="L1" s="284"/>
      <c r="M1" s="284"/>
      <c r="N1" s="284"/>
      <c r="O1" s="284"/>
      <c r="P1" s="284"/>
      <c r="Q1" s="284"/>
      <c r="R1" s="284"/>
      <c r="S1" s="284"/>
      <c r="T1" s="284"/>
      <c r="U1" s="284"/>
      <c r="V1" s="284"/>
      <c r="W1" s="284"/>
      <c r="X1" s="284"/>
      <c r="Y1" s="284"/>
      <c r="Z1" s="284"/>
      <c r="AA1" s="284"/>
      <c r="AB1" s="284"/>
      <c r="AC1" s="285"/>
      <c r="AD1" s="284" t="str">
        <f>IF('Données projet'!$B$10="","",'Données projet'!$B$10)</f>
        <v>Mélèze d'Europe</v>
      </c>
      <c r="AE1" s="284"/>
      <c r="AF1" s="284"/>
      <c r="AG1" s="284"/>
      <c r="AH1" s="284"/>
      <c r="AI1" s="284"/>
      <c r="AJ1" s="284"/>
      <c r="AK1" s="284"/>
      <c r="AL1" s="284"/>
      <c r="AM1" s="284"/>
      <c r="AN1" s="284"/>
      <c r="AO1" s="284"/>
      <c r="AP1" s="284"/>
      <c r="AQ1" s="284"/>
      <c r="AR1" s="284"/>
      <c r="AS1" s="284"/>
      <c r="AT1" s="284"/>
      <c r="AU1" s="284"/>
      <c r="AV1" s="284"/>
      <c r="AW1" s="284"/>
      <c r="AX1" s="285"/>
      <c r="AY1" s="283" t="str">
        <f>IF('Données projet'!$B$11="","",'Données projet'!$B$11)</f>
        <v>Douglas</v>
      </c>
      <c r="AZ1" s="284"/>
      <c r="BA1" s="284"/>
      <c r="BB1" s="284"/>
      <c r="BC1" s="284"/>
      <c r="BD1" s="284"/>
      <c r="BE1" s="284"/>
      <c r="BF1" s="284"/>
      <c r="BG1" s="284"/>
      <c r="BH1" s="284"/>
      <c r="BI1" s="284"/>
      <c r="BJ1" s="284"/>
      <c r="BK1" s="284"/>
      <c r="BL1" s="284"/>
      <c r="BM1" s="284"/>
      <c r="BN1" s="284"/>
      <c r="BO1" s="284"/>
      <c r="BP1" s="284"/>
      <c r="BQ1" s="284"/>
      <c r="BR1" s="284"/>
      <c r="BS1" s="285"/>
      <c r="BT1" s="283" t="str">
        <f>IF('Données projet'!$B$12="","",'Données projet'!$B$12)</f>
        <v>Erable sycomore</v>
      </c>
      <c r="BU1" s="284"/>
      <c r="BV1" s="284"/>
      <c r="BW1" s="284"/>
      <c r="BX1" s="284"/>
      <c r="BY1" s="284"/>
      <c r="BZ1" s="284"/>
      <c r="CA1" s="284"/>
      <c r="CB1" s="284"/>
      <c r="CC1" s="284"/>
      <c r="CD1" s="284"/>
      <c r="CE1" s="284"/>
      <c r="CF1" s="284"/>
      <c r="CG1" s="284"/>
      <c r="CH1" s="284"/>
      <c r="CI1" s="284"/>
      <c r="CJ1" s="284"/>
      <c r="CK1" s="284"/>
      <c r="CL1" s="284"/>
      <c r="CM1" s="284"/>
      <c r="CN1" s="285"/>
      <c r="CO1" s="283" t="str">
        <f>IF('Données projet'!$B$13="","",'Données projet'!$B$13)</f>
        <v/>
      </c>
      <c r="CP1" s="284"/>
      <c r="CQ1" s="284"/>
      <c r="CR1" s="284"/>
      <c r="CS1" s="284"/>
      <c r="CT1" s="284"/>
      <c r="CU1" s="284"/>
      <c r="CV1" s="284"/>
      <c r="CW1" s="284"/>
      <c r="CX1" s="284"/>
      <c r="CY1" s="284"/>
      <c r="CZ1" s="284"/>
      <c r="DA1" s="284"/>
      <c r="DB1" s="284"/>
      <c r="DC1" s="284"/>
      <c r="DD1" s="284"/>
      <c r="DE1" s="284"/>
      <c r="DF1" s="284"/>
      <c r="DG1" s="284"/>
      <c r="DH1" s="284"/>
      <c r="DI1" s="285"/>
      <c r="DJ1" s="283" t="str">
        <f>IF('Données projet'!$B$14="","",'Données projet'!$B$14)</f>
        <v/>
      </c>
      <c r="DK1" s="284"/>
      <c r="DL1" s="284"/>
      <c r="DM1" s="284"/>
      <c r="DN1" s="284"/>
      <c r="DO1" s="284"/>
      <c r="DP1" s="284"/>
      <c r="DQ1" s="284"/>
      <c r="DR1" s="284"/>
      <c r="DS1" s="284"/>
      <c r="DT1" s="284"/>
      <c r="DU1" s="284"/>
      <c r="DV1" s="284"/>
      <c r="DW1" s="284"/>
      <c r="DX1" s="284"/>
      <c r="DY1" s="284"/>
      <c r="DZ1" s="284"/>
      <c r="EA1" s="284"/>
      <c r="EB1" s="284"/>
      <c r="EC1" s="284"/>
      <c r="ED1" s="285"/>
      <c r="EE1" s="283" t="str">
        <f>IF('Données projet'!$B$15="","",'Données projet'!$B$15)</f>
        <v/>
      </c>
      <c r="EF1" s="284"/>
      <c r="EG1" s="284"/>
      <c r="EH1" s="284"/>
      <c r="EI1" s="284"/>
      <c r="EJ1" s="284"/>
      <c r="EK1" s="284"/>
      <c r="EL1" s="284"/>
      <c r="EM1" s="284"/>
      <c r="EN1" s="284"/>
      <c r="EO1" s="284"/>
      <c r="EP1" s="284"/>
      <c r="EQ1" s="284"/>
      <c r="ER1" s="284"/>
      <c r="ES1" s="284"/>
      <c r="ET1" s="284"/>
      <c r="EU1" s="284"/>
      <c r="EV1" s="284"/>
      <c r="EW1" s="284"/>
      <c r="EX1" s="284"/>
      <c r="EY1" s="285"/>
      <c r="EZ1" s="283" t="str">
        <f>IF('Données projet'!$B$16="","",'Données projet'!$B$16)</f>
        <v/>
      </c>
      <c r="FA1" s="284"/>
      <c r="FB1" s="284"/>
      <c r="FC1" s="284"/>
      <c r="FD1" s="284"/>
      <c r="FE1" s="284"/>
      <c r="FF1" s="284"/>
      <c r="FG1" s="284"/>
      <c r="FH1" s="284"/>
      <c r="FI1" s="284"/>
      <c r="FJ1" s="284"/>
      <c r="FK1" s="284"/>
      <c r="FL1" s="284"/>
      <c r="FM1" s="284"/>
      <c r="FN1" s="284"/>
      <c r="FO1" s="284"/>
      <c r="FP1" s="284"/>
      <c r="FQ1" s="284"/>
      <c r="FR1" s="284"/>
      <c r="FS1" s="284"/>
      <c r="FT1" s="285"/>
      <c r="FU1" s="283" t="str">
        <f>IF('Données projet'!$B$17="","",'Données projet'!$B$17)</f>
        <v/>
      </c>
      <c r="FV1" s="284"/>
      <c r="FW1" s="284"/>
      <c r="FX1" s="284"/>
      <c r="FY1" s="284"/>
      <c r="FZ1" s="284"/>
      <c r="GA1" s="284"/>
      <c r="GB1" s="284"/>
      <c r="GC1" s="284"/>
      <c r="GD1" s="284"/>
      <c r="GE1" s="284"/>
      <c r="GF1" s="284"/>
      <c r="GG1" s="284"/>
      <c r="GH1" s="284"/>
      <c r="GI1" s="284"/>
      <c r="GJ1" s="284"/>
      <c r="GK1" s="284"/>
      <c r="GL1" s="284"/>
      <c r="GM1" s="284"/>
      <c r="GN1" s="284"/>
      <c r="GO1" s="285"/>
      <c r="GP1" s="283" t="str">
        <f>IF('Données projet'!$B$18="","",'Données projet'!$B$18)</f>
        <v/>
      </c>
      <c r="GQ1" s="284"/>
      <c r="GR1" s="284"/>
      <c r="GS1" s="284"/>
      <c r="GT1" s="284"/>
      <c r="GU1" s="284"/>
      <c r="GV1" s="284"/>
      <c r="GW1" s="284"/>
      <c r="GX1" s="284"/>
      <c r="GY1" s="284"/>
      <c r="GZ1" s="284"/>
      <c r="HA1" s="284"/>
      <c r="HB1" s="284"/>
      <c r="HC1" s="284"/>
      <c r="HD1" s="284"/>
      <c r="HE1" s="284"/>
      <c r="HF1" s="284"/>
      <c r="HG1" s="284"/>
      <c r="HH1" s="284"/>
      <c r="HI1" s="284"/>
      <c r="HJ1" s="285"/>
    </row>
    <row r="2" spans="1:218" ht="58.5" thickBot="1" x14ac:dyDescent="0.4">
      <c r="A2" s="71" t="s">
        <v>76</v>
      </c>
      <c r="B2" s="72" t="s">
        <v>77</v>
      </c>
      <c r="C2" s="5" t="s">
        <v>78</v>
      </c>
      <c r="D2" s="5" t="s">
        <v>79</v>
      </c>
      <c r="E2" s="5" t="s">
        <v>80</v>
      </c>
      <c r="F2" s="5" t="s">
        <v>81</v>
      </c>
      <c r="G2" s="5" t="s">
        <v>82</v>
      </c>
      <c r="H2" s="66" t="s">
        <v>83</v>
      </c>
      <c r="I2" s="68" t="s">
        <v>80</v>
      </c>
      <c r="J2" s="69" t="s">
        <v>81</v>
      </c>
      <c r="K2" s="6" t="s">
        <v>84</v>
      </c>
      <c r="L2" s="6" t="s">
        <v>85</v>
      </c>
      <c r="M2" s="6" t="s">
        <v>85</v>
      </c>
      <c r="N2" s="6" t="s">
        <v>86</v>
      </c>
      <c r="O2" s="6" t="s">
        <v>87</v>
      </c>
      <c r="P2" s="6" t="s">
        <v>88</v>
      </c>
      <c r="Q2" s="6" t="s">
        <v>82</v>
      </c>
      <c r="R2" s="6" t="s">
        <v>89</v>
      </c>
      <c r="S2" s="6" t="s">
        <v>90</v>
      </c>
      <c r="T2" s="6" t="s">
        <v>91</v>
      </c>
      <c r="U2" s="7" t="s">
        <v>92</v>
      </c>
      <c r="V2" s="8" t="s">
        <v>93</v>
      </c>
      <c r="W2" s="7" t="s">
        <v>51</v>
      </c>
      <c r="X2" s="7" t="s">
        <v>52</v>
      </c>
      <c r="Y2" s="7" t="s">
        <v>94</v>
      </c>
      <c r="Z2" s="8" t="s">
        <v>95</v>
      </c>
      <c r="AA2" s="8" t="s">
        <v>96</v>
      </c>
      <c r="AB2" s="8" t="s">
        <v>97</v>
      </c>
      <c r="AC2" s="9" t="s">
        <v>98</v>
      </c>
      <c r="AD2" s="69" t="s">
        <v>80</v>
      </c>
      <c r="AE2" s="69" t="s">
        <v>81</v>
      </c>
      <c r="AF2" s="6" t="s">
        <v>84</v>
      </c>
      <c r="AG2" s="6" t="s">
        <v>85</v>
      </c>
      <c r="AH2" s="6" t="s">
        <v>85</v>
      </c>
      <c r="AI2" s="6" t="s">
        <v>86</v>
      </c>
      <c r="AJ2" s="6" t="s">
        <v>87</v>
      </c>
      <c r="AK2" s="6" t="s">
        <v>88</v>
      </c>
      <c r="AL2" s="6" t="s">
        <v>82</v>
      </c>
      <c r="AM2" s="6" t="s">
        <v>89</v>
      </c>
      <c r="AN2" s="6" t="s">
        <v>90</v>
      </c>
      <c r="AO2" s="6" t="s">
        <v>91</v>
      </c>
      <c r="AP2" s="7" t="s">
        <v>92</v>
      </c>
      <c r="AQ2" s="8" t="s">
        <v>93</v>
      </c>
      <c r="AR2" s="7" t="s">
        <v>51</v>
      </c>
      <c r="AS2" s="7" t="s">
        <v>52</v>
      </c>
      <c r="AT2" s="8" t="s">
        <v>99</v>
      </c>
      <c r="AU2" s="8" t="s">
        <v>95</v>
      </c>
      <c r="AV2" s="8" t="s">
        <v>96</v>
      </c>
      <c r="AW2" s="8" t="s">
        <v>97</v>
      </c>
      <c r="AX2" s="8" t="s">
        <v>98</v>
      </c>
      <c r="AY2" s="68" t="s">
        <v>80</v>
      </c>
      <c r="AZ2" s="69" t="s">
        <v>81</v>
      </c>
      <c r="BA2" s="6" t="s">
        <v>84</v>
      </c>
      <c r="BB2" s="6" t="s">
        <v>85</v>
      </c>
      <c r="BC2" s="6" t="s">
        <v>85</v>
      </c>
      <c r="BD2" s="6" t="s">
        <v>86</v>
      </c>
      <c r="BE2" s="6" t="s">
        <v>87</v>
      </c>
      <c r="BF2" s="6" t="s">
        <v>88</v>
      </c>
      <c r="BG2" s="6" t="s">
        <v>82</v>
      </c>
      <c r="BH2" s="6" t="s">
        <v>89</v>
      </c>
      <c r="BI2" s="6" t="s">
        <v>90</v>
      </c>
      <c r="BJ2" s="6" t="s">
        <v>91</v>
      </c>
      <c r="BK2" s="7" t="s">
        <v>92</v>
      </c>
      <c r="BL2" s="8" t="s">
        <v>93</v>
      </c>
      <c r="BM2" s="7" t="s">
        <v>51</v>
      </c>
      <c r="BN2" s="7" t="s">
        <v>52</v>
      </c>
      <c r="BO2" s="8" t="s">
        <v>99</v>
      </c>
      <c r="BP2" s="8" t="s">
        <v>95</v>
      </c>
      <c r="BQ2" s="8" t="s">
        <v>96</v>
      </c>
      <c r="BR2" s="8" t="s">
        <v>97</v>
      </c>
      <c r="BS2" s="9" t="s">
        <v>98</v>
      </c>
      <c r="BT2" s="68" t="s">
        <v>80</v>
      </c>
      <c r="BU2" s="69" t="s">
        <v>81</v>
      </c>
      <c r="BV2" s="6" t="s">
        <v>84</v>
      </c>
      <c r="BW2" s="6" t="s">
        <v>85</v>
      </c>
      <c r="BX2" s="6" t="s">
        <v>85</v>
      </c>
      <c r="BY2" s="6" t="s">
        <v>86</v>
      </c>
      <c r="BZ2" s="6" t="s">
        <v>87</v>
      </c>
      <c r="CA2" s="6" t="s">
        <v>88</v>
      </c>
      <c r="CB2" s="6" t="s">
        <v>82</v>
      </c>
      <c r="CC2" s="6" t="s">
        <v>89</v>
      </c>
      <c r="CD2" s="6" t="s">
        <v>90</v>
      </c>
      <c r="CE2" s="6" t="s">
        <v>91</v>
      </c>
      <c r="CF2" s="7" t="s">
        <v>92</v>
      </c>
      <c r="CG2" s="8" t="s">
        <v>93</v>
      </c>
      <c r="CH2" s="7" t="s">
        <v>51</v>
      </c>
      <c r="CI2" s="7" t="s">
        <v>52</v>
      </c>
      <c r="CJ2" s="8" t="s">
        <v>99</v>
      </c>
      <c r="CK2" s="8" t="s">
        <v>95</v>
      </c>
      <c r="CL2" s="8" t="s">
        <v>96</v>
      </c>
      <c r="CM2" s="8" t="s">
        <v>97</v>
      </c>
      <c r="CN2" s="9" t="s">
        <v>98</v>
      </c>
      <c r="CO2" s="68" t="s">
        <v>80</v>
      </c>
      <c r="CP2" s="69" t="s">
        <v>81</v>
      </c>
      <c r="CQ2" s="6" t="s">
        <v>84</v>
      </c>
      <c r="CR2" s="6" t="s">
        <v>85</v>
      </c>
      <c r="CS2" s="6" t="s">
        <v>85</v>
      </c>
      <c r="CT2" s="6" t="s">
        <v>86</v>
      </c>
      <c r="CU2" s="6" t="s">
        <v>87</v>
      </c>
      <c r="CV2" s="6" t="s">
        <v>88</v>
      </c>
      <c r="CW2" s="6" t="s">
        <v>82</v>
      </c>
      <c r="CX2" s="6" t="s">
        <v>89</v>
      </c>
      <c r="CY2" s="6" t="s">
        <v>90</v>
      </c>
      <c r="CZ2" s="6" t="s">
        <v>91</v>
      </c>
      <c r="DA2" s="7" t="s">
        <v>92</v>
      </c>
      <c r="DB2" s="8" t="s">
        <v>93</v>
      </c>
      <c r="DC2" s="7" t="s">
        <v>51</v>
      </c>
      <c r="DD2" s="7" t="s">
        <v>52</v>
      </c>
      <c r="DE2" s="8" t="s">
        <v>99</v>
      </c>
      <c r="DF2" s="8" t="s">
        <v>95</v>
      </c>
      <c r="DG2" s="8" t="s">
        <v>96</v>
      </c>
      <c r="DH2" s="8" t="s">
        <v>97</v>
      </c>
      <c r="DI2" s="9" t="s">
        <v>98</v>
      </c>
      <c r="DJ2" s="68" t="s">
        <v>80</v>
      </c>
      <c r="DK2" s="69" t="s">
        <v>81</v>
      </c>
      <c r="DL2" s="6" t="s">
        <v>84</v>
      </c>
      <c r="DM2" s="6" t="s">
        <v>85</v>
      </c>
      <c r="DN2" s="6" t="s">
        <v>85</v>
      </c>
      <c r="DO2" s="6" t="s">
        <v>86</v>
      </c>
      <c r="DP2" s="6" t="s">
        <v>87</v>
      </c>
      <c r="DQ2" s="6" t="s">
        <v>88</v>
      </c>
      <c r="DR2" s="6" t="s">
        <v>82</v>
      </c>
      <c r="DS2" s="6" t="s">
        <v>89</v>
      </c>
      <c r="DT2" s="6" t="s">
        <v>90</v>
      </c>
      <c r="DU2" s="6" t="s">
        <v>91</v>
      </c>
      <c r="DV2" s="7" t="s">
        <v>92</v>
      </c>
      <c r="DW2" s="8" t="s">
        <v>93</v>
      </c>
      <c r="DX2" s="7" t="s">
        <v>51</v>
      </c>
      <c r="DY2" s="7" t="s">
        <v>52</v>
      </c>
      <c r="DZ2" s="8" t="s">
        <v>99</v>
      </c>
      <c r="EA2" s="8" t="s">
        <v>95</v>
      </c>
      <c r="EB2" s="8" t="s">
        <v>96</v>
      </c>
      <c r="EC2" s="8" t="s">
        <v>97</v>
      </c>
      <c r="ED2" s="9" t="s">
        <v>98</v>
      </c>
      <c r="EE2" s="68" t="s">
        <v>80</v>
      </c>
      <c r="EF2" s="69" t="s">
        <v>81</v>
      </c>
      <c r="EG2" s="6" t="s">
        <v>84</v>
      </c>
      <c r="EH2" s="6" t="s">
        <v>85</v>
      </c>
      <c r="EI2" s="6" t="s">
        <v>85</v>
      </c>
      <c r="EJ2" s="6" t="s">
        <v>86</v>
      </c>
      <c r="EK2" s="6" t="s">
        <v>87</v>
      </c>
      <c r="EL2" s="6" t="s">
        <v>88</v>
      </c>
      <c r="EM2" s="6" t="s">
        <v>82</v>
      </c>
      <c r="EN2" s="6" t="s">
        <v>89</v>
      </c>
      <c r="EO2" s="6" t="s">
        <v>90</v>
      </c>
      <c r="EP2" s="6" t="s">
        <v>91</v>
      </c>
      <c r="EQ2" s="7" t="s">
        <v>92</v>
      </c>
      <c r="ER2" s="8" t="s">
        <v>93</v>
      </c>
      <c r="ES2" s="7" t="s">
        <v>51</v>
      </c>
      <c r="ET2" s="7" t="s">
        <v>52</v>
      </c>
      <c r="EU2" s="8" t="s">
        <v>99</v>
      </c>
      <c r="EV2" s="8" t="s">
        <v>95</v>
      </c>
      <c r="EW2" s="8" t="s">
        <v>96</v>
      </c>
      <c r="EX2" s="8" t="s">
        <v>97</v>
      </c>
      <c r="EY2" s="9" t="s">
        <v>98</v>
      </c>
      <c r="EZ2" s="68" t="s">
        <v>80</v>
      </c>
      <c r="FA2" s="69" t="s">
        <v>81</v>
      </c>
      <c r="FB2" s="6" t="s">
        <v>84</v>
      </c>
      <c r="FC2" s="6" t="s">
        <v>85</v>
      </c>
      <c r="FD2" s="6" t="s">
        <v>85</v>
      </c>
      <c r="FE2" s="6" t="s">
        <v>86</v>
      </c>
      <c r="FF2" s="6" t="s">
        <v>87</v>
      </c>
      <c r="FG2" s="6" t="s">
        <v>88</v>
      </c>
      <c r="FH2" s="6" t="s">
        <v>82</v>
      </c>
      <c r="FI2" s="6" t="s">
        <v>89</v>
      </c>
      <c r="FJ2" s="6" t="s">
        <v>90</v>
      </c>
      <c r="FK2" s="6" t="s">
        <v>91</v>
      </c>
      <c r="FL2" s="7" t="s">
        <v>92</v>
      </c>
      <c r="FM2" s="8" t="s">
        <v>93</v>
      </c>
      <c r="FN2" s="7" t="s">
        <v>51</v>
      </c>
      <c r="FO2" s="7" t="s">
        <v>52</v>
      </c>
      <c r="FP2" s="8" t="s">
        <v>100</v>
      </c>
      <c r="FQ2" s="8" t="s">
        <v>95</v>
      </c>
      <c r="FR2" s="8" t="s">
        <v>96</v>
      </c>
      <c r="FS2" s="8" t="s">
        <v>97</v>
      </c>
      <c r="FT2" s="9" t="s">
        <v>98</v>
      </c>
      <c r="FU2" s="68" t="s">
        <v>80</v>
      </c>
      <c r="FV2" s="69" t="s">
        <v>81</v>
      </c>
      <c r="FW2" s="6" t="s">
        <v>84</v>
      </c>
      <c r="FX2" s="6" t="s">
        <v>85</v>
      </c>
      <c r="FY2" s="6" t="s">
        <v>85</v>
      </c>
      <c r="FZ2" s="6" t="s">
        <v>86</v>
      </c>
      <c r="GA2" s="6" t="s">
        <v>87</v>
      </c>
      <c r="GB2" s="6" t="s">
        <v>88</v>
      </c>
      <c r="GC2" s="6" t="s">
        <v>82</v>
      </c>
      <c r="GD2" s="6" t="s">
        <v>89</v>
      </c>
      <c r="GE2" s="6" t="s">
        <v>90</v>
      </c>
      <c r="GF2" s="6" t="s">
        <v>91</v>
      </c>
      <c r="GG2" s="7" t="s">
        <v>92</v>
      </c>
      <c r="GH2" s="8" t="s">
        <v>93</v>
      </c>
      <c r="GI2" s="7" t="s">
        <v>51</v>
      </c>
      <c r="GJ2" s="7" t="s">
        <v>52</v>
      </c>
      <c r="GK2" s="8" t="s">
        <v>99</v>
      </c>
      <c r="GL2" s="8" t="s">
        <v>95</v>
      </c>
      <c r="GM2" s="8" t="s">
        <v>96</v>
      </c>
      <c r="GN2" s="8" t="s">
        <v>97</v>
      </c>
      <c r="GO2" s="8" t="s">
        <v>98</v>
      </c>
      <c r="GP2" s="68" t="s">
        <v>80</v>
      </c>
      <c r="GQ2" s="69" t="s">
        <v>81</v>
      </c>
      <c r="GR2" s="6" t="s">
        <v>84</v>
      </c>
      <c r="GS2" s="6" t="s">
        <v>85</v>
      </c>
      <c r="GT2" s="6" t="s">
        <v>85</v>
      </c>
      <c r="GU2" s="6" t="s">
        <v>86</v>
      </c>
      <c r="GV2" s="6" t="s">
        <v>87</v>
      </c>
      <c r="GW2" s="6" t="s">
        <v>88</v>
      </c>
      <c r="GX2" s="6" t="s">
        <v>82</v>
      </c>
      <c r="GY2" s="6" t="s">
        <v>89</v>
      </c>
      <c r="GZ2" s="6" t="s">
        <v>90</v>
      </c>
      <c r="HA2" s="6" t="s">
        <v>91</v>
      </c>
      <c r="HB2" s="7" t="s">
        <v>92</v>
      </c>
      <c r="HC2" s="8" t="s">
        <v>93</v>
      </c>
      <c r="HD2" s="7" t="s">
        <v>51</v>
      </c>
      <c r="HE2" s="7" t="s">
        <v>52</v>
      </c>
      <c r="HF2" s="8" t="s">
        <v>99</v>
      </c>
      <c r="HG2" s="8" t="s">
        <v>95</v>
      </c>
      <c r="HH2" s="8" t="s">
        <v>96</v>
      </c>
      <c r="HI2" s="8" t="s">
        <v>97</v>
      </c>
      <c r="HJ2" s="9" t="s">
        <v>98</v>
      </c>
    </row>
    <row r="3" spans="1:218" x14ac:dyDescent="0.35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234.10156575337737</v>
      </c>
      <c r="T3" s="59">
        <f>IF('Données projet'!E9&gt;30,$R$33-$H$33,LOOKUP('Données projet'!$E$9,$A$3:$A$203,R3:R203)-LOOKUP('Données projet'!$E$9,$A$3:$A$203,$H$3:$H$203))</f>
        <v>285.68635263076646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179.44051550872138</v>
      </c>
      <c r="AO3" s="59">
        <f>IF('Données projet'!E10&gt;30,$AM$33-$H$33,LOOKUP('Données projet'!$E$10,$A$3:$A$203,AM3:AM203)-LOOKUP('Données projet'!$E$10,$A$3:$A$203,$H$3:$H$203))</f>
        <v>272.9500808380069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293.33333333333331</v>
      </c>
      <c r="BI3" s="59">
        <f ca="1">AVERAGE(OFFSET($BH$3,0,0,'Données projet'!$E$11+1,1))-AVERAGE(OFFSET($H$3,0,0,'Données projet'!$E$11+1,1))</f>
        <v>278.5296012747549</v>
      </c>
      <c r="BJ3" s="59">
        <f>IF('Données projet'!E11&gt;30,$BH$33-$H$33,LOOKUP('Données projet'!$E$11,$A$3:$A$203,BH3:BH203)-LOOKUP('Données projet'!$E$11,$A$3:$A$203,$H$3:$H$203))</f>
        <v>370.55343097937077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293.33333333333331</v>
      </c>
      <c r="CD3" s="59">
        <f ca="1">AVERAGE(OFFSET($CC$3,0,0,'Données projet'!$E$12+1,1))-AVERAGE(OFFSET($H$3,0,0,'Données projet'!$E$12+1,1))</f>
        <v>225.2323446080772</v>
      </c>
      <c r="CE3" s="59">
        <f>IF('Données projet'!E12&gt;30,$CC$33-$H$33,LOOKUP('Données projet'!$E$12,$A$3:$A$203,CC3:CC203)-LOOKUP('Données projet'!$E$12,$A$3:$A$203,$H$3:$H$203))</f>
        <v>222.29030402759292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5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0.48099999999999998</v>
      </c>
      <c r="D4" s="11">
        <f>IFERROR(EXP(-1.0587+0.8836*LN(C4)+0.284),0)</f>
        <v>0.24137676049677712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5.5762416599751221</v>
      </c>
      <c r="H4" s="67">
        <f t="shared" ref="H4:H67" si="1">(B4+E4+F4)*44/12+(C4+D4)*0.475*44/12</f>
        <v>294.5914728578652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10.26553846153846</v>
      </c>
      <c r="N4" s="13">
        <f>IF('Données projet'!$A$36&gt;35,N3+M4-V3,IF(A4&lt;'Données projet'!$A$36,$K$205^A4,IF(A4='Données projet'!$A$36,'Données projet'!$B$36,N3+M4-V3)))</f>
        <v>1.2484549330391677</v>
      </c>
      <c r="O4" s="13">
        <f>N4*VLOOKUP('Données projet'!$B$9,Paramètres!$A$1:$I$89,3,0)*VLOOKUP('Données projet'!$B$9,Paramètres!$A$1:$I$89,5,0)</f>
        <v>0.60050682279183965</v>
      </c>
      <c r="P4" s="13">
        <f>EXP(-1.0587+0.8836*LN(O4)+0.284)</f>
        <v>0.29366387289020734</v>
      </c>
      <c r="Q4" s="20">
        <f t="shared" ref="Q4:Q34" si="2">(O4+P4)*0.475*44/12</f>
        <v>1.557347294979565</v>
      </c>
      <c r="R4" s="59">
        <f t="shared" si="0"/>
        <v>294.89068062831291</v>
      </c>
      <c r="S4" s="59">
        <f ca="1">AVERAGE(OFFSET($R$3,0,0,'Données projet'!$E$9+1,1))-AVERAGE(OFFSET($H$3,0,0,'Données projet'!$E$9+1,1))</f>
        <v>234.10156575337737</v>
      </c>
      <c r="T4" s="59">
        <f>$T$3</f>
        <v>285.68635263076646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6.2222222222222223</v>
      </c>
      <c r="AI4" s="13">
        <f>IF('Données projet'!$A$62&gt;35,AI3+AH4-AQ3,IF(A4&lt;'Données projet'!$A$62,$AF$205^A4,IF(A4='Données projet'!$A$62,'Données projet'!$B$62,AI3+AH4-AQ3)))</f>
        <v>1.2997069632623315</v>
      </c>
      <c r="AJ4" s="13">
        <f>AI4*VLOOKUP('Données projet'!$B$10,Paramètres!$A$1:$I$89,3,0)*VLOOKUP('Données projet'!$B$10,Paramètres!$A$1:$I$89,5,0)</f>
        <v>0.81101714507569489</v>
      </c>
      <c r="AK4" s="13">
        <f>EXP(-1.0587+0.8836*LN(AJ4)+0.284)</f>
        <v>0.38297551084354686</v>
      </c>
      <c r="AL4" s="20">
        <f t="shared" ref="AL4:AL67" si="4">(AJ4+AK4)*0.475*44/12</f>
        <v>2.0795372090593456</v>
      </c>
      <c r="AM4" s="59">
        <f t="shared" ref="AM4:AM67" si="5">AL4+(AD4+AE4)*44/12</f>
        <v>295.41287054239268</v>
      </c>
      <c r="AN4" s="59">
        <f ca="1">AVERAGE(OFFSET($AM$3,0,0,'Données projet'!$E$10+1,1))-AVERAGE(OFFSET($H$3,0,0,'Données projet'!$E$10+1,1))</f>
        <v>179.44051550872138</v>
      </c>
      <c r="AO4" s="59">
        <f>$AO$3</f>
        <v>272.9500808380069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10.16068376068376</v>
      </c>
      <c r="BD4" s="12">
        <f>IF('Données projet'!$A$88&gt;35,BD3+BC4-BL3,IF(A4&lt;'Données projet'!$A$88,$BA$205^A4,IF(A4='Données projet'!$A$88,'Données projet'!$B$88,BD3+BC4-BL3)))</f>
        <v>1.3356034260773062</v>
      </c>
      <c r="BE4" s="13">
        <f>BD4*VLOOKUP('Données projet'!$B$11,Paramètres!$A$1:$I$89,3,0)*VLOOKUP('Données projet'!$B$11,Paramètres!$A$1:$I$89,5,0)</f>
        <v>0.7466023151772142</v>
      </c>
      <c r="BF4" s="13">
        <f>EXP(-1.0587+0.8836*LN(BE4)+0.284)</f>
        <v>0.35597032812689977</v>
      </c>
      <c r="BG4" s="20">
        <f t="shared" ref="BG4:BG67" si="7">(BE4+BF4)*0.475*44/12</f>
        <v>1.9203140204213316</v>
      </c>
      <c r="BH4" s="59">
        <f t="shared" ref="BH4:BH67" si="8">BG4+(AY4+AZ4)*44/12</f>
        <v>295.25364735375467</v>
      </c>
      <c r="BI4" s="59">
        <f ca="1">AVERAGE(OFFSET($BH$3,0,0,'Données projet'!$E$11+1,1))-AVERAGE(OFFSET($H$3,0,0,'Données projet'!$E$11+1,1))</f>
        <v>278.5296012747549</v>
      </c>
      <c r="BJ4" s="59">
        <f>$BJ$3</f>
        <v>370.55343097937077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2.4666666666666668</v>
      </c>
      <c r="BY4" s="12">
        <f>IF('Données projet'!$A$114&gt;35,BY3+BX4-CG3,IF(A4&lt;'Données projet'!$A$114,$BV$205^A4,IF(A4='Données projet'!$A$114,'Données projet'!$B$114,BY3+BX4-CG3)))</f>
        <v>1.2721747796233518</v>
      </c>
      <c r="BZ4" s="13">
        <f>BY4*VLOOKUP('Données projet'!$B$12,Paramètres!$A$1:$I$89,3,0)*VLOOKUP('Données projet'!$B$12,Paramètres!$A$1:$I$89,5,0)</f>
        <v>1.0121422546683387</v>
      </c>
      <c r="CA4" s="13">
        <f>EXP(-1.0587+0.8836*LN(BZ4)+0.284)</f>
        <v>0.46578286063395047</v>
      </c>
      <c r="CB4" s="20">
        <f t="shared" ref="CB4:CB67" si="10">(BZ4+CA4)*0.475*44/12</f>
        <v>2.574052909151487</v>
      </c>
      <c r="CC4" s="59">
        <f t="shared" ref="CC4:CC67" si="11">CB4+(BT4+BU4)*44/12</f>
        <v>295.90738624248479</v>
      </c>
      <c r="CD4" s="59">
        <f ca="1">AVERAGE(OFFSET($CC$3,0,0,'Données projet'!$E$12+1,1))-AVERAGE(OFFSET($H$3,0,0,'Données projet'!$E$12+1,1))</f>
        <v>225.2323446080772</v>
      </c>
      <c r="CE4" s="59">
        <f>$CE$3</f>
        <v>222.29030402759292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5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0.96199999999999997</v>
      </c>
      <c r="D5" s="11">
        <f t="shared" ref="D5:D68" si="32">IFERROR(EXP(-1.0587+0.8836*LN(C5)+0.284),0)</f>
        <v>0.4453336974617329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10.863628541809867</v>
      </c>
      <c r="H5" s="67">
        <f t="shared" si="1"/>
        <v>295.78443952307919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10.26553846153846</v>
      </c>
      <c r="N5" s="13">
        <f>IF('Données projet'!$A$36&gt;35,N4+M5-V4,IF(A5&lt;'Données projet'!$A$36,$K$205^A5,IF(A5='Données projet'!$A$36,'Données projet'!$B$36,N4+M5-V4)))</f>
        <v>1.5586397198298325</v>
      </c>
      <c r="O5" s="13">
        <f>N5*VLOOKUP('Données projet'!$B$9,Paramètres!$A$1:$I$89,3,0)*VLOOKUP('Données projet'!$B$9,Paramètres!$A$1:$I$89,5,0)</f>
        <v>0.7497057052381495</v>
      </c>
      <c r="P5" s="13">
        <f t="shared" ref="P5:P68" si="33">EXP(-1.0587+0.8836*LN(O5)+0.284)</f>
        <v>0.35727743658249705</v>
      </c>
      <c r="Q5" s="20">
        <f t="shared" si="2"/>
        <v>1.9279956386709596</v>
      </c>
      <c r="R5" s="59">
        <f t="shared" si="0"/>
        <v>295.26132897200426</v>
      </c>
      <c r="S5" s="59">
        <f ca="1">AVERAGE(OFFSET($R$3,0,0,'Données projet'!$E$9+1,1))-AVERAGE(OFFSET($H$3,0,0,'Données projet'!$E$9+1,1))</f>
        <v>234.10156575337737</v>
      </c>
      <c r="T5" s="59">
        <f t="shared" ref="T5:T68" si="34">$T$3</f>
        <v>285.68635263076646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6.2222222222222223</v>
      </c>
      <c r="AI5" s="13">
        <f>IF('Données projet'!$A$62&gt;35,AI4+AH5-AQ4,IF(A5&lt;'Données projet'!$A$62,$AF$205^A5,IF(A5='Données projet'!$A$62,'Données projet'!$B$62,AI4+AH5-AQ4)))</f>
        <v>1.6892381903525915</v>
      </c>
      <c r="AJ5" s="13">
        <f>AI5*VLOOKUP('Données projet'!$B$10,Paramètres!$A$1:$I$89,3,0)*VLOOKUP('Données projet'!$B$10,Paramètres!$A$1:$I$89,5,0)</f>
        <v>1.0540846307800171</v>
      </c>
      <c r="AK5" s="13">
        <f t="shared" ref="AK5:AK68" si="35">EXP(-1.0587+0.8836*LN(AJ5)+0.284)</f>
        <v>0.48279730809434274</v>
      </c>
      <c r="AL5" s="20">
        <f t="shared" si="4"/>
        <v>2.6767360435395098</v>
      </c>
      <c r="AM5" s="59">
        <f t="shared" si="5"/>
        <v>296.01006937687282</v>
      </c>
      <c r="AN5" s="59">
        <f ca="1">AVERAGE(OFFSET($AM$3,0,0,'Données projet'!$E$10+1,1))-AVERAGE(OFFSET($H$3,0,0,'Données projet'!$E$10+1,1))</f>
        <v>179.44051550872138</v>
      </c>
      <c r="AO5" s="59">
        <f t="shared" ref="AO5:AO68" si="36">$AO$3</f>
        <v>272.9500808380069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10.16068376068376</v>
      </c>
      <c r="BD5" s="12">
        <f>IF('Données projet'!$A$88&gt;35,BD4+BC5-BL4,IF(A5&lt;'Données projet'!$A$88,$BA$205^A5,IF(A5='Données projet'!$A$88,'Données projet'!$B$88,BD4+BC5-BL4)))</f>
        <v>1.7838365117494384</v>
      </c>
      <c r="BE5" s="13">
        <f>BD5*VLOOKUP('Données projet'!$B$11,Paramètres!$A$1:$I$89,3,0)*VLOOKUP('Données projet'!$B$11,Paramètres!$A$1:$I$89,5,0)</f>
        <v>0.99716461006793611</v>
      </c>
      <c r="BF5" s="13">
        <f t="shared" ref="BF5:BF68" si="37">EXP(-1.0587+0.8836*LN(BE5)+0.284)</f>
        <v>0.4596872513511342</v>
      </c>
      <c r="BG5" s="20">
        <f t="shared" si="7"/>
        <v>2.5373503253048804</v>
      </c>
      <c r="BH5" s="59">
        <f t="shared" si="8"/>
        <v>295.8706836586382</v>
      </c>
      <c r="BI5" s="59">
        <f ca="1">AVERAGE(OFFSET($BH$3,0,0,'Données projet'!$E$11+1,1))-AVERAGE(OFFSET($H$3,0,0,'Données projet'!$E$11+1,1))</f>
        <v>278.5296012747549</v>
      </c>
      <c r="BJ5" s="59">
        <f t="shared" ref="BJ5:BJ68" si="38">$BJ$3</f>
        <v>370.55343097937077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2.4666666666666668</v>
      </c>
      <c r="BY5" s="12">
        <f>IF('Données projet'!$A$114&gt;35,BY4+BX5-CG4,IF(A5&lt;'Données projet'!$A$114,$BV$205^A5,IF(A5='Données projet'!$A$114,'Données projet'!$B$114,BY4+BX5-CG4)))</f>
        <v>1.6184286699097237</v>
      </c>
      <c r="BZ5" s="13">
        <f>BY5*VLOOKUP('Données projet'!$B$12,Paramètres!$A$1:$I$89,3,0)*VLOOKUP('Données projet'!$B$12,Paramètres!$A$1:$I$89,5,0)</f>
        <v>1.2876218497801761</v>
      </c>
      <c r="CA5" s="13">
        <f t="shared" ref="CA5:CA68" si="39">EXP(-1.0587+0.8836*LN(BZ5)+0.284)</f>
        <v>0.57618379541883336</v>
      </c>
      <c r="CB5" s="20">
        <f t="shared" si="10"/>
        <v>3.2461281653882743</v>
      </c>
      <c r="CC5" s="59">
        <f t="shared" si="11"/>
        <v>296.57946149872157</v>
      </c>
      <c r="CD5" s="59">
        <f ca="1">AVERAGE(OFFSET($CC$3,0,0,'Données projet'!$E$12+1,1))-AVERAGE(OFFSET($H$3,0,0,'Données projet'!$E$12+1,1))</f>
        <v>225.2323446080772</v>
      </c>
      <c r="CE5" s="59">
        <f t="shared" ref="CE5:CE68" si="40">$CE$3</f>
        <v>222.29030402759292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5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1.4430000000000001</v>
      </c>
      <c r="D6" s="11">
        <f t="shared" si="32"/>
        <v>0.63720590978354918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16.057729829908101</v>
      </c>
      <c r="H6" s="67">
        <f t="shared" si="1"/>
        <v>296.95635862620634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10.26553846153846</v>
      </c>
      <c r="N6" s="13">
        <f>IF('Données projet'!$A$36&gt;35,N5+M6-V5,IF(A6&lt;'Données projet'!$A$36,$K$205^A6,IF(A6='Données projet'!$A$36,'Données projet'!$B$36,N5+M6-V5)))</f>
        <v>1.9458914470523405</v>
      </c>
      <c r="O6" s="13">
        <f>N6*VLOOKUP('Données projet'!$B$9,Paramètres!$A$1:$I$89,3,0)*VLOOKUP('Données projet'!$B$9,Paramètres!$A$1:$I$89,5,0)</f>
        <v>0.93597378603217574</v>
      </c>
      <c r="P6" s="13">
        <f t="shared" si="33"/>
        <v>0.43467099113919222</v>
      </c>
      <c r="Q6" s="20">
        <f t="shared" si="2"/>
        <v>2.3872063202401321</v>
      </c>
      <c r="R6" s="59">
        <f t="shared" si="0"/>
        <v>295.72053965357344</v>
      </c>
      <c r="S6" s="59">
        <f ca="1">AVERAGE(OFFSET($R$3,0,0,'Données projet'!$E$9+1,1))-AVERAGE(OFFSET($H$3,0,0,'Données projet'!$E$9+1,1))</f>
        <v>234.10156575337737</v>
      </c>
      <c r="T6" s="59">
        <f t="shared" si="34"/>
        <v>285.68635263076646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6.2222222222222223</v>
      </c>
      <c r="AI6" s="13">
        <f>IF('Données projet'!$A$62&gt;35,AI5+AH6-AQ5,IF(A6&lt;'Données projet'!$A$62,$AF$205^A6,IF(A6='Données projet'!$A$62,'Données projet'!$B$62,AI5+AH6-AQ5)))</f>
        <v>2.1955146386099229</v>
      </c>
      <c r="AJ6" s="13">
        <f>AI6*VLOOKUP('Données projet'!$B$10,Paramètres!$A$1:$I$89,3,0)*VLOOKUP('Données projet'!$B$10,Paramètres!$A$1:$I$89,5,0)</f>
        <v>1.3700011344925918</v>
      </c>
      <c r="AK6" s="13">
        <f t="shared" si="35"/>
        <v>0.60863745619068288</v>
      </c>
      <c r="AL6" s="20">
        <f t="shared" si="4"/>
        <v>3.4461288787733699</v>
      </c>
      <c r="AM6" s="59">
        <f t="shared" si="5"/>
        <v>296.77946221210669</v>
      </c>
      <c r="AN6" s="59">
        <f ca="1">AVERAGE(OFFSET($AM$3,0,0,'Données projet'!$E$10+1,1))-AVERAGE(OFFSET($H$3,0,0,'Données projet'!$E$10+1,1))</f>
        <v>179.44051550872138</v>
      </c>
      <c r="AO6" s="59">
        <f t="shared" si="36"/>
        <v>272.9500808380069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10.16068376068376</v>
      </c>
      <c r="BD6" s="12">
        <f>IF('Données projet'!$A$88&gt;35,BD5+BC6-BL5,IF(A6&lt;'Données projet'!$A$88,$BA$205^A6,IF(A6='Données projet'!$A$88,'Données projet'!$B$88,BD5+BC6-BL5)))</f>
        <v>2.3824981566543406</v>
      </c>
      <c r="BE6" s="13">
        <f>BD6*VLOOKUP('Données projet'!$B$11,Paramètres!$A$1:$I$89,3,0)*VLOOKUP('Données projet'!$B$11,Paramètres!$A$1:$I$89,5,0)</f>
        <v>1.3318164695697763</v>
      </c>
      <c r="BF6" s="13">
        <f t="shared" si="37"/>
        <v>0.59362354768914927</v>
      </c>
      <c r="BG6" s="20">
        <f t="shared" si="7"/>
        <v>3.3534746967259621</v>
      </c>
      <c r="BH6" s="59">
        <f t="shared" si="8"/>
        <v>296.6868080300593</v>
      </c>
      <c r="BI6" s="59">
        <f ca="1">AVERAGE(OFFSET($BH$3,0,0,'Données projet'!$E$11+1,1))-AVERAGE(OFFSET($H$3,0,0,'Données projet'!$E$11+1,1))</f>
        <v>278.5296012747549</v>
      </c>
      <c r="BJ6" s="59">
        <f t="shared" si="38"/>
        <v>370.55343097937077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2.4666666666666668</v>
      </c>
      <c r="BY6" s="12">
        <f>IF('Données projet'!$A$114&gt;35,BY5+BX6-CG5,IF(A6&lt;'Données projet'!$A$114,$BV$205^A6,IF(A6='Données projet'!$A$114,'Données projet'!$B$114,BY5+BX6-CG5)))</f>
        <v>2.0589241364785171</v>
      </c>
      <c r="BZ6" s="13">
        <f>BY6*VLOOKUP('Données projet'!$B$12,Paramètres!$A$1:$I$89,3,0)*VLOOKUP('Données projet'!$B$12,Paramètres!$A$1:$I$89,5,0)</f>
        <v>1.6380800429823084</v>
      </c>
      <c r="CA6" s="13">
        <f t="shared" si="39"/>
        <v>0.71275221602487127</v>
      </c>
      <c r="CB6" s="20">
        <f t="shared" si="10"/>
        <v>4.0943661844375043</v>
      </c>
      <c r="CC6" s="59">
        <f t="shared" si="11"/>
        <v>297.4276995177708</v>
      </c>
      <c r="CD6" s="59">
        <f ca="1">AVERAGE(OFFSET($CC$3,0,0,'Données projet'!$E$12+1,1))-AVERAGE(OFFSET($H$3,0,0,'Données projet'!$E$12+1,1))</f>
        <v>225.2323446080772</v>
      </c>
      <c r="CE6" s="59">
        <f t="shared" si="40"/>
        <v>222.29030402759292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5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1.9239999999999999</v>
      </c>
      <c r="D7" s="11">
        <f t="shared" si="32"/>
        <v>0.82162881665480925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21.194327707510809</v>
      </c>
      <c r="H7" s="67">
        <f t="shared" si="1"/>
        <v>298.11530352234041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10.26553846153846</v>
      </c>
      <c r="N7" s="13">
        <f>IF('Données projet'!$A$36&gt;35,N6+M7-V6,IF(A7&lt;'Données projet'!$A$36,$K$205^A7,IF(A7='Données projet'!$A$36,'Données projet'!$B$36,N6+M7-V6)))</f>
        <v>2.4293577762312188</v>
      </c>
      <c r="O7" s="13">
        <f>N7*VLOOKUP('Données projet'!$B$9,Paramètres!$A$1:$I$89,3,0)*VLOOKUP('Données projet'!$B$9,Paramètres!$A$1:$I$89,5,0)</f>
        <v>1.1685210903672163</v>
      </c>
      <c r="P7" s="13">
        <f t="shared" si="33"/>
        <v>0.52882956266481407</v>
      </c>
      <c r="Q7" s="20">
        <f t="shared" si="2"/>
        <v>2.956219054030786</v>
      </c>
      <c r="R7" s="59">
        <f t="shared" si="0"/>
        <v>296.2895523873641</v>
      </c>
      <c r="S7" s="59">
        <f ca="1">AVERAGE(OFFSET($R$3,0,0,'Données projet'!$E$9+1,1))-AVERAGE(OFFSET($H$3,0,0,'Données projet'!$E$9+1,1))</f>
        <v>234.10156575337737</v>
      </c>
      <c r="T7" s="59">
        <f t="shared" si="34"/>
        <v>285.68635263076646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6.2222222222222223</v>
      </c>
      <c r="AI7" s="13">
        <f>IF('Données projet'!$A$62&gt;35,AI6+AH7-AQ6,IF(A7&lt;'Données projet'!$A$62,$AF$205^A7,IF(A7='Données projet'!$A$62,'Données projet'!$B$62,AI6+AH7-AQ6)))</f>
        <v>2.8535256637456983</v>
      </c>
      <c r="AJ7" s="13">
        <f>AI7*VLOOKUP('Données projet'!$B$10,Paramètres!$A$1:$I$89,3,0)*VLOOKUP('Données projet'!$B$10,Paramètres!$A$1:$I$89,5,0)</f>
        <v>1.7806000141773157</v>
      </c>
      <c r="AK7" s="13">
        <f t="shared" si="35"/>
        <v>0.76727758599241935</v>
      </c>
      <c r="AL7" s="20">
        <f t="shared" si="4"/>
        <v>4.4375534869622877</v>
      </c>
      <c r="AM7" s="59">
        <f t="shared" si="5"/>
        <v>297.77088682029563</v>
      </c>
      <c r="AN7" s="59">
        <f ca="1">AVERAGE(OFFSET($AM$3,0,0,'Données projet'!$E$10+1,1))-AVERAGE(OFFSET($H$3,0,0,'Données projet'!$E$10+1,1))</f>
        <v>179.44051550872138</v>
      </c>
      <c r="AO7" s="59">
        <f t="shared" si="36"/>
        <v>272.9500808380069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10.16068376068376</v>
      </c>
      <c r="BD7" s="12">
        <f>IF('Données projet'!$A$88&gt;35,BD6+BC7-BL6,IF(A7&lt;'Données projet'!$A$88,$BA$205^A7,IF(A7='Données projet'!$A$88,'Données projet'!$B$88,BD6+BC7-BL6)))</f>
        <v>3.1820727006504042</v>
      </c>
      <c r="BE7" s="13">
        <f>BD7*VLOOKUP('Données projet'!$B$11,Paramètres!$A$1:$I$89,3,0)*VLOOKUP('Données projet'!$B$11,Paramètres!$A$1:$I$89,5,0)</f>
        <v>1.7787786396635761</v>
      </c>
      <c r="BF7" s="13">
        <f t="shared" si="37"/>
        <v>0.76658405325641277</v>
      </c>
      <c r="BG7" s="20">
        <f t="shared" si="7"/>
        <v>4.4331733568356464</v>
      </c>
      <c r="BH7" s="59">
        <f t="shared" si="8"/>
        <v>297.76650669016897</v>
      </c>
      <c r="BI7" s="59">
        <f ca="1">AVERAGE(OFFSET($BH$3,0,0,'Données projet'!$E$11+1,1))-AVERAGE(OFFSET($H$3,0,0,'Données projet'!$E$11+1,1))</f>
        <v>278.5296012747549</v>
      </c>
      <c r="BJ7" s="59">
        <f t="shared" si="38"/>
        <v>370.55343097937077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2.4666666666666668</v>
      </c>
      <c r="BY7" s="12">
        <f>IF('Données projet'!$A$114&gt;35,BY6+BX7-CG6,IF(A7&lt;'Données projet'!$A$114,$BV$205^A7,IF(A7='Données projet'!$A$114,'Données projet'!$B$114,BY6+BX7-CG6)))</f>
        <v>2.6193113595857573</v>
      </c>
      <c r="BZ7" s="13">
        <f>BY7*VLOOKUP('Données projet'!$B$12,Paramètres!$A$1:$I$89,3,0)*VLOOKUP('Données projet'!$B$12,Paramètres!$A$1:$I$89,5,0)</f>
        <v>2.0839241176864287</v>
      </c>
      <c r="CA7" s="13">
        <f t="shared" si="39"/>
        <v>0.88169040068036508</v>
      </c>
      <c r="CB7" s="20">
        <f t="shared" si="10"/>
        <v>5.1651119528221656</v>
      </c>
      <c r="CC7" s="59">
        <f t="shared" si="11"/>
        <v>298.49844528615546</v>
      </c>
      <c r="CD7" s="59">
        <f ca="1">AVERAGE(OFFSET($CC$3,0,0,'Données projet'!$E$12+1,1))-AVERAGE(OFFSET($H$3,0,0,'Données projet'!$E$12+1,1))</f>
        <v>225.2323446080772</v>
      </c>
      <c r="CE7" s="59">
        <f t="shared" si="40"/>
        <v>222.29030402759292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5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2.4049999999999998</v>
      </c>
      <c r="D8" s="11">
        <f t="shared" si="32"/>
        <v>1.0007033420126812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26.289639833080347</v>
      </c>
      <c r="H8" s="67">
        <f t="shared" si="1"/>
        <v>299.26493332067207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10.26553846153846</v>
      </c>
      <c r="N8" s="13">
        <f>IF('Données projet'!$A$36&gt;35,N7+M8-V7,IF(A8&lt;'Données projet'!$A$36,$K$205^A8,IF(A8='Données projet'!$A$36,'Données projet'!$B$36,N7+M8-V7)))</f>
        <v>3.0329436998529276</v>
      </c>
      <c r="O8" s="13">
        <f>N8*VLOOKUP('Données projet'!$B$9,Paramètres!$A$1:$I$89,3,0)*VLOOKUP('Données projet'!$B$9,Paramètres!$A$1:$I$89,5,0)</f>
        <v>1.4588459196292582</v>
      </c>
      <c r="P8" s="13">
        <f t="shared" si="33"/>
        <v>0.64338479458985642</v>
      </c>
      <c r="Q8" s="20">
        <f t="shared" si="2"/>
        <v>3.6613851605982912</v>
      </c>
      <c r="R8" s="59">
        <f t="shared" si="0"/>
        <v>296.9947184939316</v>
      </c>
      <c r="S8" s="59">
        <f ca="1">AVERAGE(OFFSET($R$3,0,0,'Données projet'!$E$9+1,1))-AVERAGE(OFFSET($H$3,0,0,'Données projet'!$E$9+1,1))</f>
        <v>234.10156575337737</v>
      </c>
      <c r="T8" s="59">
        <f t="shared" si="34"/>
        <v>285.68635263076646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6.2222222222222223</v>
      </c>
      <c r="AI8" s="13">
        <f>IF('Données projet'!$A$62&gt;35,AI7+AH8-AQ7,IF(A8&lt;'Données projet'!$A$62,$AF$205^A8,IF(A8='Données projet'!$A$62,'Données projet'!$B$62,AI7+AH8-AQ7)))</f>
        <v>3.7087471750180505</v>
      </c>
      <c r="AJ8" s="13">
        <f>AI8*VLOOKUP('Données projet'!$B$10,Paramètres!$A$1:$I$89,3,0)*VLOOKUP('Données projet'!$B$10,Paramètres!$A$1:$I$89,5,0)</f>
        <v>2.3142582372112632</v>
      </c>
      <c r="AK8" s="13">
        <f t="shared" si="35"/>
        <v>0.96726694681425085</v>
      </c>
      <c r="AL8" s="20">
        <f t="shared" si="4"/>
        <v>5.7153230288444377</v>
      </c>
      <c r="AM8" s="59">
        <f t="shared" si="5"/>
        <v>299.04865636217778</v>
      </c>
      <c r="AN8" s="59">
        <f ca="1">AVERAGE(OFFSET($AM$3,0,0,'Données projet'!$E$10+1,1))-AVERAGE(OFFSET($H$3,0,0,'Données projet'!$E$10+1,1))</f>
        <v>179.44051550872138</v>
      </c>
      <c r="AO8" s="59">
        <f t="shared" si="36"/>
        <v>272.9500808380069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10.16068376068376</v>
      </c>
      <c r="BD8" s="12">
        <f>IF('Données projet'!$A$88&gt;35,BD7+BC8-BL7,IF(A8&lt;'Données projet'!$A$88,$BA$205^A8,IF(A8='Données projet'!$A$88,'Données projet'!$B$88,BD7+BC8-BL7)))</f>
        <v>4.2499872010157462</v>
      </c>
      <c r="BE8" s="13">
        <f>BD8*VLOOKUP('Données projet'!$B$11,Paramètres!$A$1:$I$89,3,0)*VLOOKUP('Données projet'!$B$11,Paramètres!$A$1:$I$89,5,0)</f>
        <v>2.3757428453678022</v>
      </c>
      <c r="BF8" s="13">
        <f t="shared" si="37"/>
        <v>0.98993901605593615</v>
      </c>
      <c r="BG8" s="20">
        <f t="shared" si="7"/>
        <v>5.8618959086463436</v>
      </c>
      <c r="BH8" s="59">
        <f t="shared" si="8"/>
        <v>299.19522924197963</v>
      </c>
      <c r="BI8" s="59">
        <f ca="1">AVERAGE(OFFSET($BH$3,0,0,'Données projet'!$E$11+1,1))-AVERAGE(OFFSET($H$3,0,0,'Données projet'!$E$11+1,1))</f>
        <v>278.5296012747549</v>
      </c>
      <c r="BJ8" s="59">
        <f t="shared" si="38"/>
        <v>370.55343097937077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2.4666666666666668</v>
      </c>
      <c r="BY8" s="12">
        <f>IF('Données projet'!$A$114&gt;35,BY7+BX8-CG7,IF(A8&lt;'Données projet'!$A$114,$BV$205^A8,IF(A8='Données projet'!$A$114,'Données projet'!$B$114,BY7+BX8-CG7)))</f>
        <v>3.332221851645953</v>
      </c>
      <c r="BZ8" s="13">
        <f>BY8*VLOOKUP('Données projet'!$B$12,Paramètres!$A$1:$I$89,3,0)*VLOOKUP('Données projet'!$B$12,Paramètres!$A$1:$I$89,5,0)</f>
        <v>2.6511157051695204</v>
      </c>
      <c r="CA8" s="13">
        <f t="shared" si="39"/>
        <v>1.0906707059957799</v>
      </c>
      <c r="CB8" s="20">
        <f t="shared" si="10"/>
        <v>6.5169446661128978</v>
      </c>
      <c r="CC8" s="59">
        <f t="shared" si="11"/>
        <v>299.85027799944623</v>
      </c>
      <c r="CD8" s="59">
        <f ca="1">AVERAGE(OFFSET($CC$3,0,0,'Données projet'!$E$12+1,1))-AVERAGE(OFFSET($H$3,0,0,'Données projet'!$E$12+1,1))</f>
        <v>225.2323446080772</v>
      </c>
      <c r="CE8" s="59">
        <f t="shared" si="40"/>
        <v>222.29030402759292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5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2.8859999999999997</v>
      </c>
      <c r="D9" s="11">
        <f t="shared" si="32"/>
        <v>1.1756279405869494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31.352917436109781</v>
      </c>
      <c r="H9" s="67">
        <f t="shared" si="1"/>
        <v>300.40733532985558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10.26553846153846</v>
      </c>
      <c r="N9" s="13">
        <f>IF('Données projet'!$A$36&gt;35,N8+M9-V8,IF(A9&lt;'Données projet'!$A$36,$K$205^A9,IF(A9='Données projet'!$A$36,'Données projet'!$B$36,N8+M9-V8)))</f>
        <v>3.7864935237114521</v>
      </c>
      <c r="O9" s="13">
        <f>N9*VLOOKUP('Données projet'!$B$9,Paramètres!$A$1:$I$89,3,0)*VLOOKUP('Données projet'!$B$9,Paramètres!$A$1:$I$89,5,0)</f>
        <v>1.8213033849052085</v>
      </c>
      <c r="P9" s="13">
        <f t="shared" si="33"/>
        <v>0.78275501812632242</v>
      </c>
      <c r="Q9" s="20">
        <f t="shared" si="2"/>
        <v>4.5354017186132491</v>
      </c>
      <c r="R9" s="59">
        <f t="shared" si="0"/>
        <v>297.86873505194654</v>
      </c>
      <c r="S9" s="59">
        <f ca="1">AVERAGE(OFFSET($R$3,0,0,'Données projet'!$E$9+1,1))-AVERAGE(OFFSET($H$3,0,0,'Données projet'!$E$9+1,1))</f>
        <v>234.10156575337737</v>
      </c>
      <c r="T9" s="59">
        <f t="shared" si="34"/>
        <v>285.68635263076646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6.2222222222222223</v>
      </c>
      <c r="AI9" s="13">
        <f>IF('Données projet'!$A$62&gt;35,AI8+AH9-AQ8,IF(A9&lt;'Données projet'!$A$62,$AF$205^A9,IF(A9='Données projet'!$A$62,'Données projet'!$B$62,AI8+AH9-AQ8)))</f>
        <v>4.8202845283504612</v>
      </c>
      <c r="AJ9" s="13">
        <f>AI9*VLOOKUP('Données projet'!$B$10,Paramètres!$A$1:$I$89,3,0)*VLOOKUP('Données projet'!$B$10,Paramètres!$A$1:$I$89,5,0)</f>
        <v>3.0078575456906878</v>
      </c>
      <c r="AK9" s="13">
        <f t="shared" si="35"/>
        <v>1.2193831326236693</v>
      </c>
      <c r="AL9" s="20">
        <f t="shared" si="4"/>
        <v>7.3624441813975059</v>
      </c>
      <c r="AM9" s="59">
        <f t="shared" si="5"/>
        <v>300.69577751473082</v>
      </c>
      <c r="AN9" s="59">
        <f ca="1">AVERAGE(OFFSET($AM$3,0,0,'Données projet'!$E$10+1,1))-AVERAGE(OFFSET($H$3,0,0,'Données projet'!$E$10+1,1))</f>
        <v>179.44051550872138</v>
      </c>
      <c r="AO9" s="59">
        <f t="shared" si="36"/>
        <v>272.9500808380069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10.16068376068376</v>
      </c>
      <c r="BD9" s="12">
        <f>IF('Données projet'!$A$88&gt;35,BD8+BC9-BL8,IF(A9&lt;'Données projet'!$A$88,$BA$205^A9,IF(A9='Données projet'!$A$88,'Données projet'!$B$88,BD8+BC9-BL8)))</f>
        <v>5.6762974664613317</v>
      </c>
      <c r="BE9" s="13">
        <f>BD9*VLOOKUP('Données projet'!$B$11,Paramètres!$A$1:$I$89,3,0)*VLOOKUP('Données projet'!$B$11,Paramètres!$A$1:$I$89,5,0)</f>
        <v>3.1730502837518846</v>
      </c>
      <c r="BF9" s="13">
        <f t="shared" si="37"/>
        <v>1.27837156453606</v>
      </c>
      <c r="BG9" s="20">
        <f t="shared" si="7"/>
        <v>7.7528930524348363</v>
      </c>
      <c r="BH9" s="59">
        <f t="shared" si="8"/>
        <v>301.08622638576816</v>
      </c>
      <c r="BI9" s="59">
        <f ca="1">AVERAGE(OFFSET($BH$3,0,0,'Données projet'!$E$11+1,1))-AVERAGE(OFFSET($H$3,0,0,'Données projet'!$E$11+1,1))</f>
        <v>278.5296012747549</v>
      </c>
      <c r="BJ9" s="59">
        <f t="shared" si="38"/>
        <v>370.55343097937077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2.4666666666666668</v>
      </c>
      <c r="BY9" s="12">
        <f>IF('Données projet'!$A$114&gt;35,BY8+BX9-CG8,IF(A9&lt;'Données projet'!$A$114,$BV$205^A9,IF(A9='Données projet'!$A$114,'Données projet'!$B$114,BY8+BX9-CG8)))</f>
        <v>4.2391685997738069</v>
      </c>
      <c r="BZ9" s="13">
        <f>BY9*VLOOKUP('Données projet'!$B$12,Paramètres!$A$1:$I$89,3,0)*VLOOKUP('Données projet'!$B$12,Paramètres!$A$1:$I$89,5,0)</f>
        <v>3.3726825379800407</v>
      </c>
      <c r="CA9" s="13">
        <f t="shared" si="39"/>
        <v>1.3491840083541735</v>
      </c>
      <c r="CB9" s="20">
        <f t="shared" si="10"/>
        <v>8.2239175681987557</v>
      </c>
      <c r="CC9" s="59">
        <f t="shared" si="11"/>
        <v>301.55725090153209</v>
      </c>
      <c r="CD9" s="59">
        <f ca="1">AVERAGE(OFFSET($CC$3,0,0,'Données projet'!$E$12+1,1))-AVERAGE(OFFSET($H$3,0,0,'Données projet'!$E$12+1,1))</f>
        <v>225.2323446080772</v>
      </c>
      <c r="CE9" s="59">
        <f t="shared" si="40"/>
        <v>222.29030402759292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5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3.3669999999999995</v>
      </c>
      <c r="D10" s="11">
        <f t="shared" si="32"/>
        <v>1.3471752098029792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36.390124426549306</v>
      </c>
      <c r="H10" s="67">
        <f t="shared" si="1"/>
        <v>301.54385515707349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10.26553846153846</v>
      </c>
      <c r="N10" s="13">
        <f>IF('Données projet'!$A$36&gt;35,N9+M10-V9,IF(A10&lt;'Données projet'!$A$36,$K$205^A10,IF(A10='Données projet'!$A$36,'Données projet'!$B$36,N9+M10-V9)))</f>
        <v>4.7272665185984222</v>
      </c>
      <c r="O10" s="13">
        <f>N10*VLOOKUP('Données projet'!$B$9,Paramètres!$A$1:$I$89,3,0)*VLOOKUP('Données projet'!$B$9,Paramètres!$A$1:$I$89,5,0)</f>
        <v>2.2738151954458412</v>
      </c>
      <c r="P10" s="13">
        <f t="shared" si="33"/>
        <v>0.95231566483091268</v>
      </c>
      <c r="Q10" s="20">
        <f t="shared" si="2"/>
        <v>5.6188445816486796</v>
      </c>
      <c r="R10" s="59">
        <f t="shared" si="0"/>
        <v>298.95217791498197</v>
      </c>
      <c r="S10" s="59">
        <f ca="1">AVERAGE(OFFSET($R$3,0,0,'Données projet'!$E$9+1,1))-AVERAGE(OFFSET($H$3,0,0,'Données projet'!$E$9+1,1))</f>
        <v>234.10156575337737</v>
      </c>
      <c r="T10" s="59">
        <f t="shared" si="34"/>
        <v>285.68635263076646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6.2222222222222223</v>
      </c>
      <c r="AI10" s="13">
        <f>IF('Données projet'!$A$62&gt;35,AI9+AH10-AQ9,IF(A10&lt;'Données projet'!$A$62,$AF$205^A10,IF(A10='Données projet'!$A$62,'Données projet'!$B$62,AI9+AH10-AQ9)))</f>
        <v>6.2649573664027773</v>
      </c>
      <c r="AJ10" s="13">
        <f>AI10*VLOOKUP('Données projet'!$B$10,Paramètres!$A$1:$I$89,3,0)*VLOOKUP('Données projet'!$B$10,Paramètres!$A$1:$I$89,5,0)</f>
        <v>3.9093333966353332</v>
      </c>
      <c r="AK10" s="13">
        <f t="shared" si="35"/>
        <v>1.5372128955964925</v>
      </c>
      <c r="AL10" s="20">
        <f t="shared" si="4"/>
        <v>9.4860681256370967</v>
      </c>
      <c r="AM10" s="59">
        <f t="shared" si="5"/>
        <v>302.81940145897039</v>
      </c>
      <c r="AN10" s="59">
        <f ca="1">AVERAGE(OFFSET($AM$3,0,0,'Données projet'!$E$10+1,1))-AVERAGE(OFFSET($H$3,0,0,'Données projet'!$E$10+1,1))</f>
        <v>179.44051550872138</v>
      </c>
      <c r="AO10" s="59">
        <f t="shared" si="36"/>
        <v>272.9500808380069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10.16068376068376</v>
      </c>
      <c r="BD10" s="12">
        <f>IF('Données projet'!$A$88&gt;35,BD9+BC10-BL9,IF(A10&lt;'Données projet'!$A$88,$BA$205^A10,IF(A10='Données projet'!$A$88,'Données projet'!$B$88,BD9+BC10-BL9)))</f>
        <v>7.5812823436396872</v>
      </c>
      <c r="BE10" s="13">
        <f>BD10*VLOOKUP('Données projet'!$B$11,Paramètres!$A$1:$I$89,3,0)*VLOOKUP('Données projet'!$B$11,Paramètres!$A$1:$I$89,5,0)</f>
        <v>4.2379368300945854</v>
      </c>
      <c r="BF10" s="13">
        <f t="shared" si="37"/>
        <v>1.6508429615446465</v>
      </c>
      <c r="BG10" s="20">
        <f t="shared" si="7"/>
        <v>10.256291470438329</v>
      </c>
      <c r="BH10" s="59">
        <f t="shared" si="8"/>
        <v>303.58962480377164</v>
      </c>
      <c r="BI10" s="59">
        <f ca="1">AVERAGE(OFFSET($BH$3,0,0,'Données projet'!$E$11+1,1))-AVERAGE(OFFSET($H$3,0,0,'Données projet'!$E$11+1,1))</f>
        <v>278.5296012747549</v>
      </c>
      <c r="BJ10" s="59">
        <f t="shared" si="38"/>
        <v>370.55343097937077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2.4666666666666668</v>
      </c>
      <c r="BY10" s="12">
        <f>IF('Données projet'!$A$114&gt;35,BY9+BX10-CG9,IF(A10&lt;'Données projet'!$A$114,$BV$205^A10,IF(A10='Données projet'!$A$114,'Données projet'!$B$114,BY9+BX10-CG9)))</f>
        <v>5.3929633792034757</v>
      </c>
      <c r="BZ10" s="13">
        <f>BY10*VLOOKUP('Données projet'!$B$12,Paramètres!$A$1:$I$89,3,0)*VLOOKUP('Données projet'!$B$12,Paramètres!$A$1:$I$89,5,0)</f>
        <v>4.2906416644942853</v>
      </c>
      <c r="CA10" s="13">
        <f t="shared" si="39"/>
        <v>1.6689707336887791</v>
      </c>
      <c r="CB10" s="20">
        <f t="shared" si="10"/>
        <v>10.379658260168837</v>
      </c>
      <c r="CC10" s="59">
        <f t="shared" si="11"/>
        <v>303.71299159350212</v>
      </c>
      <c r="CD10" s="59">
        <f ca="1">AVERAGE(OFFSET($CC$3,0,0,'Données projet'!$E$12+1,1))-AVERAGE(OFFSET($H$3,0,0,'Données projet'!$E$12+1,1))</f>
        <v>225.2323446080772</v>
      </c>
      <c r="CE10" s="59">
        <f t="shared" si="40"/>
        <v>222.29030402759292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5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3.8479999999999994</v>
      </c>
      <c r="D11" s="11">
        <f t="shared" si="32"/>
        <v>1.5158832942696652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41.40541490313425</v>
      </c>
      <c r="H11" s="67">
        <f t="shared" si="1"/>
        <v>302.675430070853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10.26553846153846</v>
      </c>
      <c r="N11" s="13">
        <f>IF('Données projet'!$A$36&gt;35,N10+M11-V10,IF(A11&lt;'Données projet'!$A$36,$K$205^A11,IF(A11='Données projet'!$A$36,'Données projet'!$B$36,N10+M11-V10)))</f>
        <v>5.9017792049350923</v>
      </c>
      <c r="O11" s="13">
        <f>N11*VLOOKUP('Données projet'!$B$9,Paramètres!$A$1:$I$89,3,0)*VLOOKUP('Données projet'!$B$9,Paramètres!$A$1:$I$89,5,0)</f>
        <v>2.8387557975737794</v>
      </c>
      <c r="P11" s="13">
        <f t="shared" si="33"/>
        <v>1.158606593993097</v>
      </c>
      <c r="Q11" s="20">
        <f t="shared" si="2"/>
        <v>6.9620728319789764</v>
      </c>
      <c r="R11" s="59">
        <f t="shared" si="0"/>
        <v>300.29540616531227</v>
      </c>
      <c r="S11" s="59">
        <f ca="1">AVERAGE(OFFSET($R$3,0,0,'Données projet'!$E$9+1,1))-AVERAGE(OFFSET($H$3,0,0,'Données projet'!$E$9+1,1))</f>
        <v>234.10156575337737</v>
      </c>
      <c r="T11" s="59">
        <f t="shared" si="34"/>
        <v>285.68635263076646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6.2222222222222223</v>
      </c>
      <c r="AI11" s="13">
        <f>IF('Données projet'!$A$62&gt;35,AI10+AH11-AQ10,IF(A11&lt;'Données projet'!$A$62,$AF$205^A11,IF(A11='Données projet'!$A$62,'Données projet'!$B$62,AI10+AH11-AQ10)))</f>
        <v>8.1426087136553278</v>
      </c>
      <c r="AJ11" s="13">
        <f>AI11*VLOOKUP('Données projet'!$B$10,Paramètres!$A$1:$I$89,3,0)*VLOOKUP('Données projet'!$B$10,Paramètres!$A$1:$I$89,5,0)</f>
        <v>5.080987837320925</v>
      </c>
      <c r="AK11" s="13">
        <f t="shared" si="35"/>
        <v>1.9378843475584122</v>
      </c>
      <c r="AL11" s="20">
        <f t="shared" si="4"/>
        <v>12.224535721998178</v>
      </c>
      <c r="AM11" s="59">
        <f t="shared" si="5"/>
        <v>305.55786905533148</v>
      </c>
      <c r="AN11" s="59">
        <f ca="1">AVERAGE(OFFSET($AM$3,0,0,'Données projet'!$E$10+1,1))-AVERAGE(OFFSET($H$3,0,0,'Données projet'!$E$10+1,1))</f>
        <v>179.44051550872138</v>
      </c>
      <c r="AO11" s="59">
        <f t="shared" si="36"/>
        <v>272.9500808380069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10.16068376068376</v>
      </c>
      <c r="BD11" s="12">
        <f>IF('Données projet'!$A$88&gt;35,BD10+BC11-BL10,IF(A11&lt;'Données projet'!$A$88,$BA$205^A11,IF(A11='Données projet'!$A$88,'Données projet'!$B$88,BD10+BC11-BL10)))</f>
        <v>10.125586672224557</v>
      </c>
      <c r="BE11" s="13">
        <f>BD11*VLOOKUP('Données projet'!$B$11,Paramètres!$A$1:$I$89,3,0)*VLOOKUP('Données projet'!$B$11,Paramètres!$A$1:$I$89,5,0)</f>
        <v>5.6602029497735273</v>
      </c>
      <c r="BF11" s="13">
        <f t="shared" si="37"/>
        <v>2.1318390984944533</v>
      </c>
      <c r="BG11" s="20">
        <f t="shared" si="7"/>
        <v>13.571139900733398</v>
      </c>
      <c r="BH11" s="59">
        <f t="shared" si="8"/>
        <v>306.9044732340667</v>
      </c>
      <c r="BI11" s="59">
        <f ca="1">AVERAGE(OFFSET($BH$3,0,0,'Données projet'!$E$11+1,1))-AVERAGE(OFFSET($H$3,0,0,'Données projet'!$E$11+1,1))</f>
        <v>278.5296012747549</v>
      </c>
      <c r="BJ11" s="59">
        <f t="shared" si="38"/>
        <v>370.55343097937077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2.4666666666666668</v>
      </c>
      <c r="BY11" s="12">
        <f>IF('Données projet'!$A$114&gt;35,BY10+BX11-CG10,IF(A11&lt;'Données projet'!$A$114,$BV$205^A11,IF(A11='Données projet'!$A$114,'Données projet'!$B$114,BY10+BX11-CG10)))</f>
        <v>6.8607919984549888</v>
      </c>
      <c r="BZ11" s="13">
        <f>BY11*VLOOKUP('Données projet'!$B$12,Paramètres!$A$1:$I$89,3,0)*VLOOKUP('Données projet'!$B$12,Paramètres!$A$1:$I$89,5,0)</f>
        <v>5.4584461139707896</v>
      </c>
      <c r="CA11" s="13">
        <f t="shared" si="39"/>
        <v>2.0645540509389519</v>
      </c>
      <c r="CB11" s="20">
        <f t="shared" si="10"/>
        <v>13.102558620551131</v>
      </c>
      <c r="CC11" s="59">
        <f t="shared" si="11"/>
        <v>306.43589195388444</v>
      </c>
      <c r="CD11" s="59">
        <f ca="1">AVERAGE(OFFSET($CC$3,0,0,'Données projet'!$E$12+1,1))-AVERAGE(OFFSET($H$3,0,0,'Données projet'!$E$12+1,1))</f>
        <v>225.2323446080772</v>
      </c>
      <c r="CE11" s="59">
        <f t="shared" si="40"/>
        <v>222.29030402759292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5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4.3289999999999997</v>
      </c>
      <c r="D12" s="11">
        <f t="shared" si="32"/>
        <v>1.6821477371202938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46.401842181279456</v>
      </c>
      <c r="H12" s="67">
        <f t="shared" si="1"/>
        <v>303.80274897548452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10.26553846153846</v>
      </c>
      <c r="N12" s="13">
        <f>IF('Données projet'!$A$36&gt;35,N11+M12-V11,IF(A12&lt;'Données projet'!$A$36,$K$205^A12,IF(A12='Données projet'!$A$36,'Données projet'!$B$36,N11+M12-V11)))</f>
        <v>7.3681053621091932</v>
      </c>
      <c r="O12" s="13">
        <f>N12*VLOOKUP('Données projet'!$B$9,Paramètres!$A$1:$I$89,3,0)*VLOOKUP('Données projet'!$B$9,Paramètres!$A$1:$I$89,5,0)</f>
        <v>3.5440586791745217</v>
      </c>
      <c r="P12" s="13">
        <f t="shared" si="33"/>
        <v>1.4095843313494461</v>
      </c>
      <c r="Q12" s="20">
        <f t="shared" si="2"/>
        <v>8.6275949099959099</v>
      </c>
      <c r="R12" s="59">
        <f t="shared" si="0"/>
        <v>301.96092824332925</v>
      </c>
      <c r="S12" s="59">
        <f ca="1">AVERAGE(OFFSET($R$3,0,0,'Données projet'!$E$9+1,1))-AVERAGE(OFFSET($H$3,0,0,'Données projet'!$E$9+1,1))</f>
        <v>234.10156575337737</v>
      </c>
      <c r="T12" s="59">
        <f t="shared" si="34"/>
        <v>285.68635263076646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6.2222222222222223</v>
      </c>
      <c r="AI12" s="13">
        <f>IF('Données projet'!$A$62&gt;35,AI11+AH12-AQ11,IF(A12&lt;'Données projet'!$A$62,$AF$205^A12,IF(A12='Données projet'!$A$62,'Données projet'!$B$62,AI11+AH12-AQ11)))</f>
        <v>10.583005244258365</v>
      </c>
      <c r="AJ12" s="13">
        <f>AI12*VLOOKUP('Données projet'!$B$10,Paramètres!$A$1:$I$89,3,0)*VLOOKUP('Données projet'!$B$10,Paramètres!$A$1:$I$89,5,0)</f>
        <v>6.6037952724172193</v>
      </c>
      <c r="AK12" s="13">
        <f t="shared" si="35"/>
        <v>2.4429900082608067</v>
      </c>
      <c r="AL12" s="20">
        <f t="shared" si="4"/>
        <v>15.75648436384756</v>
      </c>
      <c r="AM12" s="59">
        <f t="shared" si="5"/>
        <v>309.08981769718088</v>
      </c>
      <c r="AN12" s="59">
        <f ca="1">AVERAGE(OFFSET($AM$3,0,0,'Données projet'!$E$10+1,1))-AVERAGE(OFFSET($H$3,0,0,'Données projet'!$E$10+1,1))</f>
        <v>179.44051550872138</v>
      </c>
      <c r="AO12" s="59">
        <f t="shared" si="36"/>
        <v>272.9500808380069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10.16068376068376</v>
      </c>
      <c r="BD12" s="12">
        <f>IF('Données projet'!$A$88&gt;35,BD11+BC12-BL11,IF(A12&lt;'Données projet'!$A$88,$BA$205^A12,IF(A12='Données projet'!$A$88,'Données projet'!$B$88,BD11+BC12-BL11)))</f>
        <v>13.523768250465828</v>
      </c>
      <c r="BE12" s="13">
        <f>BD12*VLOOKUP('Données projet'!$B$11,Paramètres!$A$1:$I$89,3,0)*VLOOKUP('Données projet'!$B$11,Paramètres!$A$1:$I$89,5,0)</f>
        <v>7.5597864520103979</v>
      </c>
      <c r="BF12" s="13">
        <f t="shared" si="37"/>
        <v>2.7529801730003816</v>
      </c>
      <c r="BG12" s="20">
        <f t="shared" si="7"/>
        <v>17.961401871893774</v>
      </c>
      <c r="BH12" s="59">
        <f t="shared" si="8"/>
        <v>311.29473520522708</v>
      </c>
      <c r="BI12" s="59">
        <f ca="1">AVERAGE(OFFSET($BH$3,0,0,'Données projet'!$E$11+1,1))-AVERAGE(OFFSET($H$3,0,0,'Données projet'!$E$11+1,1))</f>
        <v>278.5296012747549</v>
      </c>
      <c r="BJ12" s="59">
        <f t="shared" si="38"/>
        <v>370.55343097937077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2.4666666666666668</v>
      </c>
      <c r="BY12" s="12">
        <f>IF('Données projet'!$A$114&gt;35,BY11+BX12-CG11,IF(A12&lt;'Données projet'!$A$114,$BV$205^A12,IF(A12='Données projet'!$A$114,'Données projet'!$B$114,BY11+BX12-CG11)))</f>
        <v>8.7281265486761299</v>
      </c>
      <c r="BZ12" s="13">
        <f>BY12*VLOOKUP('Données projet'!$B$12,Paramètres!$A$1:$I$89,3,0)*VLOOKUP('Données projet'!$B$12,Paramètres!$A$1:$I$89,5,0)</f>
        <v>6.9440974821267289</v>
      </c>
      <c r="CA12" s="13">
        <f t="shared" si="39"/>
        <v>2.5538994442566798</v>
      </c>
      <c r="CB12" s="20">
        <f t="shared" si="10"/>
        <v>16.542344646784436</v>
      </c>
      <c r="CC12" s="59">
        <f t="shared" si="11"/>
        <v>309.87567798011776</v>
      </c>
      <c r="CD12" s="59">
        <f ca="1">AVERAGE(OFFSET($CC$3,0,0,'Données projet'!$E$12+1,1))-AVERAGE(OFFSET($H$3,0,0,'Données projet'!$E$12+1,1))</f>
        <v>225.2323446080772</v>
      </c>
      <c r="CE12" s="59">
        <f t="shared" si="40"/>
        <v>222.29030402759292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5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4.8099999999999996</v>
      </c>
      <c r="D13" s="11">
        <f t="shared" si="32"/>
        <v>1.8462710264386484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51.381741256719387</v>
      </c>
      <c r="H13" s="67">
        <f t="shared" si="1"/>
        <v>304.92633870438061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10.26553846153846</v>
      </c>
      <c r="N13" s="13">
        <f>IF('Données projet'!$A$36&gt;35,N12+M13-V12,IF(A13&lt;'Données projet'!$A$36,$K$205^A13,IF(A13='Données projet'!$A$36,'Données projet'!$B$36,N12+M13-V12)))</f>
        <v>9.1987474864775631</v>
      </c>
      <c r="O13" s="13">
        <f>N13*VLOOKUP('Données projet'!$B$9,Paramètres!$A$1:$I$89,3,0)*VLOOKUP('Données projet'!$B$9,Paramètres!$A$1:$I$89,5,0)</f>
        <v>4.4245975409957081</v>
      </c>
      <c r="P13" s="13">
        <f t="shared" si="33"/>
        <v>1.7149289478303307</v>
      </c>
      <c r="Q13" s="20">
        <f t="shared" si="2"/>
        <v>10.693008634705352</v>
      </c>
      <c r="R13" s="59">
        <f t="shared" si="0"/>
        <v>304.02634196803865</v>
      </c>
      <c r="S13" s="59">
        <f ca="1">AVERAGE(OFFSET($R$3,0,0,'Données projet'!$E$9+1,1))-AVERAGE(OFFSET($H$3,0,0,'Données projet'!$E$9+1,1))</f>
        <v>234.10156575337737</v>
      </c>
      <c r="T13" s="59">
        <f t="shared" si="34"/>
        <v>285.68635263076646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6.2222222222222223</v>
      </c>
      <c r="AI13" s="13">
        <f>IF('Données projet'!$A$62&gt;35,AI12+AH13-AQ12,IF(A13&lt;'Données projet'!$A$62,$AF$205^A13,IF(A13='Données projet'!$A$62,'Données projet'!$B$62,AI12+AH13-AQ12)))</f>
        <v>13.754805608204368</v>
      </c>
      <c r="AJ13" s="13">
        <f>AI13*VLOOKUP('Données projet'!$B$10,Paramètres!$A$1:$I$89,3,0)*VLOOKUP('Données projet'!$B$10,Paramètres!$A$1:$I$89,5,0)</f>
        <v>8.5829986995195267</v>
      </c>
      <c r="AK13" s="13">
        <f t="shared" si="35"/>
        <v>3.0797504443346257</v>
      </c>
      <c r="AL13" s="20">
        <f t="shared" si="4"/>
        <v>20.312621425545984</v>
      </c>
      <c r="AM13" s="59">
        <f t="shared" si="5"/>
        <v>313.64595475887927</v>
      </c>
      <c r="AN13" s="59">
        <f ca="1">AVERAGE(OFFSET($AM$3,0,0,'Données projet'!$E$10+1,1))-AVERAGE(OFFSET($H$3,0,0,'Données projet'!$E$10+1,1))</f>
        <v>179.44051550872138</v>
      </c>
      <c r="AO13" s="59">
        <f t="shared" si="36"/>
        <v>272.9500808380069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10.16068376068376</v>
      </c>
      <c r="BD13" s="12">
        <f>IF('Données projet'!$A$88&gt;35,BD12+BC13-BL12,IF(A13&lt;'Données projet'!$A$88,$BA$205^A13,IF(A13='Données projet'!$A$88,'Données projet'!$B$88,BD12+BC13-BL12)))</f>
        <v>18.062391208797656</v>
      </c>
      <c r="BE13" s="13">
        <f>BD13*VLOOKUP('Données projet'!$B$11,Paramètres!$A$1:$I$89,3,0)*VLOOKUP('Données projet'!$B$11,Paramètres!$A$1:$I$89,5,0)</f>
        <v>10.09687668571789</v>
      </c>
      <c r="BF13" s="13">
        <f t="shared" si="37"/>
        <v>3.5550993685619052</v>
      </c>
      <c r="BG13" s="20">
        <f t="shared" si="7"/>
        <v>23.777191627870639</v>
      </c>
      <c r="BH13" s="59">
        <f t="shared" si="8"/>
        <v>317.11052496120396</v>
      </c>
      <c r="BI13" s="59">
        <f ca="1">AVERAGE(OFFSET($BH$3,0,0,'Données projet'!$E$11+1,1))-AVERAGE(OFFSET($H$3,0,0,'Données projet'!$E$11+1,1))</f>
        <v>278.5296012747549</v>
      </c>
      <c r="BJ13" s="59">
        <f t="shared" si="38"/>
        <v>370.55343097937077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2.4666666666666668</v>
      </c>
      <c r="BY13" s="12">
        <f>IF('Données projet'!$A$114&gt;35,BY12+BX13-CG12,IF(A13&lt;'Données projet'!$A$114,$BV$205^A13,IF(A13='Données projet'!$A$114,'Données projet'!$B$114,BY12+BX13-CG12)))</f>
        <v>11.103702468586782</v>
      </c>
      <c r="BZ13" s="13">
        <f>BY13*VLOOKUP('Données projet'!$B$12,Paramètres!$A$1:$I$89,3,0)*VLOOKUP('Données projet'!$B$12,Paramètres!$A$1:$I$89,5,0)</f>
        <v>8.8341056840076444</v>
      </c>
      <c r="CA13" s="13">
        <f t="shared" si="39"/>
        <v>3.1592306185484516</v>
      </c>
      <c r="CB13" s="20">
        <f t="shared" si="10"/>
        <v>20.888394060285197</v>
      </c>
      <c r="CC13" s="59">
        <f t="shared" si="11"/>
        <v>314.22172739361849</v>
      </c>
      <c r="CD13" s="59">
        <f ca="1">AVERAGE(OFFSET($CC$3,0,0,'Données projet'!$E$12+1,1))-AVERAGE(OFFSET($H$3,0,0,'Données projet'!$E$12+1,1))</f>
        <v>225.2323446080772</v>
      </c>
      <c r="CE13" s="59">
        <f t="shared" si="40"/>
        <v>222.29030402759292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5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5.2909999999999995</v>
      </c>
      <c r="D14" s="11">
        <f t="shared" si="32"/>
        <v>2.0084916518563651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56.346953102049135</v>
      </c>
      <c r="H14" s="67">
        <f t="shared" si="1"/>
        <v>306.04661462698317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10.26553846153846</v>
      </c>
      <c r="N14" s="13">
        <f>IF('Données projet'!$A$36&gt;35,N13+M14-V13,IF(A14&lt;'Données projet'!$A$36,$K$205^A14,IF(A14='Données projet'!$A$36,'Données projet'!$B$36,N13+M14-V13)))</f>
        <v>11.484221677274558</v>
      </c>
      <c r="O14" s="13">
        <f>N14*VLOOKUP('Données projet'!$B$9,Paramètres!$A$1:$I$89,3,0)*VLOOKUP('Données projet'!$B$9,Paramètres!$A$1:$I$89,5,0)</f>
        <v>5.5239106267690623</v>
      </c>
      <c r="P14" s="13">
        <f t="shared" si="33"/>
        <v>2.0864174144805774</v>
      </c>
      <c r="Q14" s="20">
        <f t="shared" si="2"/>
        <v>13.254654671843122</v>
      </c>
      <c r="R14" s="59">
        <f t="shared" si="0"/>
        <v>306.58798800517644</v>
      </c>
      <c r="S14" s="59">
        <f ca="1">AVERAGE(OFFSET($R$3,0,0,'Données projet'!$E$9+1,1))-AVERAGE(OFFSET($H$3,0,0,'Données projet'!$E$9+1,1))</f>
        <v>234.10156575337737</v>
      </c>
      <c r="T14" s="59">
        <f t="shared" si="34"/>
        <v>285.68635263076646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6.2222222222222223</v>
      </c>
      <c r="AI14" s="13">
        <f>IF('Données projet'!$A$62&gt;35,AI13+AH14-AQ13,IF(A14&lt;'Données projet'!$A$62,$AF$205^A14,IF(A14='Données projet'!$A$62,'Données projet'!$B$62,AI13+AH14-AQ13)))</f>
        <v>17.877216627302985</v>
      </c>
      <c r="AJ14" s="13">
        <f>AI14*VLOOKUP('Données projet'!$B$10,Paramètres!$A$1:$I$89,3,0)*VLOOKUP('Données projet'!$B$10,Paramètres!$A$1:$I$89,5,0)</f>
        <v>11.155383175437063</v>
      </c>
      <c r="AK14" s="13">
        <f t="shared" si="35"/>
        <v>3.8824812083990929</v>
      </c>
      <c r="AL14" s="20">
        <f t="shared" si="4"/>
        <v>26.1909471351813</v>
      </c>
      <c r="AM14" s="59">
        <f t="shared" si="5"/>
        <v>319.52428046851463</v>
      </c>
      <c r="AN14" s="59">
        <f ca="1">AVERAGE(OFFSET($AM$3,0,0,'Données projet'!$E$10+1,1))-AVERAGE(OFFSET($H$3,0,0,'Données projet'!$E$10+1,1))</f>
        <v>179.44051550872138</v>
      </c>
      <c r="AO14" s="59">
        <f t="shared" si="36"/>
        <v>272.9500808380069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10.16068376068376</v>
      </c>
      <c r="BD14" s="12">
        <f>IF('Données projet'!$A$88&gt;35,BD13+BC14-BL13,IF(A14&lt;'Données projet'!$A$88,$BA$205^A14,IF(A14='Données projet'!$A$88,'Données projet'!$B$88,BD13+BC14-BL13)))</f>
        <v>24.124191581618767</v>
      </c>
      <c r="BE14" s="13">
        <f>BD14*VLOOKUP('Données projet'!$B$11,Paramètres!$A$1:$I$89,3,0)*VLOOKUP('Données projet'!$B$11,Paramètres!$A$1:$I$89,5,0)</f>
        <v>13.48542309412489</v>
      </c>
      <c r="BF14" s="13">
        <f t="shared" si="37"/>
        <v>4.5909271865822117</v>
      </c>
      <c r="BG14" s="20">
        <f t="shared" si="7"/>
        <v>31.482976738898202</v>
      </c>
      <c r="BH14" s="59">
        <f t="shared" si="8"/>
        <v>324.81631007223154</v>
      </c>
      <c r="BI14" s="59">
        <f ca="1">AVERAGE(OFFSET($BH$3,0,0,'Données projet'!$E$11+1,1))-AVERAGE(OFFSET($H$3,0,0,'Données projet'!$E$11+1,1))</f>
        <v>278.5296012747549</v>
      </c>
      <c r="BJ14" s="59">
        <f t="shared" si="38"/>
        <v>370.55343097937077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2.4666666666666668</v>
      </c>
      <c r="BY14" s="12">
        <f>IF('Données projet'!$A$114&gt;35,BY13+BX14-CG13,IF(A14&lt;'Données projet'!$A$114,$BV$205^A14,IF(A14='Données projet'!$A$114,'Données projet'!$B$114,BY13+BX14-CG13)))</f>
        <v>14.125850240977657</v>
      </c>
      <c r="BZ14" s="13">
        <f>BY14*VLOOKUP('Données projet'!$B$12,Paramètres!$A$1:$I$89,3,0)*VLOOKUP('Données projet'!$B$12,Paramètres!$A$1:$I$89,5,0)</f>
        <v>11.238526451721825</v>
      </c>
      <c r="CA14" s="13">
        <f t="shared" si="39"/>
        <v>3.9080387928425129</v>
      </c>
      <c r="CB14" s="20">
        <f t="shared" si="10"/>
        <v>26.380267800949554</v>
      </c>
      <c r="CC14" s="59">
        <f t="shared" si="11"/>
        <v>319.71360113428284</v>
      </c>
      <c r="CD14" s="59">
        <f ca="1">AVERAGE(OFFSET($CC$3,0,0,'Données projet'!$E$12+1,1))-AVERAGE(OFFSET($H$3,0,0,'Données projet'!$E$12+1,1))</f>
        <v>225.2323446080772</v>
      </c>
      <c r="CE14" s="59">
        <f t="shared" si="40"/>
        <v>222.29030402759292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5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5.7719999999999994</v>
      </c>
      <c r="D15" s="11">
        <f t="shared" si="32"/>
        <v>2.1690022541664664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61.2989647690043</v>
      </c>
      <c r="H15" s="67">
        <f t="shared" si="1"/>
        <v>307.1639122593399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10.26553846153846</v>
      </c>
      <c r="N15" s="13">
        <f>IF('Données projet'!$A$36&gt;35,N14+M15-V14,IF(A15&lt;'Données projet'!$A$36,$K$205^A15,IF(A15='Données projet'!$A$36,'Données projet'!$B$36,N14+M15-V14)))</f>
        <v>14.337533205108766</v>
      </c>
      <c r="O15" s="13">
        <f>N15*VLOOKUP('Données projet'!$B$9,Paramètres!$A$1:$I$89,3,0)*VLOOKUP('Données projet'!$B$9,Paramètres!$A$1:$I$89,5,0)</f>
        <v>6.8963534716573163</v>
      </c>
      <c r="P15" s="13">
        <f t="shared" si="33"/>
        <v>2.5383778336445117</v>
      </c>
      <c r="Q15" s="20">
        <f t="shared" si="2"/>
        <v>16.432157023400681</v>
      </c>
      <c r="R15" s="59">
        <f t="shared" si="0"/>
        <v>309.76549035673401</v>
      </c>
      <c r="S15" s="59">
        <f ca="1">AVERAGE(OFFSET($R$3,0,0,'Données projet'!$E$9+1,1))-AVERAGE(OFFSET($H$3,0,0,'Données projet'!$E$9+1,1))</f>
        <v>234.10156575337737</v>
      </c>
      <c r="T15" s="59">
        <f t="shared" si="34"/>
        <v>285.68635263076646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6.2222222222222223</v>
      </c>
      <c r="AI15" s="13">
        <f>IF('Données projet'!$A$62&gt;35,AI14+AH15-AQ14,IF(A15&lt;'Données projet'!$A$62,$AF$205^A15,IF(A15='Données projet'!$A$62,'Données projet'!$B$62,AI14+AH15-AQ14)))</f>
        <v>23.235142934254824</v>
      </c>
      <c r="AJ15" s="13">
        <f>AI15*VLOOKUP('Données projet'!$B$10,Paramètres!$A$1:$I$89,3,0)*VLOOKUP('Données projet'!$B$10,Paramètres!$A$1:$I$89,5,0)</f>
        <v>14.498729190975009</v>
      </c>
      <c r="AK15" s="13">
        <f t="shared" si="35"/>
        <v>4.8944421329010357</v>
      </c>
      <c r="AL15" s="20">
        <f t="shared" si="4"/>
        <v>33.776440055750776</v>
      </c>
      <c r="AM15" s="59">
        <f t="shared" si="5"/>
        <v>327.10977338908407</v>
      </c>
      <c r="AN15" s="59">
        <f ca="1">AVERAGE(OFFSET($AM$3,0,0,'Données projet'!$E$10+1,1))-AVERAGE(OFFSET($H$3,0,0,'Données projet'!$E$10+1,1))</f>
        <v>179.44051550872138</v>
      </c>
      <c r="AO15" s="59">
        <f t="shared" si="36"/>
        <v>272.9500808380069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10.16068376068376</v>
      </c>
      <c r="BD15" s="12">
        <f>IF('Données projet'!$A$88&gt;35,BD14+BC15-BL14,IF(A15&lt;'Données projet'!$A$88,$BA$205^A15,IF(A15='Données projet'!$A$88,'Données projet'!$B$88,BD14+BC15-BL14)))</f>
        <v>32.220352927755336</v>
      </c>
      <c r="BE15" s="13">
        <f>BD15*VLOOKUP('Données projet'!$B$11,Paramètres!$A$1:$I$89,3,0)*VLOOKUP('Données projet'!$B$11,Paramètres!$A$1:$I$89,5,0)</f>
        <v>18.011177286615233</v>
      </c>
      <c r="BF15" s="13">
        <f t="shared" si="37"/>
        <v>5.9285578959851977</v>
      </c>
      <c r="BG15" s="20">
        <f t="shared" si="7"/>
        <v>41.695038776362409</v>
      </c>
      <c r="BH15" s="59">
        <f t="shared" si="8"/>
        <v>335.02837210969574</v>
      </c>
      <c r="BI15" s="59">
        <f ca="1">AVERAGE(OFFSET($BH$3,0,0,'Données projet'!$E$11+1,1))-AVERAGE(OFFSET($H$3,0,0,'Données projet'!$E$11+1,1))</f>
        <v>278.5296012747549</v>
      </c>
      <c r="BJ15" s="59">
        <f t="shared" si="38"/>
        <v>370.55343097937077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2.4666666666666668</v>
      </c>
      <c r="BY15" s="12">
        <f>IF('Données projet'!$A$114&gt;35,BY14+BX15-CG14,IF(A15&lt;'Données projet'!$A$114,$BV$205^A15,IF(A15='Données projet'!$A$114,'Données projet'!$B$114,BY14+BX15-CG14)))</f>
        <v>17.970550417308221</v>
      </c>
      <c r="BZ15" s="13">
        <f>BY15*VLOOKUP('Données projet'!$B$12,Paramètres!$A$1:$I$89,3,0)*VLOOKUP('Données projet'!$B$12,Paramètres!$A$1:$I$89,5,0)</f>
        <v>14.297369912010421</v>
      </c>
      <c r="CA15" s="13">
        <f t="shared" si="39"/>
        <v>4.8343312187127445</v>
      </c>
      <c r="CB15" s="20">
        <f t="shared" si="10"/>
        <v>33.321046136009507</v>
      </c>
      <c r="CC15" s="59">
        <f t="shared" si="11"/>
        <v>326.65437946934281</v>
      </c>
      <c r="CD15" s="59">
        <f ca="1">AVERAGE(OFFSET($CC$3,0,0,'Données projet'!$E$12+1,1))-AVERAGE(OFFSET($H$3,0,0,'Données projet'!$E$12+1,1))</f>
        <v>225.2323446080772</v>
      </c>
      <c r="CE15" s="59">
        <f t="shared" si="40"/>
        <v>222.29030402759292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5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6.2529999999999992</v>
      </c>
      <c r="D16" s="11">
        <f t="shared" si="32"/>
        <v>2.3279615364980017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66.239001334370542</v>
      </c>
      <c r="H16" s="67">
        <f t="shared" si="1"/>
        <v>308.27850800940064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10.26553846153846</v>
      </c>
      <c r="N16" s="13">
        <f>IF('Données projet'!$A$36&gt;35,N15+M16-V15,IF(A16&lt;'Données projet'!$A$36,$K$205^A16,IF(A16='Données projet'!$A$36,'Données projet'!$B$36,N15+M16-V15)))</f>
        <v>17.899764057530909</v>
      </c>
      <c r="O16" s="13">
        <f>N16*VLOOKUP('Données projet'!$B$9,Paramètres!$A$1:$I$89,3,0)*VLOOKUP('Données projet'!$B$9,Paramètres!$A$1:$I$89,5,0)</f>
        <v>8.6097865116723682</v>
      </c>
      <c r="P16" s="13">
        <f t="shared" si="33"/>
        <v>3.0882420658580965</v>
      </c>
      <c r="Q16" s="20">
        <f t="shared" si="2"/>
        <v>20.374066439198891</v>
      </c>
      <c r="R16" s="59">
        <f t="shared" si="0"/>
        <v>313.7073997725322</v>
      </c>
      <c r="S16" s="59">
        <f ca="1">AVERAGE(OFFSET($R$3,0,0,'Données projet'!$E$9+1,1))-AVERAGE(OFFSET($H$3,0,0,'Données projet'!$E$9+1,1))</f>
        <v>234.10156575337737</v>
      </c>
      <c r="T16" s="59">
        <f t="shared" si="34"/>
        <v>285.68635263076646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6.2222222222222223</v>
      </c>
      <c r="AI16" s="13">
        <f>IF('Données projet'!$A$62&gt;35,AI15+AH16-AQ15,IF(A16&lt;'Données projet'!$A$62,$AF$205^A16,IF(A16='Données projet'!$A$62,'Données projet'!$B$62,AI15+AH16-AQ15)))</f>
        <v>30.19887706404656</v>
      </c>
      <c r="AJ16" s="13">
        <f>AI16*VLOOKUP('Données projet'!$B$10,Paramètres!$A$1:$I$89,3,0)*VLOOKUP('Données projet'!$B$10,Paramètres!$A$1:$I$89,5,0)</f>
        <v>18.844099287965054</v>
      </c>
      <c r="AK16" s="13">
        <f t="shared" si="35"/>
        <v>6.1701686386769925</v>
      </c>
      <c r="AL16" s="20">
        <f t="shared" si="4"/>
        <v>43.566516638901568</v>
      </c>
      <c r="AM16" s="59">
        <f t="shared" si="5"/>
        <v>336.8998499722349</v>
      </c>
      <c r="AN16" s="59">
        <f ca="1">AVERAGE(OFFSET($AM$3,0,0,'Données projet'!$E$10+1,1))-AVERAGE(OFFSET($H$3,0,0,'Données projet'!$E$10+1,1))</f>
        <v>179.44051550872138</v>
      </c>
      <c r="AO16" s="59">
        <f t="shared" si="36"/>
        <v>272.9500808380069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10.16068376068376</v>
      </c>
      <c r="BD16" s="12">
        <f>IF('Données projet'!$A$88&gt;35,BD15+BC16-BL15,IF(A16&lt;'Données projet'!$A$88,$BA$205^A16,IF(A16='Données projet'!$A$88,'Données projet'!$B$88,BD15+BC16-BL15)))</f>
        <v>43.033613759729988</v>
      </c>
      <c r="BE16" s="13">
        <f>BD16*VLOOKUP('Données projet'!$B$11,Paramètres!$A$1:$I$89,3,0)*VLOOKUP('Données projet'!$B$11,Paramètres!$A$1:$I$89,5,0)</f>
        <v>24.055790091689062</v>
      </c>
      <c r="BF16" s="13">
        <f t="shared" si="37"/>
        <v>7.6559259813080898</v>
      </c>
      <c r="BG16" s="20">
        <f t="shared" si="7"/>
        <v>55.231238827136707</v>
      </c>
      <c r="BH16" s="59">
        <f t="shared" si="8"/>
        <v>348.56457216046999</v>
      </c>
      <c r="BI16" s="59">
        <f ca="1">AVERAGE(OFFSET($BH$3,0,0,'Données projet'!$E$11+1,1))-AVERAGE(OFFSET($H$3,0,0,'Données projet'!$E$11+1,1))</f>
        <v>278.5296012747549</v>
      </c>
      <c r="BJ16" s="59">
        <f t="shared" si="38"/>
        <v>370.55343097937077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2.4666666666666668</v>
      </c>
      <c r="BY16" s="12">
        <f>IF('Données projet'!$A$114&gt;35,BY15+BX16-CG15,IF(A16&lt;'Données projet'!$A$114,$BV$205^A16,IF(A16='Données projet'!$A$114,'Données projet'!$B$114,BY15+BX16-CG15)))</f>
        <v>22.86168101684942</v>
      </c>
      <c r="BZ16" s="13">
        <f>BY16*VLOOKUP('Données projet'!$B$12,Paramètres!$A$1:$I$89,3,0)*VLOOKUP('Données projet'!$B$12,Paramètres!$A$1:$I$89,5,0)</f>
        <v>18.188753417005401</v>
      </c>
      <c r="CA16" s="13">
        <f t="shared" si="39"/>
        <v>5.9801756254374139</v>
      </c>
      <c r="CB16" s="20">
        <f t="shared" si="10"/>
        <v>42.094218082254564</v>
      </c>
      <c r="CC16" s="59">
        <f t="shared" si="11"/>
        <v>335.42755141558786</v>
      </c>
      <c r="CD16" s="59">
        <f ca="1">AVERAGE(OFFSET($CC$3,0,0,'Données projet'!$E$12+1,1))-AVERAGE(OFFSET($H$3,0,0,'Données projet'!$E$12+1,1))</f>
        <v>225.2323446080772</v>
      </c>
      <c r="CE16" s="59">
        <f t="shared" si="40"/>
        <v>222.29030402759292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5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6.7339999999999991</v>
      </c>
      <c r="D17" s="11">
        <f t="shared" si="32"/>
        <v>2.4855023991357164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71.168088695082716</v>
      </c>
      <c r="H17" s="67">
        <f t="shared" si="1"/>
        <v>309.39063334516135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10.26553846153846</v>
      </c>
      <c r="N17" s="13">
        <f>IF('Données projet'!$A$36&gt;35,N16+M17-V16,IF(A17&lt;'Données projet'!$A$36,$K$205^A17,IF(A17='Données projet'!$A$36,'Données projet'!$B$36,N16+M17-V16)))</f>
        <v>22.347048737861648</v>
      </c>
      <c r="O17" s="13">
        <f>N17*VLOOKUP('Données projet'!$B$9,Paramètres!$A$1:$I$89,3,0)*VLOOKUP('Données projet'!$B$9,Paramètres!$A$1:$I$89,5,0)</f>
        <v>10.748930442911453</v>
      </c>
      <c r="P17" s="13">
        <f t="shared" si="33"/>
        <v>3.7572180669582416</v>
      </c>
      <c r="Q17" s="20">
        <f t="shared" si="2"/>
        <v>25.264875321356385</v>
      </c>
      <c r="R17" s="59">
        <f t="shared" si="0"/>
        <v>318.5982086546897</v>
      </c>
      <c r="S17" s="59">
        <f ca="1">AVERAGE(OFFSET($R$3,0,0,'Données projet'!$E$9+1,1))-AVERAGE(OFFSET($H$3,0,0,'Données projet'!$E$9+1,1))</f>
        <v>234.10156575337737</v>
      </c>
      <c r="T17" s="59">
        <f t="shared" si="34"/>
        <v>285.68635263076646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6.2222222222222223</v>
      </c>
      <c r="AI17" s="13">
        <f>IF('Données projet'!$A$62&gt;35,AI16+AH17-AQ16,IF(A17&lt;'Données projet'!$A$62,$AF$205^A17,IF(A17='Données projet'!$A$62,'Données projet'!$B$62,AI16+AH17-AQ16)))</f>
        <v>39.249690802844427</v>
      </c>
      <c r="AJ17" s="13">
        <f>AI17*VLOOKUP('Données projet'!$B$10,Paramètres!$A$1:$I$89,3,0)*VLOOKUP('Données projet'!$B$10,Paramètres!$A$1:$I$89,5,0)</f>
        <v>24.491807060974921</v>
      </c>
      <c r="AK17" s="13">
        <f t="shared" si="35"/>
        <v>7.7784106944068903</v>
      </c>
      <c r="AL17" s="20">
        <f t="shared" si="4"/>
        <v>56.203962590623313</v>
      </c>
      <c r="AM17" s="59">
        <f t="shared" si="5"/>
        <v>349.53729592395661</v>
      </c>
      <c r="AN17" s="59">
        <f ca="1">AVERAGE(OFFSET($AM$3,0,0,'Données projet'!$E$10+1,1))-AVERAGE(OFFSET($H$3,0,0,'Données projet'!$E$10+1,1))</f>
        <v>179.44051550872138</v>
      </c>
      <c r="AO17" s="59">
        <f t="shared" si="36"/>
        <v>272.9500808380069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10.16068376068376</v>
      </c>
      <c r="BD17" s="12">
        <f>IF('Données projet'!$A$88&gt;35,BD16+BC17-BL16,IF(A17&lt;'Données projet'!$A$88,$BA$205^A17,IF(A17='Données projet'!$A$88,'Données projet'!$B$88,BD16+BC17-BL16)))</f>
        <v>57.475841973982881</v>
      </c>
      <c r="BE17" s="13">
        <f>BD17*VLOOKUP('Données projet'!$B$11,Paramètres!$A$1:$I$89,3,0)*VLOOKUP('Données projet'!$B$11,Paramètres!$A$1:$I$89,5,0)</f>
        <v>32.128995663456436</v>
      </c>
      <c r="BF17" s="13">
        <f t="shared" si="37"/>
        <v>9.8865868664217604</v>
      </c>
      <c r="BG17" s="20">
        <f t="shared" si="7"/>
        <v>73.177139572871184</v>
      </c>
      <c r="BH17" s="59">
        <f t="shared" si="8"/>
        <v>366.51047290620448</v>
      </c>
      <c r="BI17" s="59">
        <f ca="1">AVERAGE(OFFSET($BH$3,0,0,'Données projet'!$E$11+1,1))-AVERAGE(OFFSET($H$3,0,0,'Données projet'!$E$11+1,1))</f>
        <v>278.5296012747549</v>
      </c>
      <c r="BJ17" s="59">
        <f t="shared" si="38"/>
        <v>370.55343097937077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2.4666666666666668</v>
      </c>
      <c r="BY17" s="12">
        <f>IF('Données projet'!$A$114&gt;35,BY16+BX17-CG16,IF(A17&lt;'Données projet'!$A$114,$BV$205^A17,IF(A17='Données projet'!$A$114,'Données projet'!$B$114,BY16+BX17-CG16)))</f>
        <v>29.084054009429774</v>
      </c>
      <c r="BZ17" s="13">
        <f>BY17*VLOOKUP('Données projet'!$B$12,Paramètres!$A$1:$I$89,3,0)*VLOOKUP('Données projet'!$B$12,Paramètres!$A$1:$I$89,5,0)</f>
        <v>23.13927336990233</v>
      </c>
      <c r="CA17" s="13">
        <f t="shared" si="39"/>
        <v>7.3976107331343286</v>
      </c>
      <c r="CB17" s="20">
        <f t="shared" si="10"/>
        <v>53.185073146122171</v>
      </c>
      <c r="CC17" s="59">
        <f t="shared" si="11"/>
        <v>346.51840647945551</v>
      </c>
      <c r="CD17" s="59">
        <f ca="1">AVERAGE(OFFSET($CC$3,0,0,'Données projet'!$E$12+1,1))-AVERAGE(OFFSET($H$3,0,0,'Données projet'!$E$12+1,1))</f>
        <v>225.2323446080772</v>
      </c>
      <c r="CE17" s="59">
        <f t="shared" si="40"/>
        <v>222.29030402759292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5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7.214999999999999</v>
      </c>
      <c r="D18" s="11">
        <f t="shared" si="32"/>
        <v>2.6417376807869739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76.087097886776633</v>
      </c>
      <c r="H18" s="67">
        <f t="shared" si="1"/>
        <v>310.50048479403728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10.26553846153846</v>
      </c>
      <c r="N18" s="13">
        <f>IF('Données projet'!$A$36&gt;35,N17+M18-V17,IF(A18&lt;'Données projet'!$A$36,$K$205^A18,IF(A18='Données projet'!$A$36,'Données projet'!$B$36,N17+M18-V17)))</f>
        <v>27.899283235650078</v>
      </c>
      <c r="O18" s="13">
        <f>N18*VLOOKUP('Données projet'!$B$9,Paramètres!$A$1:$I$89,3,0)*VLOOKUP('Données projet'!$B$9,Paramètres!$A$1:$I$89,5,0)</f>
        <v>13.419555236347689</v>
      </c>
      <c r="P18" s="13">
        <f t="shared" si="33"/>
        <v>4.5711078670754972</v>
      </c>
      <c r="Q18" s="20">
        <f t="shared" si="2"/>
        <v>31.33373823846205</v>
      </c>
      <c r="R18" s="59">
        <f t="shared" si="0"/>
        <v>324.66707157179536</v>
      </c>
      <c r="S18" s="59">
        <f ca="1">AVERAGE(OFFSET($R$3,0,0,'Données projet'!$E$9+1,1))-AVERAGE(OFFSET($H$3,0,0,'Données projet'!$E$9+1,1))</f>
        <v>234.10156575337737</v>
      </c>
      <c r="T18" s="59">
        <f t="shared" si="34"/>
        <v>285.68635263076646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6.2222222222222223</v>
      </c>
      <c r="AI18" s="13">
        <f>IF('Données projet'!$A$62&gt;35,AI17+AH18-AQ17,IF(A18&lt;'Données projet'!$A$62,$AF$205^A18,IF(A18='Données projet'!$A$62,'Données projet'!$B$62,AI17+AH18-AQ17)))</f>
        <v>51.013096442350388</v>
      </c>
      <c r="AJ18" s="13">
        <f>AI18*VLOOKUP('Données projet'!$B$10,Paramètres!$A$1:$I$89,3,0)*VLOOKUP('Données projet'!$B$10,Paramètres!$A$1:$I$89,5,0)</f>
        <v>31.832172180026642</v>
      </c>
      <c r="AK18" s="13">
        <f t="shared" si="35"/>
        <v>9.8058378099430179</v>
      </c>
      <c r="AL18" s="20">
        <f t="shared" si="4"/>
        <v>72.519534065863823</v>
      </c>
      <c r="AM18" s="59">
        <f t="shared" si="5"/>
        <v>365.85286739919712</v>
      </c>
      <c r="AN18" s="59">
        <f ca="1">AVERAGE(OFFSET($AM$3,0,0,'Données projet'!$E$10+1,1))-AVERAGE(OFFSET($H$3,0,0,'Données projet'!$E$10+1,1))</f>
        <v>179.44051550872138</v>
      </c>
      <c r="AO18" s="59">
        <f t="shared" si="36"/>
        <v>272.9500808380069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10.16068376068376</v>
      </c>
      <c r="BD18" s="12">
        <f>IF('Données projet'!$A$88&gt;35,BD17+BC18-BL17,IF(A18&lt;'Données projet'!$A$88,$BA$205^A18,IF(A18='Données projet'!$A$88,'Données projet'!$B$88,BD17+BC18-BL17)))</f>
        <v>76.764931457129379</v>
      </c>
      <c r="BE18" s="13">
        <f>BD18*VLOOKUP('Données projet'!$B$11,Paramètres!$A$1:$I$89,3,0)*VLOOKUP('Données projet'!$B$11,Paramètres!$A$1:$I$89,5,0)</f>
        <v>42.911596684535326</v>
      </c>
      <c r="BF18" s="13">
        <f t="shared" si="37"/>
        <v>12.767181932785956</v>
      </c>
      <c r="BG18" s="20">
        <f t="shared" si="7"/>
        <v>96.97387275850123</v>
      </c>
      <c r="BH18" s="59">
        <f t="shared" si="8"/>
        <v>390.30720609183453</v>
      </c>
      <c r="BI18" s="59">
        <f ca="1">AVERAGE(OFFSET($BH$3,0,0,'Données projet'!$E$11+1,1))-AVERAGE(OFFSET($H$3,0,0,'Données projet'!$E$11+1,1))</f>
        <v>278.5296012747549</v>
      </c>
      <c r="BJ18" s="59">
        <f t="shared" si="38"/>
        <v>370.55343097937077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>
        <f>VLOOKUP(A18,'Données projet'!$A$113:$I$133,2,0)</f>
        <v>37</v>
      </c>
      <c r="BW18" s="12">
        <f>VLOOKUP(A18,'Données projet'!$A$113:$I$133,9,0)</f>
        <v>2.4666666666666668</v>
      </c>
      <c r="BX18" s="12">
        <f t="array" ref="BX18">INDEX(BW:BW,MIN(IF(ISNUMBER(BW18:BW214),ROW(BW18:BW214),"")))</f>
        <v>2.4666666666666668</v>
      </c>
      <c r="BY18" s="12">
        <f>IF('Données projet'!$A$114&gt;35,BY17+BX18-CG17,IF(A18&lt;'Données projet'!$A$114,$BV$205^A18,IF(A18='Données projet'!$A$114,'Données projet'!$B$114,BY17+BX18-CG17)))</f>
        <v>37</v>
      </c>
      <c r="BZ18" s="13">
        <f>BY18*VLOOKUP('Données projet'!$B$12,Paramètres!$A$1:$I$89,3,0)*VLOOKUP('Données projet'!$B$12,Paramètres!$A$1:$I$89,5,0)</f>
        <v>29.437200000000004</v>
      </c>
      <c r="CA18" s="13">
        <f t="shared" si="39"/>
        <v>9.1510096001539196</v>
      </c>
      <c r="CB18" s="20">
        <f t="shared" si="10"/>
        <v>67.207798386934755</v>
      </c>
      <c r="CC18" s="59">
        <f t="shared" si="11"/>
        <v>360.54113172026808</v>
      </c>
      <c r="CD18" s="59">
        <f ca="1">AVERAGE(OFFSET($CC$3,0,0,'Données projet'!$E$12+1,1))-AVERAGE(OFFSET($H$3,0,0,'Données projet'!$E$12+1,1))</f>
        <v>225.2323446080772</v>
      </c>
      <c r="CE18" s="59">
        <f t="shared" si="40"/>
        <v>222.29030402759292</v>
      </c>
      <c r="CF18" s="15">
        <f>IF(ISNA(VLOOKUP(A18,'Données projet'!$A$113:$I$133,3,0)),0,VLOOKUP(A18,'Données projet'!$A$113:$I$133,3,0))</f>
        <v>1</v>
      </c>
      <c r="CG18" s="15">
        <f>IF(ISNA(VLOOKUP(A18,'Données projet'!$A$113:$I$133,4,0)),0,VLOOKUP(A18,'Données projet'!$A$113:$I$133,4,0))</f>
        <v>15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5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7.6959999999999988</v>
      </c>
      <c r="D19" s="11">
        <f t="shared" si="32"/>
        <v>2.7967643238239419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80.996777236535692</v>
      </c>
      <c r="H19" s="67">
        <f t="shared" si="1"/>
        <v>311.60823119732669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10.26553846153846</v>
      </c>
      <c r="N19" s="13">
        <f>IF('Données projet'!$A$36&gt;35,N18+M19-V18,IF(A19&lt;'Données projet'!$A$36,$K$205^A19,IF(A19='Données projet'!$A$36,'Données projet'!$B$36,N18+M19-V18)))</f>
        <v>34.830997783804293</v>
      </c>
      <c r="O19" s="13">
        <f>N19*VLOOKUP('Données projet'!$B$9,Paramètres!$A$1:$I$89,3,0)*VLOOKUP('Données projet'!$B$9,Paramètres!$A$1:$I$89,5,0)</f>
        <v>16.753709934009866</v>
      </c>
      <c r="P19" s="13">
        <f t="shared" si="33"/>
        <v>5.5613027405022661</v>
      </c>
      <c r="Q19" s="20">
        <f t="shared" si="2"/>
        <v>38.865313741441959</v>
      </c>
      <c r="R19" s="59">
        <f t="shared" si="0"/>
        <v>332.19864707477529</v>
      </c>
      <c r="S19" s="59">
        <f ca="1">AVERAGE(OFFSET($R$3,0,0,'Données projet'!$E$9+1,1))-AVERAGE(OFFSET($H$3,0,0,'Données projet'!$E$9+1,1))</f>
        <v>234.10156575337737</v>
      </c>
      <c r="T19" s="59">
        <f t="shared" si="34"/>
        <v>285.68635263076646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6.2222222222222223</v>
      </c>
      <c r="AI19" s="13">
        <f>IF('Données projet'!$A$62&gt;35,AI18+AH19-AQ18,IF(A19&lt;'Données projet'!$A$62,$AF$205^A19,IF(A19='Données projet'!$A$62,'Données projet'!$B$62,AI18+AH19-AQ18)))</f>
        <v>66.302076663695672</v>
      </c>
      <c r="AJ19" s="13">
        <f>AI19*VLOOKUP('Données projet'!$B$10,Paramètres!$A$1:$I$89,3,0)*VLOOKUP('Données projet'!$B$10,Paramètres!$A$1:$I$89,5,0)</f>
        <v>41.372495838146101</v>
      </c>
      <c r="AK19" s="13">
        <f t="shared" si="35"/>
        <v>12.361709728704412</v>
      </c>
      <c r="AL19" s="20">
        <f t="shared" si="4"/>
        <v>93.587074695597963</v>
      </c>
      <c r="AM19" s="59">
        <f t="shared" si="5"/>
        <v>386.92040802893126</v>
      </c>
      <c r="AN19" s="59">
        <f ca="1">AVERAGE(OFFSET($AM$3,0,0,'Données projet'!$E$10+1,1))-AVERAGE(OFFSET($H$3,0,0,'Données projet'!$E$10+1,1))</f>
        <v>179.44051550872138</v>
      </c>
      <c r="AO19" s="59">
        <f t="shared" si="36"/>
        <v>272.9500808380069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10.16068376068376</v>
      </c>
      <c r="BD19" s="12">
        <f>IF('Données projet'!$A$88&gt;35,BD18+BC19-BL18,IF(A19&lt;'Données projet'!$A$88,$BA$205^A19,IF(A19='Données projet'!$A$88,'Données projet'!$B$88,BD18+BC19-BL18)))</f>
        <v>102.52750545673157</v>
      </c>
      <c r="BE19" s="13">
        <f>BD19*VLOOKUP('Données projet'!$B$11,Paramètres!$A$1:$I$89,3,0)*VLOOKUP('Données projet'!$B$11,Paramètres!$A$1:$I$89,5,0)</f>
        <v>57.312875550312953</v>
      </c>
      <c r="BF19" s="13">
        <f t="shared" si="37"/>
        <v>16.487078574959277</v>
      </c>
      <c r="BG19" s="20">
        <f t="shared" si="7"/>
        <v>128.53492010151578</v>
      </c>
      <c r="BH19" s="59">
        <f t="shared" si="8"/>
        <v>421.86825343484907</v>
      </c>
      <c r="BI19" s="59">
        <f ca="1">AVERAGE(OFFSET($BH$3,0,0,'Données projet'!$E$11+1,1))-AVERAGE(OFFSET($H$3,0,0,'Données projet'!$E$11+1,1))</f>
        <v>278.5296012747549</v>
      </c>
      <c r="BJ19" s="59">
        <f t="shared" si="38"/>
        <v>370.55343097937077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11.6</v>
      </c>
      <c r="BY19" s="12">
        <f>IF('Données projet'!$A$114&gt;35,BY18+BX19-CG18,IF(A19&lt;'Données projet'!$A$114,$BV$205^A19,IF(A19='Données projet'!$A$114,'Données projet'!$B$114,BY18+BX19-CG18)))</f>
        <v>33.6</v>
      </c>
      <c r="BZ19" s="13">
        <f>BY19*VLOOKUP('Données projet'!$B$12,Paramètres!$A$1:$I$89,3,0)*VLOOKUP('Données projet'!$B$12,Paramètres!$A$1:$I$89,5,0)</f>
        <v>26.732160000000004</v>
      </c>
      <c r="CA19" s="13">
        <f t="shared" si="39"/>
        <v>8.4038705306032053</v>
      </c>
      <c r="CB19" s="20">
        <f t="shared" si="10"/>
        <v>61.195253174133917</v>
      </c>
      <c r="CC19" s="59">
        <f t="shared" si="11"/>
        <v>354.52858650746725</v>
      </c>
      <c r="CD19" s="59">
        <f ca="1">AVERAGE(OFFSET($CC$3,0,0,'Données projet'!$E$12+1,1))-AVERAGE(OFFSET($H$3,0,0,'Données projet'!$E$12+1,1))</f>
        <v>225.2323446080772</v>
      </c>
      <c r="CE19" s="59">
        <f t="shared" si="40"/>
        <v>222.29030402759292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5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8.1769999999999996</v>
      </c>
      <c r="D20" s="11">
        <f t="shared" si="32"/>
        <v>2.9506664679221988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85.897776243609954</v>
      </c>
      <c r="H20" s="67">
        <f t="shared" si="1"/>
        <v>312.7140190982978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10.26553846153846</v>
      </c>
      <c r="N20" s="13">
        <f>IF('Données projet'!$A$36&gt;35,N19+M20-V19,IF(A20&lt;'Données projet'!$A$36,$K$205^A20,IF(A20='Données projet'!$A$36,'Données projet'!$B$36,N19+M20-V19)))</f>
        <v>43.484931005866784</v>
      </c>
      <c r="O20" s="13">
        <f>N20*VLOOKUP('Données projet'!$B$9,Paramètres!$A$1:$I$89,3,0)*VLOOKUP('Données projet'!$B$9,Paramètres!$A$1:$I$89,5,0)</f>
        <v>20.916251813821923</v>
      </c>
      <c r="P20" s="13">
        <f t="shared" si="33"/>
        <v>6.7659939495816754</v>
      </c>
      <c r="Q20" s="20">
        <f t="shared" si="2"/>
        <v>48.213244704594594</v>
      </c>
      <c r="R20" s="59">
        <f t="shared" si="0"/>
        <v>341.54657803792793</v>
      </c>
      <c r="S20" s="59">
        <f ca="1">AVERAGE(OFFSET($R$3,0,0,'Données projet'!$E$9+1,1))-AVERAGE(OFFSET($H$3,0,0,'Données projet'!$E$9+1,1))</f>
        <v>234.10156575337737</v>
      </c>
      <c r="T20" s="59">
        <f t="shared" si="34"/>
        <v>285.68635263076646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6.2222222222222223</v>
      </c>
      <c r="AI20" s="13">
        <f>IF('Données projet'!$A$62&gt;35,AI19+AH20-AQ19,IF(A20&lt;'Données projet'!$A$62,$AF$205^A20,IF(A20='Données projet'!$A$62,'Données projet'!$B$62,AI19+AH20-AQ19)))</f>
        <v>86.1732707185582</v>
      </c>
      <c r="AJ20" s="13">
        <f>AI20*VLOOKUP('Données projet'!$B$10,Paramètres!$A$1:$I$89,3,0)*VLOOKUP('Données projet'!$B$10,Paramètres!$A$1:$I$89,5,0)</f>
        <v>53.772120928380318</v>
      </c>
      <c r="AK20" s="13">
        <f t="shared" si="35"/>
        <v>15.583764526657339</v>
      </c>
      <c r="AL20" s="20">
        <f t="shared" si="4"/>
        <v>120.79483383419057</v>
      </c>
      <c r="AM20" s="59">
        <f t="shared" si="5"/>
        <v>414.12816716752388</v>
      </c>
      <c r="AN20" s="59">
        <f ca="1">AVERAGE(OFFSET($AM$3,0,0,'Données projet'!$E$10+1,1))-AVERAGE(OFFSET($H$3,0,0,'Données projet'!$E$10+1,1))</f>
        <v>179.44051550872138</v>
      </c>
      <c r="AO20" s="59">
        <f t="shared" si="36"/>
        <v>272.9500808380069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10.16068376068376</v>
      </c>
      <c r="BD20" s="12">
        <f>IF('Données projet'!$A$88&gt;35,BD19+BC20-BL19,IF(A20&lt;'Données projet'!$A$88,$BA$205^A20,IF(A20='Données projet'!$A$88,'Données projet'!$B$88,BD19+BC20-BL19)))</f>
        <v>136.93608755517039</v>
      </c>
      <c r="BE20" s="13">
        <f>BD20*VLOOKUP('Données projet'!$B$11,Paramètres!$A$1:$I$89,3,0)*VLOOKUP('Données projet'!$B$11,Paramètres!$A$1:$I$89,5,0)</f>
        <v>76.547272943340246</v>
      </c>
      <c r="BF20" s="13">
        <f t="shared" si="37"/>
        <v>21.290819020824138</v>
      </c>
      <c r="BG20" s="20">
        <f t="shared" si="7"/>
        <v>170.40134350425296</v>
      </c>
      <c r="BH20" s="59">
        <f t="shared" si="8"/>
        <v>463.73467683758628</v>
      </c>
      <c r="BI20" s="59">
        <f ca="1">AVERAGE(OFFSET($BH$3,0,0,'Données projet'!$E$11+1,1))-AVERAGE(OFFSET($H$3,0,0,'Données projet'!$E$11+1,1))</f>
        <v>278.5296012747549</v>
      </c>
      <c r="BJ20" s="59">
        <f t="shared" si="38"/>
        <v>370.55343097937077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11.6</v>
      </c>
      <c r="BY20" s="12">
        <f>IF('Données projet'!$A$114&gt;35,BY19+BX20-CG19,IF(A20&lt;'Données projet'!$A$114,$BV$205^A20,IF(A20='Données projet'!$A$114,'Données projet'!$B$114,BY19+BX20-CG19)))</f>
        <v>45.2</v>
      </c>
      <c r="BZ20" s="13">
        <f>BY20*VLOOKUP('Données projet'!$B$12,Paramètres!$A$1:$I$89,3,0)*VLOOKUP('Données projet'!$B$12,Paramètres!$A$1:$I$89,5,0)</f>
        <v>35.961120000000008</v>
      </c>
      <c r="CA20" s="13">
        <f t="shared" si="39"/>
        <v>10.921600552662685</v>
      </c>
      <c r="CB20" s="20">
        <f t="shared" si="10"/>
        <v>81.654071629220851</v>
      </c>
      <c r="CC20" s="59">
        <f t="shared" si="11"/>
        <v>374.98740496255414</v>
      </c>
      <c r="CD20" s="59">
        <f ca="1">AVERAGE(OFFSET($CC$3,0,0,'Données projet'!$E$12+1,1))-AVERAGE(OFFSET($H$3,0,0,'Données projet'!$E$12+1,1))</f>
        <v>225.2323446080772</v>
      </c>
      <c r="CE20" s="59">
        <f t="shared" si="40"/>
        <v>222.29030402759292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5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8.6579999999999995</v>
      </c>
      <c r="D21" s="11">
        <f t="shared" si="32"/>
        <v>3.1035177947823605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90.790663679021733</v>
      </c>
      <c r="H21" s="67">
        <f t="shared" si="1"/>
        <v>313.81797682591258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10.26553846153846</v>
      </c>
      <c r="N21" s="13">
        <f>IF('Données projet'!$A$36&gt;35,N20+M21-V20,IF(A21&lt;'Données projet'!$A$36,$K$205^A21,IF(A21='Données projet'!$A$36,'Données projet'!$B$36,N20+M21-V20)))</f>
        <v>54.28897662714224</v>
      </c>
      <c r="O21" s="13">
        <f>N21*VLOOKUP('Données projet'!$B$9,Paramètres!$A$1:$I$89,3,0)*VLOOKUP('Données projet'!$B$9,Paramètres!$A$1:$I$89,5,0)</f>
        <v>26.112997757655421</v>
      </c>
      <c r="P21" s="13">
        <f t="shared" si="33"/>
        <v>8.2316457603315722</v>
      </c>
      <c r="Q21" s="20">
        <f t="shared" si="2"/>
        <v>59.816920793827343</v>
      </c>
      <c r="R21" s="59">
        <f t="shared" si="0"/>
        <v>353.15025412716068</v>
      </c>
      <c r="S21" s="59">
        <f ca="1">AVERAGE(OFFSET($R$3,0,0,'Données projet'!$E$9+1,1))-AVERAGE(OFFSET($H$3,0,0,'Données projet'!$E$9+1,1))</f>
        <v>234.10156575337737</v>
      </c>
      <c r="T21" s="59">
        <f t="shared" si="34"/>
        <v>285.68635263076646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>
        <f>VLOOKUP(A21,'Données projet'!$A$61:$I$81,2,0)</f>
        <v>112</v>
      </c>
      <c r="AG21" s="12">
        <f>VLOOKUP(A21,'Données projet'!$A$61:$I$81,9,0)</f>
        <v>6.2222222222222223</v>
      </c>
      <c r="AH21" s="12">
        <f t="array" ref="AH21">INDEX(AG:AG,MIN(IF(ISNUMBER(AG21:AG217),ROW(AG21:AG217),"")))</f>
        <v>6.2222222222222223</v>
      </c>
      <c r="AI21" s="13">
        <f>IF('Données projet'!$A$62&gt;35,AI20+AH21-AQ20,IF(A21&lt;'Données projet'!$A$62,$AF$205^A21,IF(A21='Données projet'!$A$62,'Données projet'!$B$62,AI20+AH21-AQ20)))</f>
        <v>112</v>
      </c>
      <c r="AJ21" s="13">
        <f>AI21*VLOOKUP('Données projet'!$B$10,Paramètres!$A$1:$I$89,3,0)*VLOOKUP('Données projet'!$B$10,Paramètres!$A$1:$I$89,5,0)</f>
        <v>69.888000000000005</v>
      </c>
      <c r="AK21" s="13">
        <f t="shared" si="35"/>
        <v>19.645641432461961</v>
      </c>
      <c r="AL21" s="20">
        <f t="shared" si="4"/>
        <v>155.93775882820458</v>
      </c>
      <c r="AM21" s="59">
        <f t="shared" si="5"/>
        <v>449.27109216153792</v>
      </c>
      <c r="AN21" s="59">
        <f ca="1">AVERAGE(OFFSET($AM$3,0,0,'Données projet'!$E$10+1,1))-AVERAGE(OFFSET($H$3,0,0,'Données projet'!$E$10+1,1))</f>
        <v>179.44051550872138</v>
      </c>
      <c r="AO21" s="59">
        <f t="shared" si="36"/>
        <v>272.9500808380069</v>
      </c>
      <c r="AP21" s="15">
        <f>IF(ISNA(VLOOKUP(A21,'Données projet'!$A$61:$I$81,3,0)),0,VLOOKUP(A21,'Données projet'!$A$61:$I$81,3,0))</f>
        <v>1</v>
      </c>
      <c r="AQ21" s="15">
        <f>IF(ISNA(VLOOKUP(A21,'Données projet'!$A$61:$I$81,4,0)),0,VLOOKUP(A21,'Données projet'!$A$61:$I$81,4,0))</f>
        <v>20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0.42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6.9259423783863667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6.9259423783863667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>
        <f>VLOOKUP(A21,'Données projet'!$A$87:$I$107,2,0)</f>
        <v>182.89230769230767</v>
      </c>
      <c r="BB21" s="12">
        <f>VLOOKUP(A21,'Données projet'!$A$87:$I$107,9,0)</f>
        <v>10.16068376068376</v>
      </c>
      <c r="BC21" s="12">
        <f t="array" ref="BC21">INDEX(BB:BB,MIN(IF(ISNUMBER(BB21:BB217),ROW(BB21:BB217),"")))</f>
        <v>10.16068376068376</v>
      </c>
      <c r="BD21" s="12">
        <f>IF('Données projet'!$A$88&gt;35,BD20+BC21-BL20,IF(A21&lt;'Données projet'!$A$88,$BA$205^A21,IF(A21='Données projet'!$A$88,'Données projet'!$B$88,BD20+BC21-BL20)))</f>
        <v>182.89230769230767</v>
      </c>
      <c r="BE21" s="13">
        <f>BD21*VLOOKUP('Données projet'!$B$11,Paramètres!$A$1:$I$89,3,0)*VLOOKUP('Données projet'!$B$11,Paramètres!$A$1:$I$89,5,0)</f>
        <v>102.23679999999999</v>
      </c>
      <c r="BF21" s="13">
        <f t="shared" si="37"/>
        <v>27.494196289326943</v>
      </c>
      <c r="BG21" s="20">
        <f t="shared" si="7"/>
        <v>225.9481518705777</v>
      </c>
      <c r="BH21" s="59">
        <f t="shared" si="8"/>
        <v>519.28148520391096</v>
      </c>
      <c r="BI21" s="59">
        <f ca="1">AVERAGE(OFFSET($BH$3,0,0,'Données projet'!$E$11+1,1))-AVERAGE(OFFSET($H$3,0,0,'Données projet'!$E$11+1,1))</f>
        <v>278.5296012747549</v>
      </c>
      <c r="BJ21" s="59">
        <f t="shared" si="38"/>
        <v>370.55343097937077</v>
      </c>
      <c r="BK21" s="15">
        <f>IF(ISNA(VLOOKUP(A21,'Données projet'!$A$87:$I$107,3,0)),0,VLOOKUP(A21,'Données projet'!$A$87:$I$107,3,0))</f>
        <v>1</v>
      </c>
      <c r="BL21" s="15">
        <f>IF(ISNA(VLOOKUP(A21,'Données projet'!$A$87:$I$107,4,0)),0,VLOOKUP(A21,'Données projet'!$A$87:$I$107,4,0))</f>
        <v>69.284615384615378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0.30800000000000005</v>
      </c>
      <c r="BO21" s="16">
        <f>IF(ISNA(VLOOKUP(A21,'Données projet'!$A$87:$I$107,7,0)),0%,VLOOKUP(A21,'Données projet'!$A$87:$I$107,7,0))</f>
        <v>0.44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15.762109241455983</v>
      </c>
      <c r="BR21" s="21">
        <f>EXP(-LN(2)/2)*BR20+(1-EXP(-LN(2)/2))/(LN(2)/2)*BL21*BO21*VLOOKUP('Données projet'!$B$11,Paramètres!$A$1:$I$89,3,0)*0.475*44/12</f>
        <v>19.294646846829099</v>
      </c>
      <c r="BS21" s="22">
        <f t="shared" si="9"/>
        <v>35.056756088285084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11.6</v>
      </c>
      <c r="BY21" s="12">
        <f>IF('Données projet'!$A$114&gt;35,BY20+BX21-CG20,IF(A21&lt;'Données projet'!$A$114,$BV$205^A21,IF(A21='Données projet'!$A$114,'Données projet'!$B$114,BY20+BX21-CG20)))</f>
        <v>56.800000000000004</v>
      </c>
      <c r="BZ21" s="13">
        <f>BY21*VLOOKUP('Données projet'!$B$12,Paramètres!$A$1:$I$89,3,0)*VLOOKUP('Données projet'!$B$12,Paramètres!$A$1:$I$89,5,0)</f>
        <v>45.190080000000009</v>
      </c>
      <c r="CA21" s="13">
        <f t="shared" si="39"/>
        <v>13.364359727915414</v>
      </c>
      <c r="CB21" s="20">
        <f t="shared" si="10"/>
        <v>101.98231585945268</v>
      </c>
      <c r="CC21" s="59">
        <f t="shared" si="11"/>
        <v>395.315649192786</v>
      </c>
      <c r="CD21" s="59">
        <f ca="1">AVERAGE(OFFSET($CC$3,0,0,'Données projet'!$E$12+1,1))-AVERAGE(OFFSET($H$3,0,0,'Données projet'!$E$12+1,1))</f>
        <v>225.2323446080772</v>
      </c>
      <c r="CE21" s="59">
        <f t="shared" si="40"/>
        <v>222.29030402759292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5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9.1389999999999993</v>
      </c>
      <c r="D22" s="11">
        <f t="shared" si="32"/>
        <v>3.2553833368644418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95.675941547725515</v>
      </c>
      <c r="H22" s="67">
        <f t="shared" si="1"/>
        <v>314.92021764503886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10.26553846153846</v>
      </c>
      <c r="N22" s="13">
        <f>IF('Données projet'!$A$36&gt;35,N21+M22-V21,IF(A22&lt;'Données projet'!$A$36,$K$205^A22,IF(A22='Données projet'!$A$36,'Données projet'!$B$36,N21+M22-V21)))</f>
        <v>67.7773406798038</v>
      </c>
      <c r="O22" s="13">
        <f>N22*VLOOKUP('Données projet'!$B$9,Paramètres!$A$1:$I$89,3,0)*VLOOKUP('Données projet'!$B$9,Paramètres!$A$1:$I$89,5,0)</f>
        <v>32.600900866985633</v>
      </c>
      <c r="P22" s="13">
        <f t="shared" si="33"/>
        <v>10.014787543192263</v>
      </c>
      <c r="Q22" s="20">
        <f t="shared" si="2"/>
        <v>74.22232398105983</v>
      </c>
      <c r="R22" s="59">
        <f t="shared" si="0"/>
        <v>367.55565731439316</v>
      </c>
      <c r="S22" s="59">
        <f ca="1">AVERAGE(OFFSET($R$3,0,0,'Données projet'!$E$9+1,1))-AVERAGE(OFFSET($H$3,0,0,'Données projet'!$E$9+1,1))</f>
        <v>234.10156575337737</v>
      </c>
      <c r="T22" s="59">
        <f t="shared" si="34"/>
        <v>285.68635263076646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18</v>
      </c>
      <c r="AI22" s="13">
        <f>IF('Données projet'!$A$62&gt;35,AI21+AH22-AQ21,IF(A22&lt;'Données projet'!$A$62,$AF$205^A22,IF(A22='Données projet'!$A$62,'Données projet'!$B$62,AI21+AH22-AQ21)))</f>
        <v>110</v>
      </c>
      <c r="AJ22" s="13">
        <f>AI22*VLOOKUP('Données projet'!$B$10,Paramètres!$A$1:$I$89,3,0)*VLOOKUP('Données projet'!$B$10,Paramètres!$A$1:$I$89,5,0)</f>
        <v>68.64</v>
      </c>
      <c r="AK22" s="13">
        <f t="shared" si="35"/>
        <v>19.335336956640202</v>
      </c>
      <c r="AL22" s="20">
        <f t="shared" si="4"/>
        <v>153.22371186614836</v>
      </c>
      <c r="AM22" s="59">
        <f t="shared" si="5"/>
        <v>446.55704519948165</v>
      </c>
      <c r="AN22" s="59">
        <f ca="1">AVERAGE(OFFSET($AM$3,0,0,'Données projet'!$E$10+1,1))-AVERAGE(OFFSET($H$3,0,0,'Données projet'!$E$10+1,1))</f>
        <v>179.44051550872138</v>
      </c>
      <c r="AO22" s="59">
        <f t="shared" si="36"/>
        <v>272.9500808380069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6.736552119829911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6.736552119829911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20.658974358974358</v>
      </c>
      <c r="BD22" s="12">
        <f>IF('Données projet'!$A$88&gt;35,BD21+BC22-BL21,IF(A22&lt;'Données projet'!$A$88,$BA$205^A22,IF(A22='Données projet'!$A$88,'Données projet'!$B$88,BD21+BC22-BL21)))</f>
        <v>134.26666666666665</v>
      </c>
      <c r="BE22" s="13">
        <f>BD22*VLOOKUP('Données projet'!$B$11,Paramètres!$A$1:$I$89,3,0)*VLOOKUP('Données projet'!$B$11,Paramètres!$A$1:$I$89,5,0)</f>
        <v>75.055066666666661</v>
      </c>
      <c r="BF22" s="13">
        <f t="shared" si="37"/>
        <v>20.923669242672773</v>
      </c>
      <c r="BG22" s="20">
        <f t="shared" si="7"/>
        <v>167.1629650420995</v>
      </c>
      <c r="BH22" s="59">
        <f t="shared" si="8"/>
        <v>460.49629837543284</v>
      </c>
      <c r="BI22" s="59">
        <f ca="1">AVERAGE(OFFSET($BH$3,0,0,'Données projet'!$E$11+1,1))-AVERAGE(OFFSET($H$3,0,0,'Données projet'!$E$11+1,1))</f>
        <v>278.5296012747549</v>
      </c>
      <c r="BJ22" s="59">
        <f t="shared" si="38"/>
        <v>370.55343097937077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15.33109353535507</v>
      </c>
      <c r="BR22" s="21">
        <f>EXP(-LN(2)/2)*BR21+(1-EXP(-LN(2)/2))/(LN(2)/2)*BL22*BO22*VLOOKUP('Données projet'!$B$11,Paramètres!$A$1:$I$89,3,0)*0.475*44/12</f>
        <v>13.643375625992494</v>
      </c>
      <c r="BS22" s="22">
        <f t="shared" si="9"/>
        <v>28.974469161347564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11.6</v>
      </c>
      <c r="BY22" s="12">
        <f>IF('Données projet'!$A$114&gt;35,BY21+BX22-CG21,IF(A22&lt;'Données projet'!$A$114,$BV$205^A22,IF(A22='Données projet'!$A$114,'Données projet'!$B$114,BY21+BX22-CG21)))</f>
        <v>68.400000000000006</v>
      </c>
      <c r="BZ22" s="13">
        <f>BY22*VLOOKUP('Données projet'!$B$12,Paramètres!$A$1:$I$89,3,0)*VLOOKUP('Données projet'!$B$12,Paramètres!$A$1:$I$89,5,0)</f>
        <v>54.419040000000003</v>
      </c>
      <c r="CA22" s="13">
        <f t="shared" si="39"/>
        <v>15.749310274925152</v>
      </c>
      <c r="CB22" s="20">
        <f t="shared" si="10"/>
        <v>122.20987672882796</v>
      </c>
      <c r="CC22" s="59">
        <f t="shared" si="11"/>
        <v>415.54321006216128</v>
      </c>
      <c r="CD22" s="59">
        <f ca="1">AVERAGE(OFFSET($CC$3,0,0,'Données projet'!$E$12+1,1))-AVERAGE(OFFSET($H$3,0,0,'Données projet'!$E$12+1,1))</f>
        <v>225.2323446080772</v>
      </c>
      <c r="CE22" s="59">
        <f t="shared" si="40"/>
        <v>222.29030402759292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5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9.6199999999999992</v>
      </c>
      <c r="D23" s="11">
        <f t="shared" si="32"/>
        <v>3.4063208944730636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100.55405602751136</v>
      </c>
      <c r="H23" s="67">
        <f t="shared" si="1"/>
        <v>316.02084222454056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10.26553846153846</v>
      </c>
      <c r="N23" s="13">
        <f>IF('Données projet'!$A$36&gt;35,N22+M23-V22,IF(A23&lt;'Données projet'!$A$36,$K$205^A23,IF(A23='Données projet'!$A$36,'Données projet'!$B$36,N22+M23-V22)))</f>
        <v>84.616955319977308</v>
      </c>
      <c r="O23" s="13">
        <f>N23*VLOOKUP('Données projet'!$B$9,Paramètres!$A$1:$I$89,3,0)*VLOOKUP('Données projet'!$B$9,Paramètres!$A$1:$I$89,5,0)</f>
        <v>40.70075550890909</v>
      </c>
      <c r="P23" s="13">
        <f t="shared" si="33"/>
        <v>12.18419407922128</v>
      </c>
      <c r="Q23" s="20">
        <f t="shared" si="2"/>
        <v>92.107953865993707</v>
      </c>
      <c r="R23" s="59">
        <f t="shared" si="0"/>
        <v>385.44128719932701</v>
      </c>
      <c r="S23" s="59">
        <f ca="1">AVERAGE(OFFSET($R$3,0,0,'Données projet'!$E$9+1,1))-AVERAGE(OFFSET($H$3,0,0,'Données projet'!$E$9+1,1))</f>
        <v>234.10156575337737</v>
      </c>
      <c r="T23" s="59">
        <f t="shared" si="34"/>
        <v>285.68635263076646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18</v>
      </c>
      <c r="AI23" s="13">
        <f>IF('Données projet'!$A$62&gt;35,AI22+AH23-AQ22,IF(A23&lt;'Données projet'!$A$62,$AF$205^A23,IF(A23='Données projet'!$A$62,'Données projet'!$B$62,AI22+AH23-AQ22)))</f>
        <v>128</v>
      </c>
      <c r="AJ23" s="13">
        <f>AI23*VLOOKUP('Données projet'!$B$10,Paramètres!$A$1:$I$89,3,0)*VLOOKUP('Données projet'!$B$10,Paramètres!$A$1:$I$89,5,0)</f>
        <v>79.872</v>
      </c>
      <c r="AK23" s="13">
        <f t="shared" si="35"/>
        <v>22.105884547145418</v>
      </c>
      <c r="AL23" s="20">
        <f t="shared" si="4"/>
        <v>177.61148225294494</v>
      </c>
      <c r="AM23" s="59">
        <f t="shared" si="5"/>
        <v>470.94481558627825</v>
      </c>
      <c r="AN23" s="59">
        <f ca="1">AVERAGE(OFFSET($AM$3,0,0,'Données projet'!$E$10+1,1))-AVERAGE(OFFSET($H$3,0,0,'Données projet'!$E$10+1,1))</f>
        <v>179.44051550872138</v>
      </c>
      <c r="AO23" s="59">
        <f t="shared" si="36"/>
        <v>272.9500808380069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6.5523407478532825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6.5523407478532825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20.658974358974358</v>
      </c>
      <c r="BD23" s="12">
        <f>IF('Données projet'!$A$88&gt;35,BD22+BC23-BL22,IF(A23&lt;'Données projet'!$A$88,$BA$205^A23,IF(A23='Données projet'!$A$88,'Données projet'!$B$88,BD22+BC23-BL22)))</f>
        <v>154.925641025641</v>
      </c>
      <c r="BE23" s="13">
        <f>BD23*VLOOKUP('Données projet'!$B$11,Paramètres!$A$1:$I$89,3,0)*VLOOKUP('Données projet'!$B$11,Paramètres!$A$1:$I$89,5,0)</f>
        <v>86.603433333333314</v>
      </c>
      <c r="BF23" s="13">
        <f t="shared" si="37"/>
        <v>23.744229853900279</v>
      </c>
      <c r="BG23" s="20">
        <f t="shared" si="7"/>
        <v>192.18884671776516</v>
      </c>
      <c r="BH23" s="59">
        <f t="shared" si="8"/>
        <v>485.52218005109847</v>
      </c>
      <c r="BI23" s="59">
        <f ca="1">AVERAGE(OFFSET($BH$3,0,0,'Données projet'!$E$11+1,1))-AVERAGE(OFFSET($H$3,0,0,'Données projet'!$E$11+1,1))</f>
        <v>278.5296012747549</v>
      </c>
      <c r="BJ23" s="59">
        <f t="shared" si="38"/>
        <v>370.55343097937077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14.911863976403616</v>
      </c>
      <c r="BR23" s="21">
        <f>EXP(-LN(2)/2)*BR22+(1-EXP(-LN(2)/2))/(LN(2)/2)*BL23*BO23*VLOOKUP('Données projet'!$B$11,Paramètres!$A$1:$I$89,3,0)*0.475*44/12</f>
        <v>9.6473234234145515</v>
      </c>
      <c r="BS23" s="22">
        <f t="shared" si="9"/>
        <v>24.559187399818168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>
        <f>VLOOKUP(A23,'Données projet'!$A$113:$I$133,2,0)</f>
        <v>80</v>
      </c>
      <c r="BW23" s="12">
        <f>VLOOKUP(A23,'Données projet'!$A$113:$I$133,9,0)</f>
        <v>11.6</v>
      </c>
      <c r="BX23" s="12">
        <f t="array" ref="BX23">INDEX(BW:BW,MIN(IF(ISNUMBER(BW23:BW219),ROW(BW23:BW219),"")))</f>
        <v>11.6</v>
      </c>
      <c r="BY23" s="12">
        <f>IF('Données projet'!$A$114&gt;35,BY22+BX23-CG22,IF(A23&lt;'Données projet'!$A$114,$BV$205^A23,IF(A23='Données projet'!$A$114,'Données projet'!$B$114,BY22+BX23-CG22)))</f>
        <v>80</v>
      </c>
      <c r="BZ23" s="13">
        <f>BY23*VLOOKUP('Données projet'!$B$12,Paramètres!$A$1:$I$89,3,0)*VLOOKUP('Données projet'!$B$12,Paramètres!$A$1:$I$89,5,0)</f>
        <v>63.647999999999996</v>
      </c>
      <c r="CA23" s="13">
        <f t="shared" si="39"/>
        <v>18.087405707268363</v>
      </c>
      <c r="CB23" s="20">
        <f t="shared" si="10"/>
        <v>142.35583160682572</v>
      </c>
      <c r="CC23" s="59">
        <f t="shared" si="11"/>
        <v>435.689164940159</v>
      </c>
      <c r="CD23" s="59">
        <f ca="1">AVERAGE(OFFSET($CC$3,0,0,'Données projet'!$E$12+1,1))-AVERAGE(OFFSET($H$3,0,0,'Données projet'!$E$12+1,1))</f>
        <v>225.2323446080772</v>
      </c>
      <c r="CE23" s="59">
        <f t="shared" si="40"/>
        <v>222.29030402759292</v>
      </c>
      <c r="CF23" s="15">
        <f>IF(ISNA(VLOOKUP(A23,'Données projet'!$A$113:$I$133,3,0)),0,VLOOKUP(A23,'Données projet'!$A$113:$I$133,3,0))</f>
        <v>2</v>
      </c>
      <c r="CG23" s="15">
        <f>IF(ISNA(VLOOKUP(A23,'Données projet'!$A$113:$I$133,4,0)),0,VLOOKUP(A23,'Données projet'!$A$113:$I$133,4,0))</f>
        <v>28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0</v>
      </c>
      <c r="CM23" s="21">
        <f>EXP(-LN(2)/2)*CM22+(1-EXP(-LN(2)/2))/(LN(2)/2)*CG23*CJ23*VLOOKUP('Données projet'!$B$12,Paramètres!$A$1:$I$89,3,0)*0.475*44/12</f>
        <v>0</v>
      </c>
      <c r="CN23" s="22">
        <f t="shared" si="12"/>
        <v>0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5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10.100999999999999</v>
      </c>
      <c r="D24" s="11">
        <f t="shared" si="32"/>
        <v>3.556382161371384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105.42540615795455</v>
      </c>
      <c r="H24" s="67">
        <f t="shared" si="1"/>
        <v>317.11994059772178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10.26553846153846</v>
      </c>
      <c r="N24" s="13">
        <f>IF('Données projet'!$A$36&gt;35,N23+M24-V23,IF(A24&lt;'Données projet'!$A$36,$K$205^A24,IF(A24='Données projet'!$A$36,'Données projet'!$B$36,N23+M24-V23)))</f>
        <v>105.64045528798052</v>
      </c>
      <c r="O24" s="13">
        <f>N24*VLOOKUP('Données projet'!$B$9,Paramètres!$A$1:$I$89,3,0)*VLOOKUP('Données projet'!$B$9,Paramètres!$A$1:$I$89,5,0)</f>
        <v>50.813058993518631</v>
      </c>
      <c r="P24" s="13">
        <f t="shared" si="33"/>
        <v>14.823538164925489</v>
      </c>
      <c r="Q24" s="20">
        <f t="shared" si="2"/>
        <v>114.31707338429015</v>
      </c>
      <c r="R24" s="59">
        <f t="shared" si="0"/>
        <v>407.65040671762347</v>
      </c>
      <c r="S24" s="59">
        <f ca="1">AVERAGE(OFFSET($R$3,0,0,'Données projet'!$E$9+1,1))-AVERAGE(OFFSET($H$3,0,0,'Données projet'!$E$9+1,1))</f>
        <v>234.10156575337737</v>
      </c>
      <c r="T24" s="59">
        <f t="shared" si="34"/>
        <v>285.68635263076646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>
        <f>VLOOKUP(A24,'Données projet'!$A$61:$I$81,2,0)</f>
        <v>146</v>
      </c>
      <c r="AG24" s="12">
        <f>VLOOKUP(A24,'Données projet'!$A$61:$I$81,9,0)</f>
        <v>18</v>
      </c>
      <c r="AH24" s="12">
        <f t="array" ref="AH24">INDEX(AG:AG,MIN(IF(ISNUMBER(AG24:AG220),ROW(AG24:AG220),"")))</f>
        <v>18</v>
      </c>
      <c r="AI24" s="13">
        <f>IF('Données projet'!$A$62&gt;35,AI23+AH24-AQ23,IF(A24&lt;'Données projet'!$A$62,$AF$205^A24,IF(A24='Données projet'!$A$62,'Données projet'!$B$62,AI23+AH24-AQ23)))</f>
        <v>146</v>
      </c>
      <c r="AJ24" s="13">
        <f>AI24*VLOOKUP('Données projet'!$B$10,Paramètres!$A$1:$I$89,3,0)*VLOOKUP('Données projet'!$B$10,Paramètres!$A$1:$I$89,5,0)</f>
        <v>91.103999999999999</v>
      </c>
      <c r="AK24" s="13">
        <f t="shared" si="35"/>
        <v>24.831293984707884</v>
      </c>
      <c r="AL24" s="20">
        <f t="shared" si="4"/>
        <v>201.92063702336623</v>
      </c>
      <c r="AM24" s="59">
        <f t="shared" si="5"/>
        <v>495.25397035669954</v>
      </c>
      <c r="AN24" s="59">
        <f ca="1">AVERAGE(OFFSET($AM$3,0,0,'Données projet'!$E$10+1,1))-AVERAGE(OFFSET($H$3,0,0,'Données projet'!$E$10+1,1))</f>
        <v>179.44051550872138</v>
      </c>
      <c r="AO24" s="59">
        <f t="shared" si="36"/>
        <v>272.9500808380069</v>
      </c>
      <c r="AP24" s="15">
        <f>IF(ISNA(VLOOKUP(A24,'Données projet'!$A$61:$I$81,3,0)),0,VLOOKUP(A24,'Données projet'!$A$61:$I$81,3,0))</f>
        <v>2</v>
      </c>
      <c r="AQ24" s="15">
        <f>IF(ISNA(VLOOKUP(A24,'Données projet'!$A$61:$I$81,4,0)),0,VLOOKUP(A24,'Données projet'!$A$61:$I$81,4,0))</f>
        <v>26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0.48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16.663138179133213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16.663138179133213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20.658974358974358</v>
      </c>
      <c r="BD24" s="12">
        <f>IF('Données projet'!$A$88&gt;35,BD23+BC24-BL23,IF(A24&lt;'Données projet'!$A$88,$BA$205^A24,IF(A24='Données projet'!$A$88,'Données projet'!$B$88,BD23+BC24-BL23)))</f>
        <v>175.58461538461535</v>
      </c>
      <c r="BE24" s="13">
        <f>BD24*VLOOKUP('Données projet'!$B$11,Paramètres!$A$1:$I$89,3,0)*VLOOKUP('Données projet'!$B$11,Paramètres!$A$1:$I$89,5,0)</f>
        <v>98.15179999999998</v>
      </c>
      <c r="BF24" s="13">
        <f t="shared" si="37"/>
        <v>26.52121247620833</v>
      </c>
      <c r="BG24" s="20">
        <f t="shared" si="7"/>
        <v>217.13883006272945</v>
      </c>
      <c r="BH24" s="59">
        <f t="shared" si="8"/>
        <v>510.4721633960628</v>
      </c>
      <c r="BI24" s="59">
        <f ca="1">AVERAGE(OFFSET($BH$3,0,0,'Données projet'!$E$11+1,1))-AVERAGE(OFFSET($H$3,0,0,'Données projet'!$E$11+1,1))</f>
        <v>278.5296012747549</v>
      </c>
      <c r="BJ24" s="59">
        <f t="shared" si="38"/>
        <v>370.55343097937077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14.504098271788013</v>
      </c>
      <c r="BR24" s="21">
        <f>EXP(-LN(2)/2)*BR23+(1-EXP(-LN(2)/2))/(LN(2)/2)*BL24*BO24*VLOOKUP('Données projet'!$B$11,Paramètres!$A$1:$I$89,3,0)*0.475*44/12</f>
        <v>6.8216878129962479</v>
      </c>
      <c r="BS24" s="22">
        <f t="shared" si="9"/>
        <v>21.325786084784262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12.6</v>
      </c>
      <c r="BY24" s="12">
        <f>IF('Données projet'!$A$114&gt;35,BY23+BX24-CG23,IF(A24&lt;'Données projet'!$A$114,$BV$205^A24,IF(A24='Données projet'!$A$114,'Données projet'!$B$114,BY23+BX24-CG23)))</f>
        <v>64.599999999999994</v>
      </c>
      <c r="BZ24" s="13">
        <f>BY24*VLOOKUP('Données projet'!$B$12,Paramètres!$A$1:$I$89,3,0)*VLOOKUP('Données projet'!$B$12,Paramètres!$A$1:$I$89,5,0)</f>
        <v>51.395759999999996</v>
      </c>
      <c r="CA24" s="13">
        <f t="shared" si="39"/>
        <v>14.973641136922506</v>
      </c>
      <c r="CB24" s="20">
        <f t="shared" si="10"/>
        <v>115.59337364680668</v>
      </c>
      <c r="CC24" s="59">
        <f t="shared" si="11"/>
        <v>408.92670698014001</v>
      </c>
      <c r="CD24" s="59">
        <f ca="1">AVERAGE(OFFSET($CC$3,0,0,'Données projet'!$E$12+1,1))-AVERAGE(OFFSET($H$3,0,0,'Données projet'!$E$12+1,1))</f>
        <v>225.2323446080772</v>
      </c>
      <c r="CE24" s="59">
        <f t="shared" si="40"/>
        <v>222.29030402759292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0</v>
      </c>
      <c r="CM24" s="21">
        <f>EXP(-LN(2)/2)*CM23+(1-EXP(-LN(2)/2))/(LN(2)/2)*CG24*CJ24*VLOOKUP('Données projet'!$B$12,Paramètres!$A$1:$I$89,3,0)*0.475*44/12</f>
        <v>0</v>
      </c>
      <c r="CN24" s="22">
        <f t="shared" si="12"/>
        <v>0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5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10.581999999999999</v>
      </c>
      <c r="D25" s="11">
        <f t="shared" si="32"/>
        <v>3.7056136299176217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110.29035082743428</v>
      </c>
      <c r="H25" s="67">
        <f t="shared" si="1"/>
        <v>318.21759373877319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10.26553846153846</v>
      </c>
      <c r="N25" s="13">
        <f>IF('Données projet'!$A$36&gt;35,N24+M25-V24,IF(A25&lt;'Données projet'!$A$36,$K$205^A25,IF(A25='Données projet'!$A$36,'Données projet'!$B$36,N24+M25-V24)))</f>
        <v>131.88734753278288</v>
      </c>
      <c r="O25" s="13">
        <f>N25*VLOOKUP('Données projet'!$B$9,Paramètres!$A$1:$I$89,3,0)*VLOOKUP('Données projet'!$B$9,Paramètres!$A$1:$I$89,5,0)</f>
        <v>63.437814163268563</v>
      </c>
      <c r="P25" s="13">
        <f t="shared" si="33"/>
        <v>18.034617825214958</v>
      </c>
      <c r="Q25" s="20">
        <f t="shared" si="2"/>
        <v>141.89781904660879</v>
      </c>
      <c r="R25" s="59">
        <f t="shared" si="0"/>
        <v>435.2311523799421</v>
      </c>
      <c r="S25" s="59">
        <f ca="1">AVERAGE(OFFSET($R$3,0,0,'Données projet'!$E$9+1,1))-AVERAGE(OFFSET($H$3,0,0,'Données projet'!$E$9+1,1))</f>
        <v>234.10156575337737</v>
      </c>
      <c r="T25" s="59">
        <f t="shared" si="34"/>
        <v>285.68635263076646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16</v>
      </c>
      <c r="AI25" s="13">
        <f>IF('Données projet'!$A$62&gt;35,AI24+AH25-AQ24,IF(A25&lt;'Données projet'!$A$62,$AF$205^A25,IF(A25='Données projet'!$A$62,'Données projet'!$B$62,AI24+AH25-AQ24)))</f>
        <v>136</v>
      </c>
      <c r="AJ25" s="13">
        <f>AI25*VLOOKUP('Données projet'!$B$10,Paramètres!$A$1:$I$89,3,0)*VLOOKUP('Données projet'!$B$10,Paramètres!$A$1:$I$89,5,0)</f>
        <v>84.864000000000004</v>
      </c>
      <c r="AK25" s="13">
        <f t="shared" si="35"/>
        <v>23.322341364766192</v>
      </c>
      <c r="AL25" s="20">
        <f t="shared" si="4"/>
        <v>188.42454454363443</v>
      </c>
      <c r="AM25" s="59">
        <f t="shared" si="5"/>
        <v>481.75787787696777</v>
      </c>
      <c r="AN25" s="59">
        <f ca="1">AVERAGE(OFFSET($AM$3,0,0,'Données projet'!$E$10+1,1))-AVERAGE(OFFSET($H$3,0,0,'Données projet'!$E$10+1,1))</f>
        <v>179.44051550872138</v>
      </c>
      <c r="AO25" s="59">
        <f t="shared" si="36"/>
        <v>272.9500808380069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16.207483789348462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16.207483789348462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20.658974358974358</v>
      </c>
      <c r="BD25" s="12">
        <f>IF('Données projet'!$A$88&gt;35,BD24+BC25-BL24,IF(A25&lt;'Données projet'!$A$88,$BA$205^A25,IF(A25='Données projet'!$A$88,'Données projet'!$B$88,BD24+BC25-BL24)))</f>
        <v>196.24358974358969</v>
      </c>
      <c r="BE25" s="13">
        <f>BD25*VLOOKUP('Données projet'!$B$11,Paramètres!$A$1:$I$89,3,0)*VLOOKUP('Données projet'!$B$11,Paramètres!$A$1:$I$89,5,0)</f>
        <v>109.70016666666663</v>
      </c>
      <c r="BF25" s="13">
        <f t="shared" si="37"/>
        <v>29.260330282475415</v>
      </c>
      <c r="BG25" s="20">
        <f t="shared" si="7"/>
        <v>242.02286551975575</v>
      </c>
      <c r="BH25" s="59">
        <f t="shared" si="8"/>
        <v>535.35619885308904</v>
      </c>
      <c r="BI25" s="59">
        <f ca="1">AVERAGE(OFFSET($BH$3,0,0,'Données projet'!$E$11+1,1))-AVERAGE(OFFSET($H$3,0,0,'Données projet'!$E$11+1,1))</f>
        <v>278.5296012747549</v>
      </c>
      <c r="BJ25" s="59">
        <f t="shared" si="38"/>
        <v>370.55343097937077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14.107482941808591</v>
      </c>
      <c r="BR25" s="21">
        <f>EXP(-LN(2)/2)*BR24+(1-EXP(-LN(2)/2))/(LN(2)/2)*BL25*BO25*VLOOKUP('Données projet'!$B$11,Paramètres!$A$1:$I$89,3,0)*0.475*44/12</f>
        <v>4.8236617117072758</v>
      </c>
      <c r="BS25" s="22">
        <f t="shared" si="9"/>
        <v>18.931144653515865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12.6</v>
      </c>
      <c r="BY25" s="12">
        <f>IF('Données projet'!$A$114&gt;35,BY24+BX25-CG24,IF(A25&lt;'Données projet'!$A$114,$BV$205^A25,IF(A25='Données projet'!$A$114,'Données projet'!$B$114,BY24+BX25-CG24)))</f>
        <v>77.199999999999989</v>
      </c>
      <c r="BZ25" s="13">
        <f>BY25*VLOOKUP('Données projet'!$B$12,Paramètres!$A$1:$I$89,3,0)*VLOOKUP('Données projet'!$B$12,Paramètres!$A$1:$I$89,5,0)</f>
        <v>61.42031999999999</v>
      </c>
      <c r="CA25" s="13">
        <f t="shared" si="39"/>
        <v>17.526880037631354</v>
      </c>
      <c r="CB25" s="20">
        <f t="shared" si="10"/>
        <v>137.4997067322079</v>
      </c>
      <c r="CC25" s="59">
        <f t="shared" si="11"/>
        <v>430.83304006554124</v>
      </c>
      <c r="CD25" s="59">
        <f ca="1">AVERAGE(OFFSET($CC$3,0,0,'Données projet'!$E$12+1,1))-AVERAGE(OFFSET($H$3,0,0,'Données projet'!$E$12+1,1))</f>
        <v>225.2323446080772</v>
      </c>
      <c r="CE25" s="59">
        <f t="shared" si="40"/>
        <v>222.29030402759292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0</v>
      </c>
      <c r="CM25" s="21">
        <f>EXP(-LN(2)/2)*CM24+(1-EXP(-LN(2)/2))/(LN(2)/2)*CG25*CJ25*VLOOKUP('Données projet'!$B$12,Paramètres!$A$1:$I$89,3,0)*0.475*44/12</f>
        <v>0</v>
      </c>
      <c r="CN25" s="22">
        <f t="shared" si="12"/>
        <v>0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5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11.062999999999999</v>
      </c>
      <c r="D26" s="11">
        <f t="shared" si="32"/>
        <v>3.8540573269792704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115.14921445387506</v>
      </c>
      <c r="H26" s="67">
        <f t="shared" si="1"/>
        <v>319.31387484448885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10.26553846153846</v>
      </c>
      <c r="N26" s="13">
        <f>IF('Données projet'!$A$36&gt;35,N25+M26-V25,IF(A26&lt;'Données projet'!$A$36,$K$205^A26,IF(A26='Données projet'!$A$36,'Données projet'!$B$36,N25+M26-V25)))</f>
        <v>164.65540963275387</v>
      </c>
      <c r="O26" s="13">
        <f>N26*VLOOKUP('Données projet'!$B$9,Paramètres!$A$1:$I$89,3,0)*VLOOKUP('Données projet'!$B$9,Paramètres!$A$1:$I$89,5,0)</f>
        <v>79.199252033354611</v>
      </c>
      <c r="P26" s="13">
        <f t="shared" si="33"/>
        <v>21.941282606276857</v>
      </c>
      <c r="Q26" s="20">
        <f t="shared" si="2"/>
        <v>176.15309783069145</v>
      </c>
      <c r="R26" s="59">
        <f t="shared" si="0"/>
        <v>469.48643116402479</v>
      </c>
      <c r="S26" s="59">
        <f ca="1">AVERAGE(OFFSET($R$3,0,0,'Données projet'!$E$9+1,1))-AVERAGE(OFFSET($H$3,0,0,'Données projet'!$E$9+1,1))</f>
        <v>234.10156575337737</v>
      </c>
      <c r="T26" s="59">
        <f t="shared" si="34"/>
        <v>285.68635263076646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16</v>
      </c>
      <c r="AI26" s="13">
        <f>IF('Données projet'!$A$62&gt;35,AI25+AH26-AQ25,IF(A26&lt;'Données projet'!$A$62,$AF$205^A26,IF(A26='Données projet'!$A$62,'Données projet'!$B$62,AI25+AH26-AQ25)))</f>
        <v>152</v>
      </c>
      <c r="AJ26" s="13">
        <f>AI26*VLOOKUP('Données projet'!$B$10,Paramètres!$A$1:$I$89,3,0)*VLOOKUP('Données projet'!$B$10,Paramètres!$A$1:$I$89,5,0)</f>
        <v>94.847999999999999</v>
      </c>
      <c r="AK26" s="13">
        <f t="shared" si="35"/>
        <v>25.730851751939202</v>
      </c>
      <c r="AL26" s="20">
        <f t="shared" si="4"/>
        <v>210.0081668012941</v>
      </c>
      <c r="AM26" s="59">
        <f t="shared" si="5"/>
        <v>503.34150013462738</v>
      </c>
      <c r="AN26" s="59">
        <f ca="1">AVERAGE(OFFSET($AM$3,0,0,'Données projet'!$E$10+1,1))-AVERAGE(OFFSET($H$3,0,0,'Données projet'!$E$10+1,1))</f>
        <v>179.44051550872138</v>
      </c>
      <c r="AO26" s="59">
        <f t="shared" si="36"/>
        <v>272.9500808380069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15.764289292814199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15.764289292814199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20.658974358974358</v>
      </c>
      <c r="BD26" s="12">
        <f>IF('Données projet'!$A$88&gt;35,BD25+BC26-BL25,IF(A26&lt;'Données projet'!$A$88,$BA$205^A26,IF(A26='Données projet'!$A$88,'Données projet'!$B$88,BD25+BC26-BL25)))</f>
        <v>216.90256410256404</v>
      </c>
      <c r="BE26" s="13">
        <f>BD26*VLOOKUP('Données projet'!$B$11,Paramètres!$A$1:$I$89,3,0)*VLOOKUP('Données projet'!$B$11,Paramètres!$A$1:$I$89,5,0)</f>
        <v>121.2485333333333</v>
      </c>
      <c r="BF26" s="13">
        <f t="shared" si="37"/>
        <v>31.966023537079113</v>
      </c>
      <c r="BG26" s="20">
        <f t="shared" si="7"/>
        <v>266.84868654930165</v>
      </c>
      <c r="BH26" s="59">
        <f t="shared" si="8"/>
        <v>560.1820198826349</v>
      </c>
      <c r="BI26" s="59">
        <f ca="1">AVERAGE(OFFSET($BH$3,0,0,'Données projet'!$E$11+1,1))-AVERAGE(OFFSET($H$3,0,0,'Données projet'!$E$11+1,1))</f>
        <v>278.5296012747549</v>
      </c>
      <c r="BJ26" s="59">
        <f t="shared" si="38"/>
        <v>370.55343097937077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13.72171307888455</v>
      </c>
      <c r="BR26" s="21">
        <f>EXP(-LN(2)/2)*BR25+(1-EXP(-LN(2)/2))/(LN(2)/2)*BL26*BO26*VLOOKUP('Données projet'!$B$11,Paramètres!$A$1:$I$89,3,0)*0.475*44/12</f>
        <v>3.410843906498124</v>
      </c>
      <c r="BS26" s="22">
        <f t="shared" si="9"/>
        <v>17.132556985382674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12.6</v>
      </c>
      <c r="BY26" s="12">
        <f>IF('Données projet'!$A$114&gt;35,BY25+BX26-CG25,IF(A26&lt;'Données projet'!$A$114,$BV$205^A26,IF(A26='Données projet'!$A$114,'Données projet'!$B$114,BY25+BX26-CG25)))</f>
        <v>89.799999999999983</v>
      </c>
      <c r="BZ26" s="13">
        <f>BY26*VLOOKUP('Données projet'!$B$12,Paramètres!$A$1:$I$89,3,0)*VLOOKUP('Données projet'!$B$12,Paramètres!$A$1:$I$89,5,0)</f>
        <v>71.444879999999998</v>
      </c>
      <c r="CA26" s="13">
        <f t="shared" si="39"/>
        <v>20.03184442542841</v>
      </c>
      <c r="CB26" s="20">
        <f t="shared" si="10"/>
        <v>159.32196170762117</v>
      </c>
      <c r="CC26" s="59">
        <f t="shared" si="11"/>
        <v>452.65529504095446</v>
      </c>
      <c r="CD26" s="59">
        <f ca="1">AVERAGE(OFFSET($CC$3,0,0,'Données projet'!$E$12+1,1))-AVERAGE(OFFSET($H$3,0,0,'Données projet'!$E$12+1,1))</f>
        <v>225.2323446080772</v>
      </c>
      <c r="CE26" s="59">
        <f t="shared" si="40"/>
        <v>222.29030402759292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0</v>
      </c>
      <c r="CM26" s="21">
        <f>EXP(-LN(2)/2)*CM25+(1-EXP(-LN(2)/2))/(LN(2)/2)*CG26*CJ26*VLOOKUP('Données projet'!$B$12,Paramètres!$A$1:$I$89,3,0)*0.475*44/12</f>
        <v>0</v>
      </c>
      <c r="CN26" s="22">
        <f t="shared" si="12"/>
        <v>0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5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11.543999999999999</v>
      </c>
      <c r="D27" s="11">
        <f t="shared" si="32"/>
        <v>4.0017514182509002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120.00229164965606</v>
      </c>
      <c r="H27" s="67">
        <f t="shared" si="1"/>
        <v>320.40885038678698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10.26553846153846</v>
      </c>
      <c r="N27" s="13">
        <f>IF('Données projet'!$A$36&gt;35,N26+M27-V26,IF(A27&lt;'Données projet'!$A$36,$K$205^A27,IF(A27='Données projet'!$A$36,'Données projet'!$B$36,N26+M27-V26)))</f>
        <v>205.56485840759646</v>
      </c>
      <c r="O27" s="13">
        <f>N27*VLOOKUP('Données projet'!$B$9,Paramètres!$A$1:$I$89,3,0)*VLOOKUP('Données projet'!$B$9,Paramètres!$A$1:$I$89,5,0)</f>
        <v>98.876696894053907</v>
      </c>
      <c r="P27" s="13">
        <f t="shared" si="33"/>
        <v>26.694210383289317</v>
      </c>
      <c r="Q27" s="20">
        <f t="shared" si="2"/>
        <v>218.70266350803945</v>
      </c>
      <c r="R27" s="59">
        <f t="shared" si="0"/>
        <v>512.03599684137271</v>
      </c>
      <c r="S27" s="59">
        <f ca="1">AVERAGE(OFFSET($R$3,0,0,'Données projet'!$E$9+1,1))-AVERAGE(OFFSET($H$3,0,0,'Données projet'!$E$9+1,1))</f>
        <v>234.10156575337737</v>
      </c>
      <c r="T27" s="59">
        <f t="shared" si="34"/>
        <v>285.68635263076646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>
        <f>VLOOKUP(A27,'Données projet'!$A$61:$I$81,2,0)</f>
        <v>168</v>
      </c>
      <c r="AG27" s="12">
        <f>VLOOKUP(A27,'Données projet'!$A$61:$I$81,9,0)</f>
        <v>16</v>
      </c>
      <c r="AH27" s="12">
        <f t="array" ref="AH27">INDEX(AG:AG,MIN(IF(ISNUMBER(AG27:AG223),ROW(AG27:AG223),"")))</f>
        <v>16</v>
      </c>
      <c r="AI27" s="13">
        <f>IF('Données projet'!$A$62&gt;35,AI26+AH27-AQ26,IF(A27&lt;'Données projet'!$A$62,$AF$205^A27,IF(A27='Données projet'!$A$62,'Données projet'!$B$62,AI26+AH27-AQ26)))</f>
        <v>168</v>
      </c>
      <c r="AJ27" s="13">
        <f>AI27*VLOOKUP('Données projet'!$B$10,Paramètres!$A$1:$I$89,3,0)*VLOOKUP('Données projet'!$B$10,Paramètres!$A$1:$I$89,5,0)</f>
        <v>104.83200000000001</v>
      </c>
      <c r="AK27" s="13">
        <f t="shared" si="35"/>
        <v>28.109974371137717</v>
      </c>
      <c r="AL27" s="20">
        <f t="shared" si="4"/>
        <v>231.54060536306486</v>
      </c>
      <c r="AM27" s="59">
        <f t="shared" si="5"/>
        <v>524.87393869639823</v>
      </c>
      <c r="AN27" s="59">
        <f ca="1">AVERAGE(OFFSET($AM$3,0,0,'Données projet'!$E$10+1,1))-AVERAGE(OFFSET($H$3,0,0,'Données projet'!$E$10+1,1))</f>
        <v>179.44051550872138</v>
      </c>
      <c r="AO27" s="59">
        <f t="shared" si="36"/>
        <v>272.9500808380069</v>
      </c>
      <c r="AP27" s="15">
        <f>IF(ISNA(VLOOKUP(A27,'Données projet'!$A$61:$I$81,3,0)),0,VLOOKUP(A27,'Données projet'!$A$61:$I$81,3,0))</f>
        <v>3</v>
      </c>
      <c r="AQ27" s="15">
        <f>IF(ISNA(VLOOKUP(A27,'Données projet'!$A$61:$I$81,4,0)),0,VLOOKUP(A27,'Données projet'!$A$61:$I$81,4,0))</f>
        <v>29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0.48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26.810489914420231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26.810489914420231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>
        <f>VLOOKUP(A27,'Données projet'!$A$87:$I$107,2,0)</f>
        <v>237.56153846153845</v>
      </c>
      <c r="BB27" s="12">
        <f>VLOOKUP(A27,'Données projet'!$A$87:$I$107,9,0)</f>
        <v>20.658974358974358</v>
      </c>
      <c r="BC27" s="12">
        <f t="array" ref="BC27">INDEX(BB:BB,MIN(IF(ISNUMBER(BB27:BB223),ROW(BB27:BB223),"")))</f>
        <v>20.658974358974358</v>
      </c>
      <c r="BD27" s="12">
        <f>IF('Données projet'!$A$88&gt;35,BD26+BC27-BL26,IF(A27&lt;'Données projet'!$A$88,$BA$205^A27,IF(A27='Données projet'!$A$88,'Données projet'!$B$88,BD26+BC27-BL26)))</f>
        <v>237.56153846153839</v>
      </c>
      <c r="BE27" s="13">
        <f>BD27*VLOOKUP('Données projet'!$B$11,Paramètres!$A$1:$I$89,3,0)*VLOOKUP('Données projet'!$B$11,Paramètres!$A$1:$I$89,5,0)</f>
        <v>132.79689999999997</v>
      </c>
      <c r="BF27" s="13">
        <f t="shared" si="37"/>
        <v>34.641837967861036</v>
      </c>
      <c r="BG27" s="20">
        <f t="shared" si="7"/>
        <v>291.62246862735793</v>
      </c>
      <c r="BH27" s="59">
        <f t="shared" si="8"/>
        <v>584.95580196069125</v>
      </c>
      <c r="BI27" s="59">
        <f ca="1">AVERAGE(OFFSET($BH$3,0,0,'Données projet'!$E$11+1,1))-AVERAGE(OFFSET($H$3,0,0,'Données projet'!$E$11+1,1))</f>
        <v>278.5296012747549</v>
      </c>
      <c r="BJ27" s="59">
        <f t="shared" si="38"/>
        <v>370.55343097937077</v>
      </c>
      <c r="BK27" s="15">
        <f>IF(ISNA(VLOOKUP(A27,'Données projet'!$A$87:$I$107,3,0)),0,VLOOKUP(A27,'Données projet'!$A$87:$I$107,3,0))</f>
        <v>2</v>
      </c>
      <c r="BL27" s="15">
        <f>IF(ISNA(VLOOKUP(A27,'Données projet'!$A$87:$I$107,4,0)),0,VLOOKUP(A27,'Données projet'!$A$87:$I$107,4,0))</f>
        <v>42.661538461538463</v>
      </c>
      <c r="BM27" s="16">
        <f>IF(ISNA(VLOOKUP(A27,'Données projet'!$A$87:$I$107,5,0)),0%,VLOOKUP(A27,'Données projet'!$A$87:$I$107,5,0)*VLOOKUP('Données projet'!$B$11,Paramètres!$A$1:$I$89,7,0))</f>
        <v>0.38500000000000001</v>
      </c>
      <c r="BN27" s="16">
        <f>IF(ISNA(VLOOKUP(A27,'Données projet'!$A$87:$I$107,6,0)),0%,VLOOKUP(A27,'Données projet'!$A$87:$I$107,6,0)*VLOOKUP('Données projet'!$B$11,Paramètres!$A$1:$I$89,7,0))</f>
        <v>9.240000000000001E-2</v>
      </c>
      <c r="BO27" s="16">
        <f>IF(ISNA(VLOOKUP(A27,'Données projet'!$A$87:$I$107,7,0)),0%,VLOOKUP(A27,'Données projet'!$A$87:$I$107,7,0))</f>
        <v>0.13200000000000001</v>
      </c>
      <c r="BP27" s="21">
        <f>EXP(-LN(2)/35)*BP26+(1-EXP(-LN(2)/35))/(LN(2)/35)*BL27*BM27*VLOOKUP('Données projet'!$B$11,Paramètres!$A$1:$I$89,3,0)*0.475*44/12</f>
        <v>12.179722870865961</v>
      </c>
      <c r="BQ27" s="21">
        <f>EXP(-LN(2)/25)*BQ26+(1-EXP(-LN(2)/25))/(LN(2)/25)*Calculateur!BL27*Calculateur!BN27*VLOOKUP('Données projet'!$B$11,Paramètres!$A$1:$I$89,3,0)*0.475*44/12</f>
        <v>16.25811611180935</v>
      </c>
      <c r="BR27" s="21">
        <f>EXP(-LN(2)/2)*BR26+(1-EXP(-LN(2)/2))/(LN(2)/2)*BL27*BO27*VLOOKUP('Données projet'!$B$11,Paramètres!$A$1:$I$89,3,0)*0.475*44/12</f>
        <v>5.9759957746672558</v>
      </c>
      <c r="BS27" s="22">
        <f t="shared" si="9"/>
        <v>34.413834757342563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12.6</v>
      </c>
      <c r="BY27" s="12">
        <f>IF('Données projet'!$A$114&gt;35,BY26+BX27-CG26,IF(A27&lt;'Données projet'!$A$114,$BV$205^A27,IF(A27='Données projet'!$A$114,'Données projet'!$B$114,BY26+BX27-CG26)))</f>
        <v>102.39999999999998</v>
      </c>
      <c r="BZ27" s="13">
        <f>BY27*VLOOKUP('Données projet'!$B$12,Paramètres!$A$1:$I$89,3,0)*VLOOKUP('Données projet'!$B$12,Paramètres!$A$1:$I$89,5,0)</f>
        <v>81.469439999999992</v>
      </c>
      <c r="CA27" s="13">
        <f t="shared" si="39"/>
        <v>22.496088365195678</v>
      </c>
      <c r="CB27" s="20">
        <f t="shared" si="10"/>
        <v>181.07329523604912</v>
      </c>
      <c r="CC27" s="59">
        <f t="shared" si="11"/>
        <v>474.40662856938241</v>
      </c>
      <c r="CD27" s="59">
        <f ca="1">AVERAGE(OFFSET($CC$3,0,0,'Données projet'!$E$12+1,1))-AVERAGE(OFFSET($H$3,0,0,'Données projet'!$E$12+1,1))</f>
        <v>225.2323446080772</v>
      </c>
      <c r="CE27" s="59">
        <f t="shared" si="40"/>
        <v>222.29030402759292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0</v>
      </c>
      <c r="CM27" s="21">
        <f>EXP(-LN(2)/2)*CM26+(1-EXP(-LN(2)/2))/(LN(2)/2)*CG27*CJ27*VLOOKUP('Données projet'!$B$12,Paramètres!$A$1:$I$89,3,0)*0.475*44/12</f>
        <v>0</v>
      </c>
      <c r="CN27" s="22">
        <f t="shared" si="12"/>
        <v>0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5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12.024999999999999</v>
      </c>
      <c r="D28" s="11">
        <f t="shared" si="32"/>
        <v>4.1487307090142194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124.84985108712732</v>
      </c>
      <c r="H28" s="67">
        <f t="shared" si="1"/>
        <v>321.50258098486643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>
        <f>VLOOKUP(A28,'Données projet'!$A$35:$I$55,2,0)</f>
        <v>256.63846153846151</v>
      </c>
      <c r="L28" s="12">
        <f>VLOOKUP(A28,'Données projet'!$A$35:$I$55,9,0)</f>
        <v>10.26553846153846</v>
      </c>
      <c r="M28" s="12">
        <f t="array" ref="M28">INDEX(L:L,MIN(IF(ISNUMBER(L28:L224),ROW(L28:L224),"")))</f>
        <v>10.26553846153846</v>
      </c>
      <c r="N28" s="13">
        <f>IF('Données projet'!$A$36&gt;35,N27+M28-V27,IF(A28&lt;'Données projet'!$A$36,$K$205^A28,IF(A28='Données projet'!$A$36,'Données projet'!$B$36,N27+M28-V27)))</f>
        <v>256.63846153846151</v>
      </c>
      <c r="O28" s="13">
        <f>N28*VLOOKUP('Données projet'!$B$9,Paramètres!$A$1:$I$89,3,0)*VLOOKUP('Données projet'!$B$9,Paramètres!$A$1:$I$89,5,0)</f>
        <v>123.44309999999999</v>
      </c>
      <c r="P28" s="13">
        <f t="shared" si="33"/>
        <v>32.476718921776182</v>
      </c>
      <c r="Q28" s="20">
        <f t="shared" si="2"/>
        <v>271.56035128876016</v>
      </c>
      <c r="R28" s="59">
        <f t="shared" si="0"/>
        <v>564.89368462209347</v>
      </c>
      <c r="S28" s="59">
        <f ca="1">AVERAGE(OFFSET($R$3,0,0,'Données projet'!$E$9+1,1))-AVERAGE(OFFSET($H$3,0,0,'Données projet'!$E$9+1,1))</f>
        <v>234.10156575337737</v>
      </c>
      <c r="T28" s="59">
        <f t="shared" si="34"/>
        <v>285.68635263076646</v>
      </c>
      <c r="U28" s="15">
        <f>IF(ISNA(VLOOKUP(A28,'Données projet'!$A$35:$I$55,3,0)),0,VLOOKUP(A28,'Données projet'!$A$35:$I$55,3,0))</f>
        <v>1</v>
      </c>
      <c r="V28" s="15">
        <f>IF(ISNA(VLOOKUP(A28,'Données projet'!$A$35:$I$55,4,0)),0,VLOOKUP(A28,'Données projet'!$A$35:$I$55,4,0))</f>
        <v>67.207692307692312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0.44000000000000006</v>
      </c>
      <c r="Y28" s="16">
        <f>IF(ISNA(VLOOKUP(A28,'Données projet'!$A$35:$I$55,7,0)),0%,VLOOKUP(A28,'Données projet'!$A$35:$I$55,7,0))</f>
        <v>0.2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18.794541463602268</v>
      </c>
      <c r="AB28" s="21">
        <f>EXP(-LN(2)/2)*AB27+(1-EXP(-LN(2)/2))/(LN(2)/2)*V28*Y28*VLOOKUP('Données projet'!$B$9,Paramètres!$A$1:$I$89,3,0)*0.475*44/12</f>
        <v>7.3203120517816629</v>
      </c>
      <c r="AC28" s="22">
        <f t="shared" si="3"/>
        <v>26.114853515383931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14.166666666666666</v>
      </c>
      <c r="AI28" s="13">
        <f>IF('Données projet'!$A$62&gt;35,AI27+AH28-AQ27,IF(A28&lt;'Données projet'!$A$62,$AF$205^A28,IF(A28='Données projet'!$A$62,'Données projet'!$B$62,AI27+AH28-AQ27)))</f>
        <v>153.16666666666666</v>
      </c>
      <c r="AJ28" s="13">
        <f>AI28*VLOOKUP('Données projet'!$B$10,Paramètres!$A$1:$I$89,3,0)*VLOOKUP('Données projet'!$B$10,Paramètres!$A$1:$I$89,5,0)</f>
        <v>95.575999999999993</v>
      </c>
      <c r="AK28" s="13">
        <f t="shared" si="35"/>
        <v>25.905281107545633</v>
      </c>
      <c r="AL28" s="20">
        <f t="shared" si="4"/>
        <v>211.57989792897527</v>
      </c>
      <c r="AM28" s="59">
        <f t="shared" si="5"/>
        <v>504.91323126230861</v>
      </c>
      <c r="AN28" s="59">
        <f ca="1">AVERAGE(OFFSET($AM$3,0,0,'Données projet'!$E$10+1,1))-AVERAGE(OFFSET($H$3,0,0,'Données projet'!$E$10+1,1))</f>
        <v>179.44051550872138</v>
      </c>
      <c r="AO28" s="59">
        <f t="shared" si="36"/>
        <v>272.9500808380069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26.07735565780802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26.07735565780802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22.828205128205127</v>
      </c>
      <c r="BD28" s="12">
        <f>IF('Données projet'!$A$88&gt;35,BD27+BC28-BL27,IF(A28&lt;'Données projet'!$A$88,$BA$205^A28,IF(A28='Données projet'!$A$88,'Données projet'!$B$88,BD27+BC28-BL27)))</f>
        <v>217.72820512820502</v>
      </c>
      <c r="BE28" s="13">
        <f>BD28*VLOOKUP('Données projet'!$B$11,Paramètres!$A$1:$I$89,3,0)*VLOOKUP('Données projet'!$B$11,Paramètres!$A$1:$I$89,5,0)</f>
        <v>121.71006666666661</v>
      </c>
      <c r="BF28" s="13">
        <f t="shared" si="37"/>
        <v>32.073515207801002</v>
      </c>
      <c r="BG28" s="20">
        <f t="shared" si="7"/>
        <v>267.83973843136442</v>
      </c>
      <c r="BH28" s="59">
        <f t="shared" si="8"/>
        <v>561.17307176469774</v>
      </c>
      <c r="BI28" s="59">
        <f ca="1">AVERAGE(OFFSET($BH$3,0,0,'Données projet'!$E$11+1,1))-AVERAGE(OFFSET($H$3,0,0,'Données projet'!$E$11+1,1))</f>
        <v>278.5296012747549</v>
      </c>
      <c r="BJ28" s="59">
        <f t="shared" si="38"/>
        <v>370.55343097937077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11.940885934265687</v>
      </c>
      <c r="BQ28" s="21">
        <f>EXP(-LN(2)/25)*BQ27+(1-EXP(-LN(2)/25))/(LN(2)/25)*Calculateur!BL28*Calculateur!BN28*VLOOKUP('Données projet'!$B$11,Paramètres!$A$1:$I$89,3,0)*0.475*44/12</f>
        <v>15.813537071754755</v>
      </c>
      <c r="BR28" s="21">
        <f>EXP(-LN(2)/2)*BR27+(1-EXP(-LN(2)/2))/(LN(2)/2)*BL28*BO28*VLOOKUP('Données projet'!$B$11,Paramètres!$A$1:$I$89,3,0)*0.475*44/12</f>
        <v>4.2256671366093723</v>
      </c>
      <c r="BS28" s="22">
        <f t="shared" si="9"/>
        <v>31.980090142629813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>
        <f>VLOOKUP(A28,'Données projet'!$A$113:$I$133,2,0)</f>
        <v>115</v>
      </c>
      <c r="BW28" s="12">
        <f>VLOOKUP(A28,'Données projet'!$A$113:$I$133,9,0)</f>
        <v>12.6</v>
      </c>
      <c r="BX28" s="12">
        <f t="array" ref="BX28">INDEX(BW:BW,MIN(IF(ISNUMBER(BW28:BW224),ROW(BW28:BW224),"")))</f>
        <v>12.6</v>
      </c>
      <c r="BY28" s="12">
        <f>IF('Données projet'!$A$114&gt;35,BY27+BX28-CG27,IF(A28&lt;'Données projet'!$A$114,$BV$205^A28,IF(A28='Données projet'!$A$114,'Données projet'!$B$114,BY27+BX28-CG27)))</f>
        <v>114.99999999999997</v>
      </c>
      <c r="BZ28" s="13">
        <f>BY28*VLOOKUP('Données projet'!$B$12,Paramètres!$A$1:$I$89,3,0)*VLOOKUP('Données projet'!$B$12,Paramètres!$A$1:$I$89,5,0)</f>
        <v>91.493999999999986</v>
      </c>
      <c r="CA28" s="13">
        <f t="shared" si="39"/>
        <v>24.925195840896517</v>
      </c>
      <c r="CB28" s="20">
        <f t="shared" si="10"/>
        <v>202.76343275622807</v>
      </c>
      <c r="CC28" s="59">
        <f t="shared" si="11"/>
        <v>496.09676608956136</v>
      </c>
      <c r="CD28" s="59">
        <f ca="1">AVERAGE(OFFSET($CC$3,0,0,'Données projet'!$E$12+1,1))-AVERAGE(OFFSET($H$3,0,0,'Données projet'!$E$12+1,1))</f>
        <v>225.2323446080772</v>
      </c>
      <c r="CE28" s="59">
        <f t="shared" si="40"/>
        <v>222.29030402759292</v>
      </c>
      <c r="CF28" s="15">
        <f>IF(ISNA(VLOOKUP(A28,'Données projet'!$A$113:$I$133,3,0)),0,VLOOKUP(A28,'Données projet'!$A$113:$I$133,3,0))</f>
        <v>3</v>
      </c>
      <c r="CG28" s="15">
        <f>IF(ISNA(VLOOKUP(A28,'Données projet'!$A$113:$I$133,4,0)),0,VLOOKUP(A28,'Données projet'!$A$113:$I$133,4,0))</f>
        <v>28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3.7100000000000008E-2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0.91003997042672546</v>
      </c>
      <c r="CM28" s="21">
        <f>EXP(-LN(2)/2)*CM27+(1-EXP(-LN(2)/2))/(LN(2)/2)*CG28*CJ28*VLOOKUP('Données projet'!$B$12,Paramètres!$A$1:$I$89,3,0)*0.475*44/12</f>
        <v>0</v>
      </c>
      <c r="CN28" s="22">
        <f t="shared" si="12"/>
        <v>0.91003997042672546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5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12.505999999999998</v>
      </c>
      <c r="D29" s="11">
        <f t="shared" si="32"/>
        <v>4.2950270625211857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129.69213872823372</v>
      </c>
      <c r="H29" s="67">
        <f t="shared" si="1"/>
        <v>322.59512213389104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22.707692307692298</v>
      </c>
      <c r="N29" s="13">
        <f>IF('Données projet'!$A$36&gt;35,N28+M29-V28,IF(A29&lt;'Données projet'!$A$36,$K$205^A29,IF(A29='Données projet'!$A$36,'Données projet'!$B$36,N28+M29-V28)))</f>
        <v>212.13846153846151</v>
      </c>
      <c r="O29" s="13">
        <f>N29*VLOOKUP('Données projet'!$B$9,Paramètres!$A$1:$I$89,3,0)*VLOOKUP('Données projet'!$B$9,Paramètres!$A$1:$I$89,5,0)</f>
        <v>102.03859999999999</v>
      </c>
      <c r="P29" s="13">
        <f t="shared" si="33"/>
        <v>27.447093983050333</v>
      </c>
      <c r="Q29" s="20">
        <f t="shared" si="2"/>
        <v>225.52091702047929</v>
      </c>
      <c r="R29" s="59">
        <f t="shared" si="0"/>
        <v>518.85425035381263</v>
      </c>
      <c r="S29" s="59">
        <f ca="1">AVERAGE(OFFSET($R$3,0,0,'Données projet'!$E$9+1,1))-AVERAGE(OFFSET($H$3,0,0,'Données projet'!$E$9+1,1))</f>
        <v>234.10156575337737</v>
      </c>
      <c r="T29" s="59">
        <f t="shared" si="34"/>
        <v>285.68635263076646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18.280603738918085</v>
      </c>
      <c r="AB29" s="21">
        <f>EXP(-LN(2)/2)*AB28+(1-EXP(-LN(2)/2))/(LN(2)/2)*V29*Y29*VLOOKUP('Données projet'!$B$9,Paramètres!$A$1:$I$89,3,0)*0.475*44/12</f>
        <v>5.1762422922164237</v>
      </c>
      <c r="AC29" s="22">
        <f t="shared" si="3"/>
        <v>23.456846031134511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14.166666666666666</v>
      </c>
      <c r="AI29" s="13">
        <f>IF('Données projet'!$A$62&gt;35,AI28+AH29-AQ28,IF(A29&lt;'Données projet'!$A$62,$AF$205^A29,IF(A29='Données projet'!$A$62,'Données projet'!$B$62,AI28+AH29-AQ28)))</f>
        <v>167.33333333333331</v>
      </c>
      <c r="AJ29" s="13">
        <f>AI29*VLOOKUP('Données projet'!$B$10,Paramètres!$A$1:$I$89,3,0)*VLOOKUP('Données projet'!$B$10,Paramètres!$A$1:$I$89,5,0)</f>
        <v>104.416</v>
      </c>
      <c r="AK29" s="13">
        <f t="shared" si="35"/>
        <v>28.01138818767625</v>
      </c>
      <c r="AL29" s="20">
        <f t="shared" si="4"/>
        <v>230.64436776020281</v>
      </c>
      <c r="AM29" s="59">
        <f t="shared" si="5"/>
        <v>523.9777010935361</v>
      </c>
      <c r="AN29" s="59">
        <f ca="1">AVERAGE(OFFSET($AM$3,0,0,'Données projet'!$E$10+1,1))-AVERAGE(OFFSET($H$3,0,0,'Données projet'!$E$10+1,1))</f>
        <v>179.44051550872138</v>
      </c>
      <c r="AO29" s="59">
        <f t="shared" si="36"/>
        <v>272.9500808380069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25.364268995996728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25.364268995996728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22.828205128205127</v>
      </c>
      <c r="BD29" s="12">
        <f>IF('Données projet'!$A$88&gt;35,BD28+BC29-BL28,IF(A29&lt;'Données projet'!$A$88,$BA$205^A29,IF(A29='Données projet'!$A$88,'Données projet'!$B$88,BD28+BC29-BL28)))</f>
        <v>240.55641025641015</v>
      </c>
      <c r="BE29" s="13">
        <f>BD29*VLOOKUP('Données projet'!$B$11,Paramètres!$A$1:$I$89,3,0)*VLOOKUP('Données projet'!$B$11,Paramètres!$A$1:$I$89,5,0)</f>
        <v>134.47103333333328</v>
      </c>
      <c r="BF29" s="13">
        <f t="shared" si="37"/>
        <v>35.027441907439481</v>
      </c>
      <c r="BG29" s="20">
        <f t="shared" si="7"/>
        <v>295.20984437767919</v>
      </c>
      <c r="BH29" s="59">
        <f t="shared" si="8"/>
        <v>588.5431777110125</v>
      </c>
      <c r="BI29" s="59">
        <f ca="1">AVERAGE(OFFSET($BH$3,0,0,'Données projet'!$E$11+1,1))-AVERAGE(OFFSET($H$3,0,0,'Données projet'!$E$11+1,1))</f>
        <v>278.5296012747549</v>
      </c>
      <c r="BJ29" s="59">
        <f t="shared" si="38"/>
        <v>370.55343097937077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11.706732444315998</v>
      </c>
      <c r="BQ29" s="21">
        <f>EXP(-LN(2)/25)*BQ28+(1-EXP(-LN(2)/25))/(LN(2)/25)*Calculateur!BL29*Calculateur!BN29*VLOOKUP('Données projet'!$B$11,Paramètres!$A$1:$I$89,3,0)*0.475*44/12</f>
        <v>15.38111506892985</v>
      </c>
      <c r="BR29" s="21">
        <f>EXP(-LN(2)/2)*BR28+(1-EXP(-LN(2)/2))/(LN(2)/2)*BL29*BO29*VLOOKUP('Données projet'!$B$11,Paramètres!$A$1:$I$89,3,0)*0.475*44/12</f>
        <v>2.9879978873336284</v>
      </c>
      <c r="BS29" s="22">
        <f t="shared" si="9"/>
        <v>30.075845400579475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11.8</v>
      </c>
      <c r="BY29" s="12">
        <f>IF('Données projet'!$A$114&gt;35,BY28+BX29-CG28,IF(A29&lt;'Données projet'!$A$114,$BV$205^A29,IF(A29='Données projet'!$A$114,'Données projet'!$B$114,BY28+BX29-CG28)))</f>
        <v>98.799999999999969</v>
      </c>
      <c r="BZ29" s="13">
        <f>BY29*VLOOKUP('Données projet'!$B$12,Paramètres!$A$1:$I$89,3,0)*VLOOKUP('Données projet'!$B$12,Paramètres!$A$1:$I$89,5,0)</f>
        <v>78.605279999999979</v>
      </c>
      <c r="CA29" s="13">
        <f t="shared" si="39"/>
        <v>21.795819556945734</v>
      </c>
      <c r="CB29" s="20">
        <f t="shared" si="10"/>
        <v>174.86524839501377</v>
      </c>
      <c r="CC29" s="59">
        <f t="shared" si="11"/>
        <v>468.19858172834711</v>
      </c>
      <c r="CD29" s="59">
        <f ca="1">AVERAGE(OFFSET($CC$3,0,0,'Données projet'!$E$12+1,1))-AVERAGE(OFFSET($H$3,0,0,'Données projet'!$E$12+1,1))</f>
        <v>225.2323446080772</v>
      </c>
      <c r="CE29" s="59">
        <f t="shared" si="40"/>
        <v>222.29030402759292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0.88515487957848449</v>
      </c>
      <c r="CM29" s="21">
        <f>EXP(-LN(2)/2)*CM28+(1-EXP(-LN(2)/2))/(LN(2)/2)*CG29*CJ29*VLOOKUP('Données projet'!$B$12,Paramètres!$A$1:$I$89,3,0)*0.475*44/12</f>
        <v>0</v>
      </c>
      <c r="CN29" s="22">
        <f t="shared" si="12"/>
        <v>0.88515487957848449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5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12.986999999999998</v>
      </c>
      <c r="D30" s="11">
        <f t="shared" si="32"/>
        <v>4.4406697522000558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134.52938054329866</v>
      </c>
      <c r="H30" s="67">
        <f t="shared" si="1"/>
        <v>323.68652481841508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22.707692307692298</v>
      </c>
      <c r="N30" s="13">
        <f>IF('Données projet'!$A$36&gt;35,N29+M30-V29,IF(A30&lt;'Données projet'!$A$36,$K$205^A30,IF(A30='Données projet'!$A$36,'Données projet'!$B$36,N29+M30-V29)))</f>
        <v>234.84615384615381</v>
      </c>
      <c r="O30" s="13">
        <f>N30*VLOOKUP('Données projet'!$B$9,Paramètres!$A$1:$I$89,3,0)*VLOOKUP('Données projet'!$B$9,Paramètres!$A$1:$I$89,5,0)</f>
        <v>112.96099999999998</v>
      </c>
      <c r="P30" s="13">
        <f t="shared" si="33"/>
        <v>30.027537121155003</v>
      </c>
      <c r="Q30" s="20">
        <f t="shared" si="2"/>
        <v>249.03836881934498</v>
      </c>
      <c r="R30" s="59">
        <f t="shared" si="0"/>
        <v>542.37170215267827</v>
      </c>
      <c r="S30" s="59">
        <f ca="1">AVERAGE(OFFSET($R$3,0,0,'Données projet'!$E$9+1,1))-AVERAGE(OFFSET($H$3,0,0,'Données projet'!$E$9+1,1))</f>
        <v>234.10156575337737</v>
      </c>
      <c r="T30" s="59">
        <f t="shared" si="34"/>
        <v>285.68635263076646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17.780719668342201</v>
      </c>
      <c r="AB30" s="21">
        <f>EXP(-LN(2)/2)*AB29+(1-EXP(-LN(2)/2))/(LN(2)/2)*V30*Y30*VLOOKUP('Données projet'!$B$9,Paramètres!$A$1:$I$89,3,0)*0.475*44/12</f>
        <v>3.6601560258908323</v>
      </c>
      <c r="AC30" s="22">
        <f t="shared" si="3"/>
        <v>21.440875694233032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14.166666666666666</v>
      </c>
      <c r="AI30" s="13">
        <f>IF('Données projet'!$A$62&gt;35,AI29+AH30-AQ29,IF(A30&lt;'Données projet'!$A$62,$AF$205^A30,IF(A30='Données projet'!$A$62,'Données projet'!$B$62,AI29+AH30-AQ29)))</f>
        <v>181.49999999999997</v>
      </c>
      <c r="AJ30" s="13">
        <f>AI30*VLOOKUP('Données projet'!$B$10,Paramètres!$A$1:$I$89,3,0)*VLOOKUP('Données projet'!$B$10,Paramètres!$A$1:$I$89,5,0)</f>
        <v>113.25599999999997</v>
      </c>
      <c r="AK30" s="13">
        <f t="shared" si="35"/>
        <v>30.096816336106439</v>
      </c>
      <c r="AL30" s="20">
        <f t="shared" si="4"/>
        <v>249.67282178538531</v>
      </c>
      <c r="AM30" s="59">
        <f t="shared" si="5"/>
        <v>543.00615511871865</v>
      </c>
      <c r="AN30" s="59">
        <f ca="1">AVERAGE(OFFSET($AM$3,0,0,'Données projet'!$E$10+1,1))-AVERAGE(OFFSET($H$3,0,0,'Données projet'!$E$10+1,1))</f>
        <v>179.44051550872138</v>
      </c>
      <c r="AO30" s="59">
        <f t="shared" si="36"/>
        <v>272.9500808380069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24.670681726452262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24.670681726452262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22.828205128205127</v>
      </c>
      <c r="BD30" s="12">
        <f>IF('Données projet'!$A$88&gt;35,BD29+BC30-BL29,IF(A30&lt;'Données projet'!$A$88,$BA$205^A30,IF(A30='Données projet'!$A$88,'Données projet'!$B$88,BD29+BC30-BL29)))</f>
        <v>263.38461538461524</v>
      </c>
      <c r="BE30" s="13">
        <f>BD30*VLOOKUP('Données projet'!$B$11,Paramètres!$A$1:$I$89,3,0)*VLOOKUP('Données projet'!$B$11,Paramètres!$A$1:$I$89,5,0)</f>
        <v>147.23199999999994</v>
      </c>
      <c r="BF30" s="13">
        <f t="shared" si="37"/>
        <v>37.948867426510738</v>
      </c>
      <c r="BG30" s="20">
        <f t="shared" si="7"/>
        <v>322.52334410117277</v>
      </c>
      <c r="BH30" s="59">
        <f t="shared" si="8"/>
        <v>615.85667743450608</v>
      </c>
      <c r="BI30" s="59">
        <f ca="1">AVERAGE(OFFSET($BH$3,0,0,'Données projet'!$E$11+1,1))-AVERAGE(OFFSET($H$3,0,0,'Données projet'!$E$11+1,1))</f>
        <v>278.5296012747549</v>
      </c>
      <c r="BJ30" s="59">
        <f t="shared" si="38"/>
        <v>370.55343097937077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11.477170561484696</v>
      </c>
      <c r="BQ30" s="21">
        <f>EXP(-LN(2)/25)*BQ29+(1-EXP(-LN(2)/25))/(LN(2)/25)*Calculateur!BL30*Calculateur!BN30*VLOOKUP('Données projet'!$B$11,Paramètres!$A$1:$I$89,3,0)*0.475*44/12</f>
        <v>14.960517668512276</v>
      </c>
      <c r="BR30" s="21">
        <f>EXP(-LN(2)/2)*BR29+(1-EXP(-LN(2)/2))/(LN(2)/2)*BL30*BO30*VLOOKUP('Données projet'!$B$11,Paramètres!$A$1:$I$89,3,0)*0.475*44/12</f>
        <v>2.1128335683046862</v>
      </c>
      <c r="BS30" s="22">
        <f t="shared" si="9"/>
        <v>28.550521798301659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11.8</v>
      </c>
      <c r="BY30" s="12">
        <f>IF('Données projet'!$A$114&gt;35,BY29+BX30-CG29,IF(A30&lt;'Données projet'!$A$114,$BV$205^A30,IF(A30='Données projet'!$A$114,'Données projet'!$B$114,BY29+BX30-CG29)))</f>
        <v>110.59999999999997</v>
      </c>
      <c r="BZ30" s="13">
        <f>BY30*VLOOKUP('Données projet'!$B$12,Paramètres!$A$1:$I$89,3,0)*VLOOKUP('Données projet'!$B$12,Paramètres!$A$1:$I$89,5,0)</f>
        <v>87.993359999999981</v>
      </c>
      <c r="CA30" s="13">
        <f t="shared" si="39"/>
        <v>24.080638481970816</v>
      </c>
      <c r="CB30" s="20">
        <f t="shared" si="10"/>
        <v>195.19554735609913</v>
      </c>
      <c r="CC30" s="59">
        <f t="shared" si="11"/>
        <v>488.52888068943241</v>
      </c>
      <c r="CD30" s="59">
        <f ca="1">AVERAGE(OFFSET($CC$3,0,0,'Données projet'!$E$12+1,1))-AVERAGE(OFFSET($H$3,0,0,'Données projet'!$E$12+1,1))</f>
        <v>225.2323446080772</v>
      </c>
      <c r="CE30" s="59">
        <f t="shared" si="40"/>
        <v>222.29030402759292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0.86095027284813874</v>
      </c>
      <c r="CM30" s="21">
        <f>EXP(-LN(2)/2)*CM29+(1-EXP(-LN(2)/2))/(LN(2)/2)*CG30*CJ30*VLOOKUP('Données projet'!$B$12,Paramètres!$A$1:$I$89,3,0)*0.475*44/12</f>
        <v>0</v>
      </c>
      <c r="CN30" s="22">
        <f t="shared" si="12"/>
        <v>0.86095027284813874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5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13.467999999999998</v>
      </c>
      <c r="D31" s="11">
        <f t="shared" si="32"/>
        <v>4.5856857602159096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139.36178481570172</v>
      </c>
      <c r="H31" s="67">
        <f t="shared" si="1"/>
        <v>324.77683603237602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22.707692307692298</v>
      </c>
      <c r="N31" s="13">
        <f>IF('Données projet'!$A$36&gt;35,N30+M31-V30,IF(A31&lt;'Données projet'!$A$36,$K$205^A31,IF(A31='Données projet'!$A$36,'Données projet'!$B$36,N30+M31-V30)))</f>
        <v>257.55384615384611</v>
      </c>
      <c r="O31" s="13">
        <f>N31*VLOOKUP('Données projet'!$B$9,Paramètres!$A$1:$I$89,3,0)*VLOOKUP('Données projet'!$B$9,Paramètres!$A$1:$I$89,5,0)</f>
        <v>123.88339999999998</v>
      </c>
      <c r="P31" s="13">
        <f t="shared" si="33"/>
        <v>32.579052856965049</v>
      </c>
      <c r="Q31" s="20">
        <f t="shared" si="2"/>
        <v>272.50543872588077</v>
      </c>
      <c r="R31" s="59">
        <f t="shared" si="0"/>
        <v>565.83877205921408</v>
      </c>
      <c r="S31" s="59">
        <f ca="1">AVERAGE(OFFSET($R$3,0,0,'Données projet'!$E$9+1,1))-AVERAGE(OFFSET($H$3,0,0,'Données projet'!$E$9+1,1))</f>
        <v>234.10156575337737</v>
      </c>
      <c r="T31" s="59">
        <f t="shared" si="34"/>
        <v>285.68635263076646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17.294504953963973</v>
      </c>
      <c r="AB31" s="21">
        <f>EXP(-LN(2)/2)*AB30+(1-EXP(-LN(2)/2))/(LN(2)/2)*V31*Y31*VLOOKUP('Données projet'!$B$9,Paramètres!$A$1:$I$89,3,0)*0.475*44/12</f>
        <v>2.5881211461082123</v>
      </c>
      <c r="AC31" s="22">
        <f t="shared" si="3"/>
        <v>19.882626100072184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14.166666666666666</v>
      </c>
      <c r="AI31" s="13">
        <f>IF('Données projet'!$A$62&gt;35,AI30+AH31-AQ30,IF(A31&lt;'Données projet'!$A$62,$AF$205^A31,IF(A31='Données projet'!$A$62,'Données projet'!$B$62,AI30+AH31-AQ30)))</f>
        <v>195.66666666666663</v>
      </c>
      <c r="AJ31" s="13">
        <f>AI31*VLOOKUP('Données projet'!$B$10,Paramètres!$A$1:$I$89,3,0)*VLOOKUP('Données projet'!$B$10,Paramètres!$A$1:$I$89,5,0)</f>
        <v>122.09599999999998</v>
      </c>
      <c r="AK31" s="13">
        <f t="shared" si="35"/>
        <v>32.163363121463028</v>
      </c>
      <c r="AL31" s="20">
        <f t="shared" si="4"/>
        <v>268.6683907698814</v>
      </c>
      <c r="AM31" s="59">
        <f t="shared" si="5"/>
        <v>562.00172410321466</v>
      </c>
      <c r="AN31" s="59">
        <f ca="1">AVERAGE(OFFSET($AM$3,0,0,'Données projet'!$E$10+1,1))-AVERAGE(OFFSET($H$3,0,0,'Données projet'!$E$10+1,1))</f>
        <v>179.44051550872138</v>
      </c>
      <c r="AO31" s="59">
        <f t="shared" si="36"/>
        <v>272.9500808380069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23.996060637267657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23.996060637267657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22.828205128205127</v>
      </c>
      <c r="BD31" s="12">
        <f>IF('Données projet'!$A$88&gt;35,BD30+BC31-BL30,IF(A31&lt;'Données projet'!$A$88,$BA$205^A31,IF(A31='Données projet'!$A$88,'Données projet'!$B$88,BD30+BC31-BL30)))</f>
        <v>286.21282051282037</v>
      </c>
      <c r="BE31" s="13">
        <f>BD31*VLOOKUP('Données projet'!$B$11,Paramètres!$A$1:$I$89,3,0)*VLOOKUP('Données projet'!$B$11,Paramètres!$A$1:$I$89,5,0)</f>
        <v>159.99296666666658</v>
      </c>
      <c r="BF31" s="13">
        <f t="shared" si="37"/>
        <v>40.840929014671453</v>
      </c>
      <c r="BG31" s="20">
        <f t="shared" si="7"/>
        <v>349.785701644997</v>
      </c>
      <c r="BH31" s="59">
        <f t="shared" si="8"/>
        <v>643.11903497833032</v>
      </c>
      <c r="BI31" s="59">
        <f ca="1">AVERAGE(OFFSET($BH$3,0,0,'Données projet'!$E$11+1,1))-AVERAGE(OFFSET($H$3,0,0,'Données projet'!$E$11+1,1))</f>
        <v>278.5296012747549</v>
      </c>
      <c r="BJ31" s="59">
        <f t="shared" si="38"/>
        <v>370.55343097937077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11.252110247156793</v>
      </c>
      <c r="BQ31" s="21">
        <f>EXP(-LN(2)/25)*BQ30+(1-EXP(-LN(2)/25))/(LN(2)/25)*Calculateur!BL31*Calculateur!BN31*VLOOKUP('Données projet'!$B$11,Paramètres!$A$1:$I$89,3,0)*0.475*44/12</f>
        <v>14.551421526127376</v>
      </c>
      <c r="BR31" s="21">
        <f>EXP(-LN(2)/2)*BR30+(1-EXP(-LN(2)/2))/(LN(2)/2)*BL31*BO31*VLOOKUP('Données projet'!$B$11,Paramètres!$A$1:$I$89,3,0)*0.475*44/12</f>
        <v>1.4939989436668142</v>
      </c>
      <c r="BS31" s="22">
        <f t="shared" si="9"/>
        <v>27.297530716950984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11.8</v>
      </c>
      <c r="BY31" s="12">
        <f>IF('Données projet'!$A$114&gt;35,BY30+BX31-CG30,IF(A31&lt;'Données projet'!$A$114,$BV$205^A31,IF(A31='Données projet'!$A$114,'Données projet'!$B$114,BY30+BX31-CG30)))</f>
        <v>122.39999999999996</v>
      </c>
      <c r="BZ31" s="13">
        <f>BY31*VLOOKUP('Données projet'!$B$12,Paramètres!$A$1:$I$89,3,0)*VLOOKUP('Données projet'!$B$12,Paramètres!$A$1:$I$89,5,0)</f>
        <v>97.381439999999984</v>
      </c>
      <c r="CA31" s="13">
        <f t="shared" si="39"/>
        <v>26.337201615555198</v>
      </c>
      <c r="CB31" s="20">
        <f t="shared" si="10"/>
        <v>215.47663414709197</v>
      </c>
      <c r="CC31" s="59">
        <f t="shared" si="11"/>
        <v>508.80996748042526</v>
      </c>
      <c r="CD31" s="59">
        <f ca="1">AVERAGE(OFFSET($CC$3,0,0,'Données projet'!$E$12+1,1))-AVERAGE(OFFSET($H$3,0,0,'Données projet'!$E$12+1,1))</f>
        <v>225.2323446080772</v>
      </c>
      <c r="CE31" s="59">
        <f t="shared" si="40"/>
        <v>222.29030402759292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0.83740754236169923</v>
      </c>
      <c r="CM31" s="21">
        <f>EXP(-LN(2)/2)*CM30+(1-EXP(-LN(2)/2))/(LN(2)/2)*CG31*CJ31*VLOOKUP('Données projet'!$B$12,Paramètres!$A$1:$I$89,3,0)*0.475*44/12</f>
        <v>0</v>
      </c>
      <c r="CN31" s="22">
        <f t="shared" si="12"/>
        <v>0.83740754236169923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5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13.948999999999998</v>
      </c>
      <c r="D32" s="11">
        <f t="shared" si="32"/>
        <v>4.7301000321811131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144.18954410806472</v>
      </c>
      <c r="H32" s="67">
        <f t="shared" si="1"/>
        <v>325.86609922271543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22.707692307692298</v>
      </c>
      <c r="N32" s="13">
        <f>IF('Données projet'!$A$36&gt;35,N31+M32-V31,IF(A32&lt;'Données projet'!$A$36,$K$205^A32,IF(A32='Données projet'!$A$36,'Données projet'!$B$36,N31+M32-V31)))</f>
        <v>280.26153846153841</v>
      </c>
      <c r="O32" s="13">
        <f>N32*VLOOKUP('Données projet'!$B$9,Paramètres!$A$1:$I$89,3,0)*VLOOKUP('Données projet'!$B$9,Paramètres!$A$1:$I$89,5,0)</f>
        <v>134.80579999999998</v>
      </c>
      <c r="P32" s="13">
        <f t="shared" si="33"/>
        <v>35.104481632369925</v>
      </c>
      <c r="Q32" s="20">
        <f t="shared" si="2"/>
        <v>295.92707384304424</v>
      </c>
      <c r="R32" s="59">
        <f t="shared" si="0"/>
        <v>589.26040717637761</v>
      </c>
      <c r="S32" s="59">
        <f ca="1">AVERAGE(OFFSET($R$3,0,0,'Données projet'!$E$9+1,1))-AVERAGE(OFFSET($H$3,0,0,'Données projet'!$E$9+1,1))</f>
        <v>234.10156575337737</v>
      </c>
      <c r="T32" s="59">
        <f t="shared" si="34"/>
        <v>285.68635263076646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16.821585806519341</v>
      </c>
      <c r="AB32" s="21">
        <f>EXP(-LN(2)/2)*AB31+(1-EXP(-LN(2)/2))/(LN(2)/2)*V32*Y32*VLOOKUP('Données projet'!$B$9,Paramètres!$A$1:$I$89,3,0)*0.475*44/12</f>
        <v>1.8300780129454164</v>
      </c>
      <c r="AC32" s="22">
        <f t="shared" si="3"/>
        <v>18.651663819464758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14.166666666666666</v>
      </c>
      <c r="AI32" s="13">
        <f>IF('Données projet'!$A$62&gt;35,AI31+AH32-AQ31,IF(A32&lt;'Données projet'!$A$62,$AF$205^A32,IF(A32='Données projet'!$A$62,'Données projet'!$B$62,AI31+AH32-AQ31)))</f>
        <v>209.83333333333329</v>
      </c>
      <c r="AJ32" s="13">
        <f>AI32*VLOOKUP('Données projet'!$B$10,Paramètres!$A$1:$I$89,3,0)*VLOOKUP('Données projet'!$B$10,Paramètres!$A$1:$I$89,5,0)</f>
        <v>130.93599999999998</v>
      </c>
      <c r="AK32" s="13">
        <f t="shared" si="35"/>
        <v>34.21255106176632</v>
      </c>
      <c r="AL32" s="20">
        <f t="shared" si="4"/>
        <v>287.63372643257628</v>
      </c>
      <c r="AM32" s="59">
        <f t="shared" si="5"/>
        <v>580.96705976590965</v>
      </c>
      <c r="AN32" s="59">
        <f ca="1">AVERAGE(OFFSET($AM$3,0,0,'Données projet'!$E$10+1,1))-AVERAGE(OFFSET($H$3,0,0,'Données projet'!$E$10+1,1))</f>
        <v>179.44051550872138</v>
      </c>
      <c r="AO32" s="59">
        <f t="shared" si="36"/>
        <v>272.9500808380069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23.339887097243587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23.339887097243587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22.828205128205127</v>
      </c>
      <c r="BD32" s="12">
        <f>IF('Données projet'!$A$88&gt;35,BD31+BC32-BL31,IF(A32&lt;'Données projet'!$A$88,$BA$205^A32,IF(A32='Données projet'!$A$88,'Données projet'!$B$88,BD31+BC32-BL31)))</f>
        <v>309.0410256410255</v>
      </c>
      <c r="BE32" s="13">
        <f>BD32*VLOOKUP('Données projet'!$B$11,Paramètres!$A$1:$I$89,3,0)*VLOOKUP('Données projet'!$B$11,Paramètres!$A$1:$I$89,5,0)</f>
        <v>172.75393333333326</v>
      </c>
      <c r="BF32" s="13">
        <f t="shared" si="37"/>
        <v>43.706234996805463</v>
      </c>
      <c r="BG32" s="20">
        <f t="shared" si="7"/>
        <v>377.00145984165829</v>
      </c>
      <c r="BH32" s="59">
        <f t="shared" si="8"/>
        <v>670.33479317499155</v>
      </c>
      <c r="BI32" s="59">
        <f ca="1">AVERAGE(OFFSET($BH$3,0,0,'Données projet'!$E$11+1,1))-AVERAGE(OFFSET($H$3,0,0,'Données projet'!$E$11+1,1))</f>
        <v>278.5296012747549</v>
      </c>
      <c r="BJ32" s="59">
        <f t="shared" si="38"/>
        <v>370.55343097937077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11.031463228319623</v>
      </c>
      <c r="BQ32" s="21">
        <f>EXP(-LN(2)/25)*BQ31+(1-EXP(-LN(2)/25))/(LN(2)/25)*Calculateur!BL32*Calculateur!BN32*VLOOKUP('Données projet'!$B$11,Paramètres!$A$1:$I$89,3,0)*0.475*44/12</f>
        <v>14.153512139269422</v>
      </c>
      <c r="BR32" s="21">
        <f>EXP(-LN(2)/2)*BR31+(1-EXP(-LN(2)/2))/(LN(2)/2)*BL32*BO32*VLOOKUP('Données projet'!$B$11,Paramètres!$A$1:$I$89,3,0)*0.475*44/12</f>
        <v>1.0564167841523431</v>
      </c>
      <c r="BS32" s="22">
        <f t="shared" si="9"/>
        <v>26.24139215174139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11.8</v>
      </c>
      <c r="BY32" s="12">
        <f>IF('Données projet'!$A$114&gt;35,BY31+BX32-CG31,IF(A32&lt;'Données projet'!$A$114,$BV$205^A32,IF(A32='Données projet'!$A$114,'Données projet'!$B$114,BY31+BX32-CG31)))</f>
        <v>134.19999999999996</v>
      </c>
      <c r="BZ32" s="13">
        <f>BY32*VLOOKUP('Données projet'!$B$12,Paramètres!$A$1:$I$89,3,0)*VLOOKUP('Données projet'!$B$12,Paramètres!$A$1:$I$89,5,0)</f>
        <v>106.76951999999997</v>
      </c>
      <c r="CA32" s="13">
        <f t="shared" si="39"/>
        <v>28.568542914630683</v>
      </c>
      <c r="CB32" s="20">
        <f t="shared" si="10"/>
        <v>235.71379290964839</v>
      </c>
      <c r="CC32" s="59">
        <f t="shared" si="11"/>
        <v>529.04712624298168</v>
      </c>
      <c r="CD32" s="59">
        <f ca="1">AVERAGE(OFFSET($CC$3,0,0,'Données projet'!$E$12+1,1))-AVERAGE(OFFSET($H$3,0,0,'Données projet'!$E$12+1,1))</f>
        <v>225.2323446080772</v>
      </c>
      <c r="CE32" s="59">
        <f t="shared" si="40"/>
        <v>222.29030402759292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0.81450858907846979</v>
      </c>
      <c r="CM32" s="21">
        <f>EXP(-LN(2)/2)*CM31+(1-EXP(-LN(2)/2))/(LN(2)/2)*CG32*CJ32*VLOOKUP('Données projet'!$B$12,Paramètres!$A$1:$I$89,3,0)*0.475*44/12</f>
        <v>0</v>
      </c>
      <c r="CN32" s="22">
        <f t="shared" si="12"/>
        <v>0.81450858907846979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5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14.429999999999998</v>
      </c>
      <c r="D33" s="11">
        <f t="shared" si="32"/>
        <v>4.8739356957462956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149.01283694962049</v>
      </c>
      <c r="H33" s="67">
        <f t="shared" si="1"/>
        <v>326.95435467009145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302.96923076923071</v>
      </c>
      <c r="L33" s="12">
        <f>VLOOKUP(A33,'Données projet'!$A$35:$I$55,9,0)</f>
        <v>22.707692307692298</v>
      </c>
      <c r="M33" s="12">
        <f t="array" ref="M33">INDEX(L:L,MIN(IF(ISNUMBER(L33:L229),ROW(L33:L229),"")))</f>
        <v>22.707692307692298</v>
      </c>
      <c r="N33" s="13">
        <f>IF('Données projet'!$A$36&gt;35,N32+M33-V32,IF(A33&lt;'Données projet'!$A$36,$K$205^A33,IF(A33='Données projet'!$A$36,'Données projet'!$B$36,N32+M33-V32)))</f>
        <v>302.96923076923071</v>
      </c>
      <c r="O33" s="13">
        <f>N33*VLOOKUP('Données projet'!$B$9,Paramètres!$A$1:$I$89,3,0)*VLOOKUP('Données projet'!$B$9,Paramètres!$A$1:$I$89,5,0)</f>
        <v>145.72819999999996</v>
      </c>
      <c r="P33" s="13">
        <f t="shared" si="33"/>
        <v>37.606177397621849</v>
      </c>
      <c r="Q33" s="20">
        <f t="shared" si="2"/>
        <v>319.30737396752465</v>
      </c>
      <c r="R33" s="59">
        <f t="shared" si="0"/>
        <v>612.64070730085791</v>
      </c>
      <c r="S33" s="59">
        <f ca="1">AVERAGE(OFFSET($R$3,0,0,'Données projet'!$E$9+1,1))-AVERAGE(OFFSET($H$3,0,0,'Données projet'!$E$9+1,1))</f>
        <v>234.10156575337737</v>
      </c>
      <c r="T33" s="59">
        <f t="shared" si="34"/>
        <v>285.68635263076646</v>
      </c>
      <c r="U33" s="15">
        <f>IF(ISNA(VLOOKUP(A33,'Données projet'!$A$35:$I$55,3,0)),0,VLOOKUP(A33,'Données projet'!$A$35:$I$55,3,0))</f>
        <v>2</v>
      </c>
      <c r="V33" s="15">
        <f>IF(ISNA(VLOOKUP(A33,'Données projet'!$A$35:$I$55,4,0)),0,VLOOKUP(A33,'Données projet'!$A$35:$I$55,4,0))</f>
        <v>90.015384615384605</v>
      </c>
      <c r="W33" s="16">
        <f>IF(ISNA(VLOOKUP(A33,'Données projet'!$A$35:$I$55,5,0)),0%,VLOOKUP(A33,'Données projet'!$A$35:$I$55,5,0)*VLOOKUP('Données projet'!$B$9,Paramètres!$A$1:$I$89,7,0))</f>
        <v>0.16500000000000001</v>
      </c>
      <c r="X33" s="16">
        <f>IF(ISNA(VLOOKUP(A33,'Données projet'!$A$35:$I$55,6,0)),0%,VLOOKUP(A33,'Données projet'!$A$35:$I$55,6,0)*VLOOKUP('Données projet'!$B$9,Paramètres!$A$1:$I$89,7,0))</f>
        <v>0.33</v>
      </c>
      <c r="Y33" s="16">
        <f>IF(ISNA(VLOOKUP(A33,'Données projet'!$A$35:$I$55,7,0)),0%,VLOOKUP(A33,'Données projet'!$A$35:$I$55,7,0))</f>
        <v>0.1</v>
      </c>
      <c r="Z33" s="21">
        <f>EXP(-LN(2)/35)*Z32+(1-EXP(-LN(2)/35))/(LN(2)/35)*V33*W33*VLOOKUP('Données projet'!$B$9,Paramètres!$A$1:$I$89,3,0)*0.475*44/12</f>
        <v>9.4770706557364104</v>
      </c>
      <c r="AA33" s="21">
        <f>EXP(-LN(2)/25)*AA32+(1-EXP(-LN(2)/25))/(LN(2)/25)*Calculateur!V33*Calculateur!X33*VLOOKUP('Données projet'!$B$9,Paramètres!$A$1:$I$89,3,0)*0.475*44/12</f>
        <v>35.241110293066832</v>
      </c>
      <c r="AB33" s="21">
        <f>EXP(-LN(2)/2)*AB32+(1-EXP(-LN(2)/2))/(LN(2)/2)*V33*Y33*VLOOKUP('Données projet'!$B$9,Paramètres!$A$1:$I$89,3,0)*0.475*44/12</f>
        <v>6.1963320409463467</v>
      </c>
      <c r="AC33" s="22">
        <f t="shared" si="3"/>
        <v>50.914512989749589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224</v>
      </c>
      <c r="AG33" s="12">
        <f>VLOOKUP(A33,'Données projet'!$A$61:$I$81,9,0)</f>
        <v>14.166666666666666</v>
      </c>
      <c r="AH33" s="12">
        <f t="array" ref="AH33">INDEX(AG:AG,MIN(IF(ISNUMBER(AG33:AG229),ROW(AG33:AG229),"")))</f>
        <v>14.166666666666666</v>
      </c>
      <c r="AI33" s="13">
        <f>IF('Données projet'!$A$62&gt;35,AI32+AH33-AQ32,IF(A33&lt;'Données projet'!$A$62,$AF$205^A33,IF(A33='Données projet'!$A$62,'Données projet'!$B$62,AI32+AH33-AQ32)))</f>
        <v>223.99999999999994</v>
      </c>
      <c r="AJ33" s="13">
        <f>AI33*VLOOKUP('Données projet'!$B$10,Paramètres!$A$1:$I$89,3,0)*VLOOKUP('Données projet'!$B$10,Paramètres!$A$1:$I$89,5,0)</f>
        <v>139.77599999999995</v>
      </c>
      <c r="AK33" s="13">
        <f t="shared" si="35"/>
        <v>36.245685459195258</v>
      </c>
      <c r="AL33" s="20">
        <f t="shared" si="4"/>
        <v>306.57110217476503</v>
      </c>
      <c r="AM33" s="59">
        <f t="shared" si="5"/>
        <v>599.90443550809835</v>
      </c>
      <c r="AN33" s="59">
        <f ca="1">AVERAGE(OFFSET($AM$3,0,0,'Données projet'!$E$10+1,1))-AVERAGE(OFFSET($H$3,0,0,'Données projet'!$E$10+1,1))</f>
        <v>179.44051550872138</v>
      </c>
      <c r="AO33" s="59">
        <f t="shared" si="36"/>
        <v>272.9500808380069</v>
      </c>
      <c r="AP33" s="15">
        <f>IF(ISNA(VLOOKUP(A33,'Données projet'!$A$61:$I$81,3,0)),0,VLOOKUP(A33,'Données projet'!$A$61:$I$81,3,0))</f>
        <v>4</v>
      </c>
      <c r="AQ33" s="15">
        <f>IF(ISNA(VLOOKUP(A33,'Données projet'!$A$61:$I$81,4,0)),0,VLOOKUP(A33,'Données projet'!$A$61:$I$81,4,0))</f>
        <v>53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0.48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43.677367860291142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43.677367860291142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331.86923076923074</v>
      </c>
      <c r="BB33" s="12">
        <f>VLOOKUP(A33,'Données projet'!$A$87:$I$107,9,0)</f>
        <v>22.828205128205127</v>
      </c>
      <c r="BC33" s="12">
        <f t="array" ref="BC33">INDEX(BB:BB,MIN(IF(ISNUMBER(BB33:BB229),ROW(BB33:BB229),"")))</f>
        <v>22.828205128205127</v>
      </c>
      <c r="BD33" s="12">
        <f>IF('Données projet'!$A$88&gt;35,BD32+BC33-BL32,IF(A33&lt;'Données projet'!$A$88,$BA$205^A33,IF(A33='Données projet'!$A$88,'Données projet'!$B$88,BD32+BC33-BL32)))</f>
        <v>331.86923076923063</v>
      </c>
      <c r="BE33" s="13">
        <f>BD33*VLOOKUP('Données projet'!$B$11,Paramètres!$A$1:$I$89,3,0)*VLOOKUP('Données projet'!$B$11,Paramètres!$A$1:$I$89,5,0)</f>
        <v>185.5148999999999</v>
      </c>
      <c r="BF33" s="13">
        <f t="shared" si="37"/>
        <v>46.546986497298995</v>
      </c>
      <c r="BG33" s="20">
        <f t="shared" si="7"/>
        <v>404.17445231612891</v>
      </c>
      <c r="BH33" s="59">
        <f t="shared" si="8"/>
        <v>697.50778564946222</v>
      </c>
      <c r="BI33" s="59">
        <f ca="1">AVERAGE(OFFSET($BH$3,0,0,'Données projet'!$E$11+1,1))-AVERAGE(OFFSET($H$3,0,0,'Données projet'!$E$11+1,1))</f>
        <v>278.5296012747549</v>
      </c>
      <c r="BJ33" s="59">
        <f t="shared" si="38"/>
        <v>370.55343097937077</v>
      </c>
      <c r="BK33" s="15">
        <f>IF(ISNA(VLOOKUP(A33,'Données projet'!$A$87:$I$107,3,0)),0,VLOOKUP(A33,'Données projet'!$A$87:$I$107,3,0))</f>
        <v>3</v>
      </c>
      <c r="BL33" s="15">
        <f>IF(ISNA(VLOOKUP(A33,'Données projet'!$A$87:$I$107,4,0)),0,VLOOKUP(A33,'Données projet'!$A$87:$I$107,4,0))</f>
        <v>65.669230769230765</v>
      </c>
      <c r="BM33" s="16">
        <f>IF(ISNA(VLOOKUP(A33,'Données projet'!$A$87:$I$107,5,0)),0%,VLOOKUP(A33,'Données projet'!$A$87:$I$107,5,0)*VLOOKUP('Données projet'!$B$11,Paramètres!$A$1:$I$89,7,0))</f>
        <v>0.38500000000000001</v>
      </c>
      <c r="BN33" s="16">
        <f>IF(ISNA(VLOOKUP(A33,'Données projet'!$A$87:$I$107,6,0)),0%,VLOOKUP(A33,'Données projet'!$A$87:$I$107,6,0)*VLOOKUP('Données projet'!$B$11,Paramètres!$A$1:$I$89,7,0))</f>
        <v>9.240000000000001E-2</v>
      </c>
      <c r="BO33" s="16">
        <f>IF(ISNA(VLOOKUP(A33,'Données projet'!$A$87:$I$107,7,0)),0%,VLOOKUP(A33,'Données projet'!$A$87:$I$107,7,0))</f>
        <v>0.13200000000000001</v>
      </c>
      <c r="BP33" s="21">
        <f>EXP(-LN(2)/35)*BP32+(1-EXP(-LN(2)/35))/(LN(2)/35)*BL33*BM33*VLOOKUP('Données projet'!$B$11,Paramètres!$A$1:$I$89,3,0)*0.475*44/12</f>
        <v>29.563483054643072</v>
      </c>
      <c r="BQ33" s="21">
        <f>EXP(-LN(2)/25)*BQ32+(1-EXP(-LN(2)/25))/(LN(2)/25)*Calculateur!BL33*Calculateur!BN33*VLOOKUP('Données projet'!$B$11,Paramètres!$A$1:$I$89,3,0)*0.475*44/12</f>
        <v>18.248368581460394</v>
      </c>
      <c r="BR33" s="21">
        <f>EXP(-LN(2)/2)*BR32+(1-EXP(-LN(2)/2))/(LN(2)/2)*BL33*BO33*VLOOKUP('Données projet'!$B$11,Paramètres!$A$1:$I$89,3,0)*0.475*44/12</f>
        <v>6.233345651406407</v>
      </c>
      <c r="BS33" s="22">
        <f t="shared" si="9"/>
        <v>54.045197287509879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146</v>
      </c>
      <c r="BW33" s="12">
        <f>VLOOKUP(A33,'Données projet'!$A$113:$I$133,9,0)</f>
        <v>11.8</v>
      </c>
      <c r="BX33" s="12">
        <f t="array" ref="BX33">INDEX(BW:BW,MIN(IF(ISNUMBER(BW33:BW229),ROW(BW33:BW229),"")))</f>
        <v>11.8</v>
      </c>
      <c r="BY33" s="12">
        <f>IF('Données projet'!$A$114&gt;35,BY32+BX33-CG32,IF(A33&lt;'Données projet'!$A$114,$BV$205^A33,IF(A33='Données projet'!$A$114,'Données projet'!$B$114,BY32+BX33-CG32)))</f>
        <v>145.99999999999997</v>
      </c>
      <c r="BZ33" s="13">
        <f>BY33*VLOOKUP('Données projet'!$B$12,Paramètres!$A$1:$I$89,3,0)*VLOOKUP('Données projet'!$B$12,Paramètres!$A$1:$I$89,5,0)</f>
        <v>116.15759999999999</v>
      </c>
      <c r="CA33" s="13">
        <f t="shared" si="39"/>
        <v>30.777132266613055</v>
      </c>
      <c r="CB33" s="20">
        <f t="shared" si="10"/>
        <v>255.91132536435109</v>
      </c>
      <c r="CC33" s="59">
        <f t="shared" si="11"/>
        <v>549.24465869768437</v>
      </c>
      <c r="CD33" s="59">
        <f ca="1">AVERAGE(OFFSET($CC$3,0,0,'Données projet'!$E$12+1,1))-AVERAGE(OFFSET($H$3,0,0,'Données projet'!$E$12+1,1))</f>
        <v>225.2323446080772</v>
      </c>
      <c r="CE33" s="59">
        <f t="shared" si="40"/>
        <v>222.29030402759292</v>
      </c>
      <c r="CF33" s="15">
        <f>IF(ISNA(VLOOKUP(A33,'Données projet'!$A$113:$I$133,3,0)),0,VLOOKUP(A33,'Données projet'!$A$113:$I$133,3,0))</f>
        <v>4</v>
      </c>
      <c r="CG33" s="15">
        <f>IF(ISNA(VLOOKUP(A33,'Données projet'!$A$113:$I$133,4,0)),0,VLOOKUP(A33,'Données projet'!$A$113:$I$133,4,0))</f>
        <v>28</v>
      </c>
      <c r="CH33" s="16">
        <f>IF(ISNA(VLOOKUP(A33,'Données projet'!$A$113:$I$133,5,0)),0%,VLOOKUP(A33,'Données projet'!$A$113:$I$133,5,0)*VLOOKUP('Données projet'!$B$12,Paramètres!$A$1:$I$89,7,0))</f>
        <v>2.12E-2</v>
      </c>
      <c r="CI33" s="16">
        <f>IF(ISNA(VLOOKUP(A33,'Données projet'!$A$113:$I$133,6,0)),0%,VLOOKUP(A33,'Données projet'!$A$113:$I$133,6,0)*VLOOKUP('Données projet'!$B$12,Paramètres!$A$1:$I$89,7,0))</f>
        <v>0.1537</v>
      </c>
      <c r="CJ33" s="16">
        <f>IF(ISNA(VLOOKUP(A33,'Données projet'!$A$113:$I$133,7,0)),0%,VLOOKUP(A33,'Données projet'!$A$113:$I$133,7,0))</f>
        <v>0</v>
      </c>
      <c r="CK33" s="21">
        <f>EXP(-LN(2)/35)*CK32+(1-EXP(-LN(2)/35))/(LN(2)/35)*CG33*CH33*VLOOKUP('Données projet'!$B$12,Paramètres!$A$1:$I$89,3,0)*0.475*44/12</f>
        <v>0.52207846207652797</v>
      </c>
      <c r="CL33" s="21">
        <f>EXP(-LN(2)/25)*CL32+(1-EXP(-LN(2)/25))/(LN(2)/25)*Calculateur!CG33*Calculateur!CI33*VLOOKUP('Données projet'!$B$12,Paramètres!$A$1:$I$89,3,0)*0.475*44/12</f>
        <v>4.5624014006448359</v>
      </c>
      <c r="CM33" s="21">
        <f>EXP(-LN(2)/2)*CM32+(1-EXP(-LN(2)/2))/(LN(2)/2)*CG33*CJ33*VLOOKUP('Données projet'!$B$12,Paramètres!$A$1:$I$89,3,0)*0.475*44/12</f>
        <v>0</v>
      </c>
      <c r="CN33" s="22">
        <f t="shared" si="12"/>
        <v>5.0844798627213637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5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14.910999999999998</v>
      </c>
      <c r="D34" s="11">
        <f t="shared" si="32"/>
        <v>5.0172142492270986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153.83182929227934</v>
      </c>
      <c r="H34" s="67">
        <f t="shared" si="1"/>
        <v>328.04163981740385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21.615384615384631</v>
      </c>
      <c r="N34" s="13">
        <f>IF('Données projet'!$A$36&gt;35,N33+M34-V33,IF(A34&lt;'Données projet'!$A$36,$K$205^A34,IF(A34='Données projet'!$A$36,'Données projet'!$B$36,N33+M34-V33)))</f>
        <v>234.56923076923073</v>
      </c>
      <c r="O34" s="13">
        <f>N34*VLOOKUP('Données projet'!$B$9,Paramètres!$A$1:$I$89,3,0)*VLOOKUP('Données projet'!$B$9,Paramètres!$A$1:$I$89,5,0)</f>
        <v>112.82779999999998</v>
      </c>
      <c r="P34" s="13">
        <f t="shared" si="33"/>
        <v>29.996248895665939</v>
      </c>
      <c r="Q34" s="20">
        <f t="shared" si="2"/>
        <v>248.75188515995148</v>
      </c>
      <c r="R34" s="59">
        <f t="shared" si="0"/>
        <v>542.08521849328486</v>
      </c>
      <c r="S34" s="59">
        <f ca="1">AVERAGE(OFFSET($R$3,0,0,'Données projet'!$E$9+1,1))-AVERAGE(OFFSET($H$3,0,0,'Données projet'!$E$9+1,1))</f>
        <v>234.10156575337737</v>
      </c>
      <c r="T34" s="59">
        <f t="shared" si="34"/>
        <v>285.68635263076646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9.2912310806197489</v>
      </c>
      <c r="AA34" s="21">
        <f>EXP(-LN(2)/25)*AA33+(1-EXP(-LN(2)/25))/(LN(2)/25)*Calculateur!V34*Calculateur!X34*VLOOKUP('Données projet'!$B$9,Paramètres!$A$1:$I$89,3,0)*0.475*44/12</f>
        <v>34.277440278853476</v>
      </c>
      <c r="AB34" s="21">
        <f>EXP(-LN(2)/2)*AB33+(1-EXP(-LN(2)/2))/(LN(2)/2)*V34*Y34*VLOOKUP('Données projet'!$B$9,Paramètres!$A$1:$I$89,3,0)*0.475*44/12</f>
        <v>4.3814684046366423</v>
      </c>
      <c r="AC34" s="22">
        <f t="shared" si="3"/>
        <v>47.950139764109871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12.833333333333334</v>
      </c>
      <c r="AI34" s="13">
        <f>IF('Données projet'!$A$62&gt;35,AI33+AH34-AQ33,IF(A34&lt;'Données projet'!$A$62,$AF$205^A34,IF(A34='Données projet'!$A$62,'Données projet'!$B$62,AI33+AH34-AQ33)))</f>
        <v>183.83333333333329</v>
      </c>
      <c r="AJ34" s="13">
        <f>AI34*VLOOKUP('Données projet'!$B$10,Paramètres!$A$1:$I$89,3,0)*VLOOKUP('Données projet'!$B$10,Paramètres!$A$1:$I$89,5,0)</f>
        <v>114.71199999999997</v>
      </c>
      <c r="AK34" s="13">
        <f t="shared" si="35"/>
        <v>30.438443898016164</v>
      </c>
      <c r="AL34" s="20">
        <f t="shared" si="4"/>
        <v>252.80368978904474</v>
      </c>
      <c r="AM34" s="59">
        <f t="shared" si="5"/>
        <v>546.13702312237808</v>
      </c>
      <c r="AN34" s="59">
        <f ca="1">AVERAGE(OFFSET($AM$3,0,0,'Données projet'!$E$10+1,1))-AVERAGE(OFFSET($H$3,0,0,'Données projet'!$E$10+1,1))</f>
        <v>179.44051550872138</v>
      </c>
      <c r="AO34" s="59">
        <f t="shared" si="36"/>
        <v>272.9500808380069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42.483007939258528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42.483007939258528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22.884615384615397</v>
      </c>
      <c r="BD34" s="12">
        <f>IF('Données projet'!$A$88&gt;35,BD33+BC34-BL33,IF(A34&lt;'Données projet'!$A$88,$BA$205^A34,IF(A34='Données projet'!$A$88,'Données projet'!$B$88,BD33+BC34-BL33)))</f>
        <v>289.08461538461529</v>
      </c>
      <c r="BE34" s="13">
        <f>BD34*VLOOKUP('Données projet'!$B$11,Paramètres!$A$1:$I$89,3,0)*VLOOKUP('Données projet'!$B$11,Paramètres!$A$1:$I$89,5,0)</f>
        <v>161.59829999999994</v>
      </c>
      <c r="BF34" s="13">
        <f t="shared" si="37"/>
        <v>41.202807619439731</v>
      </c>
      <c r="BG34" s="20">
        <f t="shared" si="7"/>
        <v>353.21192910385736</v>
      </c>
      <c r="BH34" s="59">
        <f t="shared" si="8"/>
        <v>646.54526243719067</v>
      </c>
      <c r="BI34" s="59">
        <f ca="1">AVERAGE(OFFSET($BH$3,0,0,'Données projet'!$E$11+1,1))-AVERAGE(OFFSET($H$3,0,0,'Données projet'!$E$11+1,1))</f>
        <v>278.5296012747549</v>
      </c>
      <c r="BJ34" s="59">
        <f t="shared" si="38"/>
        <v>370.55343097937077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28.983761183885679</v>
      </c>
      <c r="BQ34" s="21">
        <f>EXP(-LN(2)/25)*BQ33+(1-EXP(-LN(2)/25))/(LN(2)/25)*Calculateur!BL34*Calculateur!BN34*VLOOKUP('Données projet'!$B$11,Paramètres!$A$1:$I$89,3,0)*0.475*44/12</f>
        <v>17.749365982960363</v>
      </c>
      <c r="BR34" s="21">
        <f>EXP(-LN(2)/2)*BR33+(1-EXP(-LN(2)/2))/(LN(2)/2)*BL34*BO34*VLOOKUP('Données projet'!$B$11,Paramètres!$A$1:$I$89,3,0)*0.475*44/12</f>
        <v>4.4076409795891482</v>
      </c>
      <c r="BS34" s="22">
        <f t="shared" si="9"/>
        <v>51.140768146435192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10.8</v>
      </c>
      <c r="BY34" s="12">
        <f>IF('Données projet'!$A$114&gt;35,BY33+BX34-CG33,IF(A34&lt;'Données projet'!$A$114,$BV$205^A34,IF(A34='Données projet'!$A$114,'Données projet'!$B$114,BY33+BX34-CG33)))</f>
        <v>128.79999999999998</v>
      </c>
      <c r="BZ34" s="13">
        <f>BY34*VLOOKUP('Données projet'!$B$12,Paramètres!$A$1:$I$89,3,0)*VLOOKUP('Données projet'!$B$12,Paramètres!$A$1:$I$89,5,0)</f>
        <v>102.47327999999999</v>
      </c>
      <c r="CA34" s="13">
        <f t="shared" si="39"/>
        <v>27.550381949314474</v>
      </c>
      <c r="CB34" s="20">
        <f t="shared" si="10"/>
        <v>226.45787789505599</v>
      </c>
      <c r="CC34" s="59">
        <f t="shared" si="11"/>
        <v>519.79121122838933</v>
      </c>
      <c r="CD34" s="59">
        <f ca="1">AVERAGE(OFFSET($CC$3,0,0,'Données projet'!$E$12+1,1))-AVERAGE(OFFSET($H$3,0,0,'Données projet'!$E$12+1,1))</f>
        <v>225.2323446080772</v>
      </c>
      <c r="CE34" s="59">
        <f t="shared" si="40"/>
        <v>222.29030402759292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0.51184082187162616</v>
      </c>
      <c r="CL34" s="21">
        <f>EXP(-LN(2)/25)*CL33+(1-EXP(-LN(2)/25))/(LN(2)/25)*Calculateur!CG34*Calculateur!CI34*VLOOKUP('Données projet'!$B$12,Paramètres!$A$1:$I$89,3,0)*0.475*44/12</f>
        <v>4.437642294417941</v>
      </c>
      <c r="CM34" s="21">
        <f>EXP(-LN(2)/2)*CM33+(1-EXP(-LN(2)/2))/(LN(2)/2)*CG34*CJ34*VLOOKUP('Données projet'!$B$12,Paramètres!$A$1:$I$89,3,0)*0.475*44/12</f>
        <v>0</v>
      </c>
      <c r="CN34" s="22">
        <f t="shared" si="12"/>
        <v>4.9494831162895672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5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15.391999999999998</v>
      </c>
      <c r="D35" s="11">
        <f t="shared" si="32"/>
        <v>5.1599557252083068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158.64667577353779</v>
      </c>
      <c r="H35" s="67">
        <f t="shared" si="1"/>
        <v>329.12798955473778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21.615384615384631</v>
      </c>
      <c r="N35" s="13">
        <f>IF('Données projet'!$A$36&gt;35,N34+M35-V34,IF(A35&lt;'Données projet'!$A$36,$K$205^A35,IF(A35='Données projet'!$A$36,'Données projet'!$B$36,N34+M35-V34)))</f>
        <v>256.18461538461537</v>
      </c>
      <c r="O35" s="13">
        <f>N35*VLOOKUP('Données projet'!$B$9,Paramètres!$A$1:$I$89,3,0)*VLOOKUP('Données projet'!$B$9,Paramètres!$A$1:$I$89,5,0)</f>
        <v>123.22479999999999</v>
      </c>
      <c r="P35" s="13">
        <f t="shared" si="33"/>
        <v>32.425966181521574</v>
      </c>
      <c r="Q35" s="20">
        <f t="shared" ref="Q35:Q66" si="53">(O35+P35)*0.475*44/12</f>
        <v>271.09175109948336</v>
      </c>
      <c r="R35" s="59">
        <f t="shared" si="0"/>
        <v>564.42508443281667</v>
      </c>
      <c r="S35" s="59">
        <f ca="1">AVERAGE(OFFSET($R$3,0,0,'Données projet'!$E$9+1,1))-AVERAGE(OFFSET($H$3,0,0,'Données projet'!$E$9+1,1))</f>
        <v>234.10156575337737</v>
      </c>
      <c r="T35" s="59">
        <f t="shared" si="34"/>
        <v>285.68635263076646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9.1090357062201761</v>
      </c>
      <c r="AA35" s="21">
        <f>EXP(-LN(2)/25)*AA34+(1-EXP(-LN(2)/25))/(LN(2)/25)*Calculateur!V35*Calculateur!X35*VLOOKUP('Données projet'!$B$9,Paramètres!$A$1:$I$89,3,0)*0.475*44/12</f>
        <v>33.340121871855985</v>
      </c>
      <c r="AB35" s="21">
        <f>EXP(-LN(2)/2)*AB34+(1-EXP(-LN(2)/2))/(LN(2)/2)*V35*Y35*VLOOKUP('Données projet'!$B$9,Paramètres!$A$1:$I$89,3,0)*0.475*44/12</f>
        <v>3.0981660204731738</v>
      </c>
      <c r="AC35" s="22">
        <f t="shared" si="3"/>
        <v>45.547323598549333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12.833333333333334</v>
      </c>
      <c r="AI35" s="13">
        <f>IF('Données projet'!$A$62&gt;35,AI34+AH35-AQ34,IF(A35&lt;'Données projet'!$A$62,$AF$205^A35,IF(A35='Données projet'!$A$62,'Données projet'!$B$62,AI34+AH35-AQ34)))</f>
        <v>196.66666666666663</v>
      </c>
      <c r="AJ35" s="13">
        <f>AI35*VLOOKUP('Données projet'!$B$10,Paramètres!$A$1:$I$89,3,0)*VLOOKUP('Données projet'!$B$10,Paramètres!$A$1:$I$89,5,0)</f>
        <v>122.71999999999997</v>
      </c>
      <c r="AK35" s="13">
        <f t="shared" si="35"/>
        <v>32.308564708068729</v>
      </c>
      <c r="AL35" s="20">
        <f t="shared" si="4"/>
        <v>270.00808353321963</v>
      </c>
      <c r="AM35" s="59">
        <f t="shared" si="5"/>
        <v>563.34141686655289</v>
      </c>
      <c r="AN35" s="59">
        <f ca="1">AVERAGE(OFFSET($AM$3,0,0,'Données projet'!$E$10+1,1))-AVERAGE(OFFSET($H$3,0,0,'Données projet'!$E$10+1,1))</f>
        <v>179.44051550872138</v>
      </c>
      <c r="AO35" s="59">
        <f t="shared" si="36"/>
        <v>272.9500808380069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41.321307853075211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41.321307853075211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22.884615384615397</v>
      </c>
      <c r="BD35" s="12">
        <f>IF('Données projet'!$A$88&gt;35,BD34+BC35-BL34,IF(A35&lt;'Données projet'!$A$88,$BA$205^A35,IF(A35='Données projet'!$A$88,'Données projet'!$B$88,BD34+BC35-BL34)))</f>
        <v>311.96923076923071</v>
      </c>
      <c r="BE35" s="13">
        <f>BD35*VLOOKUP('Données projet'!$B$11,Paramètres!$A$1:$I$89,3,0)*VLOOKUP('Données projet'!$B$11,Paramètres!$A$1:$I$89,5,0)</f>
        <v>174.39079999999996</v>
      </c>
      <c r="BF35" s="13">
        <f t="shared" si="37"/>
        <v>44.071952499783528</v>
      </c>
      <c r="BG35" s="20">
        <f t="shared" si="7"/>
        <v>380.48929393712291</v>
      </c>
      <c r="BH35" s="59">
        <f t="shared" si="8"/>
        <v>673.82262727045622</v>
      </c>
      <c r="BI35" s="59">
        <f ca="1">AVERAGE(OFFSET($BH$3,0,0,'Données projet'!$E$11+1,1))-AVERAGE(OFFSET($H$3,0,0,'Données projet'!$E$11+1,1))</f>
        <v>278.5296012747549</v>
      </c>
      <c r="BJ35" s="59">
        <f t="shared" si="38"/>
        <v>370.55343097937077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28.415407305418412</v>
      </c>
      <c r="BQ35" s="21">
        <f>EXP(-LN(2)/25)*BQ34+(1-EXP(-LN(2)/25))/(LN(2)/25)*Calculateur!BL35*Calculateur!BN35*VLOOKUP('Données projet'!$B$11,Paramètres!$A$1:$I$89,3,0)*0.475*44/12</f>
        <v>17.264008636757723</v>
      </c>
      <c r="BR35" s="21">
        <f>EXP(-LN(2)/2)*BR34+(1-EXP(-LN(2)/2))/(LN(2)/2)*BL35*BO35*VLOOKUP('Données projet'!$B$11,Paramètres!$A$1:$I$89,3,0)*0.475*44/12</f>
        <v>3.1166728257032039</v>
      </c>
      <c r="BS35" s="22">
        <f t="shared" si="9"/>
        <v>48.79608876787934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10.8</v>
      </c>
      <c r="BY35" s="12">
        <f>IF('Données projet'!$A$114&gt;35,BY34+BX35-CG34,IF(A35&lt;'Données projet'!$A$114,$BV$205^A35,IF(A35='Données projet'!$A$114,'Données projet'!$B$114,BY34+BX35-CG34)))</f>
        <v>139.6</v>
      </c>
      <c r="BZ35" s="13">
        <f>BY35*VLOOKUP('Données projet'!$B$12,Paramètres!$A$1:$I$89,3,0)*VLOOKUP('Données projet'!$B$12,Paramètres!$A$1:$I$89,5,0)</f>
        <v>111.06576</v>
      </c>
      <c r="CA35" s="13">
        <f t="shared" si="39"/>
        <v>29.581944857062648</v>
      </c>
      <c r="CB35" s="20">
        <f t="shared" si="10"/>
        <v>244.96141929271744</v>
      </c>
      <c r="CC35" s="59">
        <f t="shared" si="11"/>
        <v>538.29475262605069</v>
      </c>
      <c r="CD35" s="59">
        <f ca="1">AVERAGE(OFFSET($CC$3,0,0,'Données projet'!$E$12+1,1))-AVERAGE(OFFSET($H$3,0,0,'Données projet'!$E$12+1,1))</f>
        <v>225.2323446080772</v>
      </c>
      <c r="CE35" s="59">
        <f t="shared" si="40"/>
        <v>222.29030402759292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0.50180393554679847</v>
      </c>
      <c r="CL35" s="21">
        <f>EXP(-LN(2)/25)*CL34+(1-EXP(-LN(2)/25))/(LN(2)/25)*Calculateur!CG35*Calculateur!CI35*VLOOKUP('Données projet'!$B$12,Paramètres!$A$1:$I$89,3,0)*0.475*44/12</f>
        <v>4.3162947325116168</v>
      </c>
      <c r="CM35" s="21">
        <f>EXP(-LN(2)/2)*CM34+(1-EXP(-LN(2)/2))/(LN(2)/2)*CG35*CJ35*VLOOKUP('Données projet'!$B$12,Paramètres!$A$1:$I$89,3,0)*0.475*44/12</f>
        <v>0</v>
      </c>
      <c r="CN35" s="22">
        <f t="shared" si="12"/>
        <v>4.8180986680584148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5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15.872999999999998</v>
      </c>
      <c r="D36" s="11">
        <f t="shared" si="32"/>
        <v>5.3021788331229462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163.4575208170894</v>
      </c>
      <c r="H36" s="67">
        <f t="shared" si="1"/>
        <v>330.21343646768912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21.615384615384631</v>
      </c>
      <c r="N36" s="13">
        <f>IF('Données projet'!$A$36&gt;35,N35+M36-V35,IF(A36&lt;'Données projet'!$A$36,$K$205^A36,IF(A36='Données projet'!$A$36,'Données projet'!$B$36,N35+M36-V35)))</f>
        <v>277.8</v>
      </c>
      <c r="O36" s="13">
        <f>N36*VLOOKUP('Données projet'!$B$9,Paramètres!$A$1:$I$89,3,0)*VLOOKUP('Données projet'!$B$9,Paramètres!$A$1:$I$89,5,0)</f>
        <v>133.62180000000001</v>
      </c>
      <c r="P36" s="13">
        <f t="shared" si="33"/>
        <v>34.831907858879354</v>
      </c>
      <c r="Q36" s="20">
        <f t="shared" si="53"/>
        <v>293.39020785421491</v>
      </c>
      <c r="R36" s="59">
        <f t="shared" si="0"/>
        <v>586.72354118754822</v>
      </c>
      <c r="S36" s="59">
        <f ca="1">AVERAGE(OFFSET($R$3,0,0,'Données projet'!$E$9+1,1))-AVERAGE(OFFSET($H$3,0,0,'Données projet'!$E$9+1,1))</f>
        <v>234.10156575337737</v>
      </c>
      <c r="T36" s="59">
        <f t="shared" si="34"/>
        <v>285.68635263076646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8.9304130719843737</v>
      </c>
      <c r="AA36" s="21">
        <f>EXP(-LN(2)/25)*AA35+(1-EXP(-LN(2)/25))/(LN(2)/25)*Calculateur!V36*Calculateur!X36*VLOOKUP('Données projet'!$B$9,Paramètres!$A$1:$I$89,3,0)*0.475*44/12</f>
        <v>32.428434485989271</v>
      </c>
      <c r="AB36" s="21">
        <f>EXP(-LN(2)/2)*AB35+(1-EXP(-LN(2)/2))/(LN(2)/2)*V36*Y36*VLOOKUP('Données projet'!$B$9,Paramètres!$A$1:$I$89,3,0)*0.475*44/12</f>
        <v>2.1907342023183212</v>
      </c>
      <c r="AC36" s="22">
        <f t="shared" si="3"/>
        <v>43.549581760291971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12.833333333333334</v>
      </c>
      <c r="AI36" s="13">
        <f>IF('Données projet'!$A$62&gt;35,AI35+AH36-AQ35,IF(A36&lt;'Données projet'!$A$62,$AF$205^A36,IF(A36='Données projet'!$A$62,'Données projet'!$B$62,AI35+AH36-AQ35)))</f>
        <v>209.49999999999997</v>
      </c>
      <c r="AJ36" s="13">
        <f>AI36*VLOOKUP('Données projet'!$B$10,Paramètres!$A$1:$I$89,3,0)*VLOOKUP('Données projet'!$B$10,Paramètres!$A$1:$I$89,5,0)</f>
        <v>130.72799999999998</v>
      </c>
      <c r="AK36" s="13">
        <f t="shared" si="35"/>
        <v>34.164524045585857</v>
      </c>
      <c r="AL36" s="20">
        <f t="shared" si="4"/>
        <v>287.18781271272866</v>
      </c>
      <c r="AM36" s="59">
        <f t="shared" si="5"/>
        <v>580.52114604606197</v>
      </c>
      <c r="AN36" s="59">
        <f ca="1">AVERAGE(OFFSET($AM$3,0,0,'Données projet'!$E$10+1,1))-AVERAGE(OFFSET($H$3,0,0,'Données projet'!$E$10+1,1))</f>
        <v>179.44051550872138</v>
      </c>
      <c r="AO36" s="59">
        <f t="shared" si="36"/>
        <v>272.9500808380069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40.19137451683973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40.19137451683973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22.884615384615397</v>
      </c>
      <c r="BD36" s="12">
        <f>IF('Données projet'!$A$88&gt;35,BD35+BC36-BL35,IF(A36&lt;'Données projet'!$A$88,$BA$205^A36,IF(A36='Données projet'!$A$88,'Données projet'!$B$88,BD35+BC36-BL35)))</f>
        <v>334.85384615384612</v>
      </c>
      <c r="BE36" s="13">
        <f>BD36*VLOOKUP('Données projet'!$B$11,Paramètres!$A$1:$I$89,3,0)*VLOOKUP('Données projet'!$B$11,Paramètres!$A$1:$I$89,5,0)</f>
        <v>187.18329999999997</v>
      </c>
      <c r="BF36" s="13">
        <f t="shared" si="37"/>
        <v>46.91668019244311</v>
      </c>
      <c r="BG36" s="20">
        <f t="shared" si="7"/>
        <v>407.72413216850504</v>
      </c>
      <c r="BH36" s="59">
        <f t="shared" si="8"/>
        <v>701.05746550183835</v>
      </c>
      <c r="BI36" s="59">
        <f ca="1">AVERAGE(OFFSET($BH$3,0,0,'Données projet'!$E$11+1,1))-AVERAGE(OFFSET($H$3,0,0,'Données projet'!$E$11+1,1))</f>
        <v>278.5296012747549</v>
      </c>
      <c r="BJ36" s="59">
        <f t="shared" si="38"/>
        <v>370.55343097937077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27.858198499846253</v>
      </c>
      <c r="BQ36" s="21">
        <f>EXP(-LN(2)/25)*BQ35+(1-EXP(-LN(2)/25))/(LN(2)/25)*Calculateur!BL36*Calculateur!BN36*VLOOKUP('Données projet'!$B$11,Paramètres!$A$1:$I$89,3,0)*0.475*44/12</f>
        <v>16.791923412710826</v>
      </c>
      <c r="BR36" s="21">
        <f>EXP(-LN(2)/2)*BR35+(1-EXP(-LN(2)/2))/(LN(2)/2)*BL36*BO36*VLOOKUP('Données projet'!$B$11,Paramètres!$A$1:$I$89,3,0)*0.475*44/12</f>
        <v>2.2038204897945741</v>
      </c>
      <c r="BS36" s="22">
        <f t="shared" si="9"/>
        <v>46.853942402351656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10.8</v>
      </c>
      <c r="BY36" s="12">
        <f>IF('Données projet'!$A$114&gt;35,BY35+BX36-CG35,IF(A36&lt;'Données projet'!$A$114,$BV$205^A36,IF(A36='Données projet'!$A$114,'Données projet'!$B$114,BY35+BX36-CG35)))</f>
        <v>150.4</v>
      </c>
      <c r="BZ36" s="13">
        <f>BY36*VLOOKUP('Données projet'!$B$12,Paramètres!$A$1:$I$89,3,0)*VLOOKUP('Données projet'!$B$12,Paramètres!$A$1:$I$89,5,0)</f>
        <v>119.65824000000002</v>
      </c>
      <c r="CA36" s="13">
        <f t="shared" si="39"/>
        <v>31.595276160231336</v>
      </c>
      <c r="CB36" s="20">
        <f t="shared" si="10"/>
        <v>263.43320731240294</v>
      </c>
      <c r="CC36" s="59">
        <f t="shared" si="11"/>
        <v>556.76654064573631</v>
      </c>
      <c r="CD36" s="59">
        <f ca="1">AVERAGE(OFFSET($CC$3,0,0,'Données projet'!$E$12+1,1))-AVERAGE(OFFSET($H$3,0,0,'Données projet'!$E$12+1,1))</f>
        <v>225.2323446080772</v>
      </c>
      <c r="CE36" s="59">
        <f t="shared" si="40"/>
        <v>222.29030402759292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0.49196386644090451</v>
      </c>
      <c r="CL36" s="21">
        <f>EXP(-LN(2)/25)*CL35+(1-EXP(-LN(2)/25))/(LN(2)/25)*Calculateur!CG36*Calculateur!CI36*VLOOKUP('Données projet'!$B$12,Paramètres!$A$1:$I$89,3,0)*0.475*44/12</f>
        <v>4.198265426067012</v>
      </c>
      <c r="CM36" s="21">
        <f>EXP(-LN(2)/2)*CM35+(1-EXP(-LN(2)/2))/(LN(2)/2)*CG36*CJ36*VLOOKUP('Données projet'!$B$12,Paramètres!$A$1:$I$89,3,0)*0.475*44/12</f>
        <v>0</v>
      </c>
      <c r="CN36" s="22">
        <f t="shared" si="12"/>
        <v>4.690229292507917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5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16.353999999999999</v>
      </c>
      <c r="D37" s="11">
        <f t="shared" si="32"/>
        <v>5.4439010840635174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168.26449959627979</v>
      </c>
      <c r="H37" s="67">
        <f t="shared" si="1"/>
        <v>331.29801105474394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21.615384615384631</v>
      </c>
      <c r="N37" s="13">
        <f>IF('Données projet'!$A$36&gt;35,N36+M37-V36,IF(A37&lt;'Données projet'!$A$36,$K$205^A37,IF(A37='Données projet'!$A$36,'Données projet'!$B$36,N36+M37-V36)))</f>
        <v>299.41538461538465</v>
      </c>
      <c r="O37" s="13">
        <f>N37*VLOOKUP('Données projet'!$B$9,Paramètres!$A$1:$I$89,3,0)*VLOOKUP('Données projet'!$B$9,Paramètres!$A$1:$I$89,5,0)</f>
        <v>144.01880000000003</v>
      </c>
      <c r="P37" s="13">
        <f t="shared" si="33"/>
        <v>37.216134220798253</v>
      </c>
      <c r="Q37" s="20">
        <f t="shared" si="53"/>
        <v>315.65084376789031</v>
      </c>
      <c r="R37" s="59">
        <f t="shared" si="0"/>
        <v>608.98417710122362</v>
      </c>
      <c r="S37" s="59">
        <f ca="1">AVERAGE(OFFSET($R$3,0,0,'Données projet'!$E$9+1,1))-AVERAGE(OFFSET($H$3,0,0,'Données projet'!$E$9+1,1))</f>
        <v>234.10156575337737</v>
      </c>
      <c r="T37" s="59">
        <f t="shared" si="34"/>
        <v>285.68635263076646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8.755293118656887</v>
      </c>
      <c r="AA37" s="21">
        <f>EXP(-LN(2)/25)*AA36+(1-EXP(-LN(2)/25))/(LN(2)/25)*Calculateur!V37*Calculateur!X37*VLOOKUP('Données projet'!$B$9,Paramètres!$A$1:$I$89,3,0)*0.475*44/12</f>
        <v>31.541677239632641</v>
      </c>
      <c r="AB37" s="21">
        <f>EXP(-LN(2)/2)*AB36+(1-EXP(-LN(2)/2))/(LN(2)/2)*V37*Y37*VLOOKUP('Données projet'!$B$9,Paramètres!$A$1:$I$89,3,0)*0.475*44/12</f>
        <v>1.5490830102365869</v>
      </c>
      <c r="AC37" s="22">
        <f t="shared" si="3"/>
        <v>41.846053368526114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12.833333333333334</v>
      </c>
      <c r="AI37" s="13">
        <f>IF('Données projet'!$A$62&gt;35,AI36+AH37-AQ36,IF(A37&lt;'Données projet'!$A$62,$AF$205^A37,IF(A37='Données projet'!$A$62,'Données projet'!$B$62,AI36+AH37-AQ36)))</f>
        <v>222.33333333333331</v>
      </c>
      <c r="AJ37" s="13">
        <f>AI37*VLOOKUP('Données projet'!$B$10,Paramètres!$A$1:$I$89,3,0)*VLOOKUP('Données projet'!$B$10,Paramètres!$A$1:$I$89,5,0)</f>
        <v>138.73599999999999</v>
      </c>
      <c r="AK37" s="13">
        <f t="shared" si="35"/>
        <v>36.007288175538044</v>
      </c>
      <c r="AL37" s="20">
        <f t="shared" si="4"/>
        <v>304.34456023906205</v>
      </c>
      <c r="AM37" s="59">
        <f t="shared" si="5"/>
        <v>597.67789357239531</v>
      </c>
      <c r="AN37" s="59">
        <f ca="1">AVERAGE(OFFSET($AM$3,0,0,'Données projet'!$E$10+1,1))-AVERAGE(OFFSET($H$3,0,0,'Données projet'!$E$10+1,1))</f>
        <v>179.44051550872138</v>
      </c>
      <c r="AO37" s="59">
        <f t="shared" si="36"/>
        <v>272.9500808380069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39.092339267104222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39.092339267104222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22.884615384615397</v>
      </c>
      <c r="BD37" s="12">
        <f>IF('Données projet'!$A$88&gt;35,BD36+BC37-BL36,IF(A37&lt;'Données projet'!$A$88,$BA$205^A37,IF(A37='Données projet'!$A$88,'Données projet'!$B$88,BD36+BC37-BL36)))</f>
        <v>357.73846153846154</v>
      </c>
      <c r="BE37" s="13">
        <f>BD37*VLOOKUP('Données projet'!$B$11,Paramètres!$A$1:$I$89,3,0)*VLOOKUP('Données projet'!$B$11,Paramètres!$A$1:$I$89,5,0)</f>
        <v>199.97580000000002</v>
      </c>
      <c r="BF37" s="13">
        <f t="shared" si="37"/>
        <v>49.738849260389202</v>
      </c>
      <c r="BG37" s="20">
        <f t="shared" si="7"/>
        <v>434.91968079517784</v>
      </c>
      <c r="BH37" s="59">
        <f t="shared" si="8"/>
        <v>728.25301412851115</v>
      </c>
      <c r="BI37" s="59">
        <f ca="1">AVERAGE(OFFSET($BH$3,0,0,'Données projet'!$E$11+1,1))-AVERAGE(OFFSET($H$3,0,0,'Données projet'!$E$11+1,1))</f>
        <v>278.5296012747549</v>
      </c>
      <c r="BJ37" s="59">
        <f t="shared" si="38"/>
        <v>370.55343097937077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27.31191621908755</v>
      </c>
      <c r="BQ37" s="21">
        <f>EXP(-LN(2)/25)*BQ36+(1-EXP(-LN(2)/25))/(LN(2)/25)*Calculateur!BL37*Calculateur!BN37*VLOOKUP('Données projet'!$B$11,Paramètres!$A$1:$I$89,3,0)*0.475*44/12</f>
        <v>16.332747383941374</v>
      </c>
      <c r="BR37" s="21">
        <f>EXP(-LN(2)/2)*BR36+(1-EXP(-LN(2)/2))/(LN(2)/2)*BL37*BO37*VLOOKUP('Données projet'!$B$11,Paramètres!$A$1:$I$89,3,0)*0.475*44/12</f>
        <v>1.558336412851602</v>
      </c>
      <c r="BS37" s="22">
        <f t="shared" si="9"/>
        <v>45.203000015880527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10.8</v>
      </c>
      <c r="BY37" s="12">
        <f>IF('Données projet'!$A$114&gt;35,BY36+BX37-CG36,IF(A37&lt;'Données projet'!$A$114,$BV$205^A37,IF(A37='Données projet'!$A$114,'Données projet'!$B$114,BY36+BX37-CG36)))</f>
        <v>161.20000000000002</v>
      </c>
      <c r="BZ37" s="13">
        <f>BY37*VLOOKUP('Données projet'!$B$12,Paramètres!$A$1:$I$89,3,0)*VLOOKUP('Données projet'!$B$12,Paramètres!$A$1:$I$89,5,0)</f>
        <v>128.25072</v>
      </c>
      <c r="CA37" s="13">
        <f t="shared" si="39"/>
        <v>33.591833937449593</v>
      </c>
      <c r="CB37" s="20">
        <f t="shared" si="10"/>
        <v>281.875781441058</v>
      </c>
      <c r="CC37" s="59">
        <f t="shared" si="11"/>
        <v>575.20911477439131</v>
      </c>
      <c r="CD37" s="59">
        <f ca="1">AVERAGE(OFFSET($CC$3,0,0,'Données projet'!$E$12+1,1))-AVERAGE(OFFSET($H$3,0,0,'Données projet'!$E$12+1,1))</f>
        <v>225.2323446080772</v>
      </c>
      <c r="CE37" s="59">
        <f t="shared" si="40"/>
        <v>222.29030402759292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0.48231675508832761</v>
      </c>
      <c r="CL37" s="21">
        <f>EXP(-LN(2)/25)*CL36+(1-EXP(-LN(2)/25))/(LN(2)/25)*Calculateur!CG37*Calculateur!CI37*VLOOKUP('Données projet'!$B$12,Paramètres!$A$1:$I$89,3,0)*0.475*44/12</f>
        <v>4.0834636372140265</v>
      </c>
      <c r="CM37" s="21">
        <f>EXP(-LN(2)/2)*CM36+(1-EXP(-LN(2)/2))/(LN(2)/2)*CG37*CJ37*VLOOKUP('Données projet'!$B$12,Paramètres!$A$1:$I$89,3,0)*0.475*44/12</f>
        <v>0</v>
      </c>
      <c r="CN37" s="22">
        <f t="shared" si="12"/>
        <v>4.5657803923023543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5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16.835000000000001</v>
      </c>
      <c r="D38" s="11">
        <f t="shared" si="32"/>
        <v>5.5851389004969132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173.06773888102882</v>
      </c>
      <c r="H38" s="67">
        <f t="shared" si="1"/>
        <v>332.38174191836544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21.615384615384631</v>
      </c>
      <c r="N38" s="13">
        <f>IF('Données projet'!$A$36&gt;35,N37+M38-V37,IF(A38&lt;'Données projet'!$A$36,$K$205^A38,IF(A38='Données projet'!$A$36,'Données projet'!$B$36,N37+M38-V37)))</f>
        <v>321.03076923076929</v>
      </c>
      <c r="O38" s="13">
        <f>N38*VLOOKUP('Données projet'!$B$9,Paramètres!$A$1:$I$89,3,0)*VLOOKUP('Données projet'!$B$9,Paramètres!$A$1:$I$89,5,0)</f>
        <v>154.41580000000005</v>
      </c>
      <c r="P38" s="13">
        <f t="shared" si="33"/>
        <v>39.580391225767066</v>
      </c>
      <c r="Q38" s="20">
        <f t="shared" si="53"/>
        <v>337.87669971821106</v>
      </c>
      <c r="R38" s="59">
        <f t="shared" si="0"/>
        <v>631.21003305154431</v>
      </c>
      <c r="S38" s="59">
        <f ca="1">AVERAGE(OFFSET($R$3,0,0,'Données projet'!$E$9+1,1))-AVERAGE(OFFSET($H$3,0,0,'Données projet'!$E$9+1,1))</f>
        <v>234.10156575337737</v>
      </c>
      <c r="T38" s="59">
        <f t="shared" si="34"/>
        <v>285.68635263076646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8.5836071608015274</v>
      </c>
      <c r="AA38" s="21">
        <f>EXP(-LN(2)/25)*AA37+(1-EXP(-LN(2)/25))/(LN(2)/25)*Calculateur!V38*Calculateur!X38*VLOOKUP('Données projet'!$B$9,Paramètres!$A$1:$I$89,3,0)*0.475*44/12</f>
        <v>30.679168416810171</v>
      </c>
      <c r="AB38" s="21">
        <f>EXP(-LN(2)/2)*AB37+(1-EXP(-LN(2)/2))/(LN(2)/2)*V38*Y38*VLOOKUP('Données projet'!$B$9,Paramètres!$A$1:$I$89,3,0)*0.475*44/12</f>
        <v>1.0953671011591606</v>
      </c>
      <c r="AC38" s="22">
        <f t="shared" si="3"/>
        <v>40.358142678770861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12.833333333333334</v>
      </c>
      <c r="AI38" s="13">
        <f>IF('Données projet'!$A$62&gt;35,AI37+AH38-AQ37,IF(A38&lt;'Données projet'!$A$62,$AF$205^A38,IF(A38='Données projet'!$A$62,'Données projet'!$B$62,AI37+AH38-AQ37)))</f>
        <v>235.16666666666666</v>
      </c>
      <c r="AJ38" s="13">
        <f>AI38*VLOOKUP('Données projet'!$B$10,Paramètres!$A$1:$I$89,3,0)*VLOOKUP('Données projet'!$B$10,Paramètres!$A$1:$I$89,5,0)</f>
        <v>146.744</v>
      </c>
      <c r="AK38" s="13">
        <f t="shared" si="35"/>
        <v>37.837705514258651</v>
      </c>
      <c r="AL38" s="20">
        <f t="shared" si="4"/>
        <v>321.47980377066716</v>
      </c>
      <c r="AM38" s="59">
        <f t="shared" si="5"/>
        <v>614.81313710400048</v>
      </c>
      <c r="AN38" s="59">
        <f ca="1">AVERAGE(OFFSET($AM$3,0,0,'Données projet'!$E$10+1,1))-AVERAGE(OFFSET($H$3,0,0,'Données projet'!$E$10+1,1))</f>
        <v>179.44051550872138</v>
      </c>
      <c r="AO38" s="59">
        <f t="shared" si="36"/>
        <v>272.9500808380069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38.023357194068481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38.023357194068481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22.884615384615397</v>
      </c>
      <c r="BD38" s="12">
        <f>IF('Données projet'!$A$88&gt;35,BD37+BC38-BL37,IF(A38&lt;'Données projet'!$A$88,$BA$205^A38,IF(A38='Données projet'!$A$88,'Données projet'!$B$88,BD37+BC38-BL37)))</f>
        <v>380.62307692307695</v>
      </c>
      <c r="BE38" s="13">
        <f>BD38*VLOOKUP('Données projet'!$B$11,Paramètres!$A$1:$I$89,3,0)*VLOOKUP('Données projet'!$B$11,Paramètres!$A$1:$I$89,5,0)</f>
        <v>212.76830000000001</v>
      </c>
      <c r="BF38" s="13">
        <f t="shared" si="37"/>
        <v>52.540067037520508</v>
      </c>
      <c r="BG38" s="20">
        <f t="shared" si="7"/>
        <v>462.07873925701483</v>
      </c>
      <c r="BH38" s="59">
        <f t="shared" si="8"/>
        <v>755.41207259034809</v>
      </c>
      <c r="BI38" s="59">
        <f ca="1">AVERAGE(OFFSET($BH$3,0,0,'Données projet'!$E$11+1,1))-AVERAGE(OFFSET($H$3,0,0,'Données projet'!$E$11+1,1))</f>
        <v>278.5296012747549</v>
      </c>
      <c r="BJ38" s="59">
        <f t="shared" si="38"/>
        <v>370.55343097937077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26.776346200655233</v>
      </c>
      <c r="BQ38" s="21">
        <f>EXP(-LN(2)/25)*BQ37+(1-EXP(-LN(2)/25))/(LN(2)/25)*Calculateur!BL38*Calculateur!BN38*VLOOKUP('Données projet'!$B$11,Paramètres!$A$1:$I$89,3,0)*0.475*44/12</f>
        <v>15.886127547825641</v>
      </c>
      <c r="BR38" s="21">
        <f>EXP(-LN(2)/2)*BR37+(1-EXP(-LN(2)/2))/(LN(2)/2)*BL38*BO38*VLOOKUP('Données projet'!$B$11,Paramètres!$A$1:$I$89,3,0)*0.475*44/12</f>
        <v>1.1019102448972871</v>
      </c>
      <c r="BS38" s="22">
        <f t="shared" si="9"/>
        <v>43.764383993378168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>
        <f>VLOOKUP(A38,'Données projet'!$A$113:$I$133,2,0)</f>
        <v>172</v>
      </c>
      <c r="BW38" s="12">
        <f>VLOOKUP(A38,'Données projet'!$A$113:$I$133,9,0)</f>
        <v>10.8</v>
      </c>
      <c r="BX38" s="12">
        <f t="array" ref="BX38">INDEX(BW:BW,MIN(IF(ISNUMBER(BW38:BW234),ROW(BW38:BW234),"")))</f>
        <v>10.8</v>
      </c>
      <c r="BY38" s="12">
        <f>IF('Données projet'!$A$114&gt;35,BY37+BX38-CG37,IF(A38&lt;'Données projet'!$A$114,$BV$205^A38,IF(A38='Données projet'!$A$114,'Données projet'!$B$114,BY37+BX38-CG37)))</f>
        <v>172.00000000000003</v>
      </c>
      <c r="BZ38" s="13">
        <f>BY38*VLOOKUP('Données projet'!$B$12,Paramètres!$A$1:$I$89,3,0)*VLOOKUP('Données projet'!$B$12,Paramètres!$A$1:$I$89,5,0)</f>
        <v>136.84320000000002</v>
      </c>
      <c r="CA38" s="13">
        <f t="shared" si="39"/>
        <v>35.572869837729648</v>
      </c>
      <c r="CB38" s="20">
        <f t="shared" si="10"/>
        <v>300.2913216340458</v>
      </c>
      <c r="CC38" s="59">
        <f t="shared" si="11"/>
        <v>593.62465496737912</v>
      </c>
      <c r="CD38" s="59">
        <f ca="1">AVERAGE(OFFSET($CC$3,0,0,'Données projet'!$E$12+1,1))-AVERAGE(OFFSET($H$3,0,0,'Données projet'!$E$12+1,1))</f>
        <v>225.2323446080772</v>
      </c>
      <c r="CE38" s="59">
        <f t="shared" si="40"/>
        <v>222.29030402759292</v>
      </c>
      <c r="CF38" s="15">
        <f>IF(ISNA(VLOOKUP(A38,'Données projet'!$A$113:$I$133,3,0)),0,VLOOKUP(A38,'Données projet'!$A$113:$I$133,3,0))</f>
        <v>5</v>
      </c>
      <c r="CG38" s="15">
        <f>IF(ISNA(VLOOKUP(A38,'Données projet'!$A$113:$I$133,4,0)),0,VLOOKUP(A38,'Données projet'!$A$113:$I$133,4,0))</f>
        <v>28</v>
      </c>
      <c r="CH38" s="16">
        <f>IF(ISNA(VLOOKUP(A38,'Données projet'!$A$113:$I$133,5,0)),0%,VLOOKUP(A38,'Données projet'!$A$113:$I$133,5,0)*VLOOKUP('Données projet'!$B$12,Paramètres!$A$1:$I$89,7,0))</f>
        <v>9.5399999999999999E-2</v>
      </c>
      <c r="CI38" s="16">
        <f>IF(ISNA(VLOOKUP(A38,'Données projet'!$A$113:$I$133,6,0)),0%,VLOOKUP(A38,'Données projet'!$A$113:$I$133,6,0)*VLOOKUP('Données projet'!$B$12,Paramètres!$A$1:$I$89,7,0))</f>
        <v>0.22790000000000002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2.822211897049594</v>
      </c>
      <c r="CL38" s="21">
        <f>EXP(-LN(2)/25)*CL37+(1-EXP(-LN(2)/25))/(LN(2)/25)*Calculateur!CG38*Calculateur!CI38*VLOOKUP('Données projet'!$B$12,Paramètres!$A$1:$I$89,3,0)*0.475*44/12</f>
        <v>9.5620466419357015</v>
      </c>
      <c r="CM38" s="21">
        <f>EXP(-LN(2)/2)*CM37+(1-EXP(-LN(2)/2))/(LN(2)/2)*CG38*CJ38*VLOOKUP('Données projet'!$B$12,Paramètres!$A$1:$I$89,3,0)*0.475*44/12</f>
        <v>0</v>
      </c>
      <c r="CN38" s="22">
        <f t="shared" si="12"/>
        <v>12.384258538985296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5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17.316000000000003</v>
      </c>
      <c r="D39" s="11">
        <f t="shared" si="32"/>
        <v>5.7259077130880893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177.86735778524144</v>
      </c>
      <c r="H39" s="67">
        <f t="shared" si="1"/>
        <v>333.46465593362842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>
        <f>VLOOKUP(A39,'Données projet'!$A$35:$I$55,2,0)</f>
        <v>342.64615384615388</v>
      </c>
      <c r="L39" s="12">
        <f>VLOOKUP(A39,'Données projet'!$A$35:$I$55,9,0)</f>
        <v>21.615384615384631</v>
      </c>
      <c r="M39" s="12">
        <f t="array" ref="M39">INDEX(L:L,MIN(IF(ISNUMBER(L39:L235),ROW(L39:L235),"")))</f>
        <v>21.615384615384631</v>
      </c>
      <c r="N39" s="13">
        <f>IF('Données projet'!$A$36&gt;35,N38+M39-V38,IF(A39&lt;'Données projet'!$A$36,$K$205^A39,IF(A39='Données projet'!$A$36,'Données projet'!$B$36,N38+M39-V38)))</f>
        <v>342.64615384615394</v>
      </c>
      <c r="O39" s="13">
        <f>N39*VLOOKUP('Données projet'!$B$9,Paramètres!$A$1:$I$89,3,0)*VLOOKUP('Données projet'!$B$9,Paramètres!$A$1:$I$89,5,0)</f>
        <v>164.81280000000004</v>
      </c>
      <c r="P39" s="13">
        <f t="shared" si="33"/>
        <v>41.926176413268813</v>
      </c>
      <c r="Q39" s="20">
        <f t="shared" si="53"/>
        <v>360.07038391977659</v>
      </c>
      <c r="R39" s="59">
        <f t="shared" si="0"/>
        <v>653.4037172531099</v>
      </c>
      <c r="S39" s="59">
        <f ca="1">AVERAGE(OFFSET($R$3,0,0,'Données projet'!$E$9+1,1))-AVERAGE(OFFSET($H$3,0,0,'Données projet'!$E$9+1,1))</f>
        <v>234.10156575337737</v>
      </c>
      <c r="T39" s="59">
        <f t="shared" si="34"/>
        <v>285.68635263076646</v>
      </c>
      <c r="U39" s="15">
        <f>IF(ISNA(VLOOKUP(A39,'Données projet'!$A$35:$I$55,3,0)),0,VLOOKUP(A39,'Données projet'!$A$35:$I$55,3,0))</f>
        <v>3</v>
      </c>
      <c r="V39" s="15">
        <f>IF(ISNA(VLOOKUP(A39,'Données projet'!$A$35:$I$55,4,0)),0,VLOOKUP(A39,'Données projet'!$A$35:$I$55,4,0))</f>
        <v>85.407692307692301</v>
      </c>
      <c r="W39" s="16">
        <f>IF(ISNA(VLOOKUP(A39,'Données projet'!$A$35:$I$55,5,0)),0%,VLOOKUP(A39,'Données projet'!$A$35:$I$55,5,0)*VLOOKUP('Données projet'!$B$9,Paramètres!$A$1:$I$89,7,0))</f>
        <v>0.16500000000000001</v>
      </c>
      <c r="X39" s="16">
        <f>IF(ISNA(VLOOKUP(A39,'Données projet'!$A$35:$I$55,6,0)),0%,VLOOKUP(A39,'Données projet'!$A$35:$I$55,6,0)*VLOOKUP('Données projet'!$B$9,Paramètres!$A$1:$I$89,7,0))</f>
        <v>0.33</v>
      </c>
      <c r="Y39" s="16">
        <f>IF(ISNA(VLOOKUP(A39,'Données projet'!$A$35:$I$55,7,0)),0%,VLOOKUP(A39,'Données projet'!$A$35:$I$55,7,0))</f>
        <v>0.1</v>
      </c>
      <c r="Z39" s="21">
        <f>EXP(-LN(2)/35)*Z38+(1-EXP(-LN(2)/35))/(LN(2)/35)*V39*W39*VLOOKUP('Données projet'!$B$9,Paramètres!$A$1:$I$89,3,0)*0.475*44/12</f>
        <v>17.407247823170572</v>
      </c>
      <c r="AA39" s="21">
        <f>EXP(-LN(2)/25)*AA38+(1-EXP(-LN(2)/25))/(LN(2)/25)*Calculateur!V39*Calculateur!X39*VLOOKUP('Données projet'!$B$9,Paramètres!$A$1:$I$89,3,0)*0.475*44/12</f>
        <v>47.753355324561248</v>
      </c>
      <c r="AB39" s="21">
        <f>EXP(-LN(2)/2)*AB38+(1-EXP(-LN(2)/2))/(LN(2)/2)*V39*Y39*VLOOKUP('Données projet'!$B$9,Paramètres!$A$1:$I$89,3,0)*0.475*44/12</f>
        <v>5.4258763289097418</v>
      </c>
      <c r="AC39" s="22">
        <f t="shared" si="3"/>
        <v>70.586479476641557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>
        <f>VLOOKUP(A39,'Données projet'!$A$61:$I$81,2,0)</f>
        <v>248</v>
      </c>
      <c r="AG39" s="12">
        <f>VLOOKUP(A39,'Données projet'!$A$61:$I$81,9,0)</f>
        <v>12.833333333333334</v>
      </c>
      <c r="AH39" s="12">
        <f t="array" ref="AH39">INDEX(AG:AG,MIN(IF(ISNUMBER(AG39:AG235),ROW(AG39:AG235),"")))</f>
        <v>12.833333333333334</v>
      </c>
      <c r="AI39" s="13">
        <f>IF('Données projet'!$A$62&gt;35,AI38+AH39-AQ38,IF(A39&lt;'Données projet'!$A$62,$AF$205^A39,IF(A39='Données projet'!$A$62,'Données projet'!$B$62,AI38+AH39-AQ38)))</f>
        <v>248</v>
      </c>
      <c r="AJ39" s="13">
        <f>AI39*VLOOKUP('Données projet'!$B$10,Paramètres!$A$1:$I$89,3,0)*VLOOKUP('Données projet'!$B$10,Paramètres!$A$1:$I$89,5,0)</f>
        <v>154.75199999999998</v>
      </c>
      <c r="AK39" s="13">
        <f t="shared" si="35"/>
        <v>39.656526650076415</v>
      </c>
      <c r="AL39" s="20">
        <f t="shared" si="4"/>
        <v>338.5948505822164</v>
      </c>
      <c r="AM39" s="59">
        <f t="shared" si="5"/>
        <v>631.92818391554965</v>
      </c>
      <c r="AN39" s="59">
        <f ca="1">AVERAGE(OFFSET($AM$3,0,0,'Données projet'!$E$10+1,1))-AVERAGE(OFFSET($H$3,0,0,'Données projet'!$E$10+1,1))</f>
        <v>179.44051550872138</v>
      </c>
      <c r="AO39" s="59">
        <f t="shared" si="36"/>
        <v>272.9500808380069</v>
      </c>
      <c r="AP39" s="15">
        <f>IF(ISNA(VLOOKUP(A39,'Données projet'!$A$61:$I$81,3,0)),0,VLOOKUP(A39,'Données projet'!$A$61:$I$81,3,0))</f>
        <v>5</v>
      </c>
      <c r="AQ39" s="15">
        <f>IF(ISNA(VLOOKUP(A39,'Données projet'!$A$61:$I$81,4,0)),0,VLOOKUP(A39,'Données projet'!$A$61:$I$81,4,0))</f>
        <v>62</v>
      </c>
      <c r="AR39" s="16">
        <f>IF(ISNA(VLOOKUP(A39,'Données projet'!$A$61:$I$81,5,0)),0%,VLOOKUP(A39,'Données projet'!$A$61:$I$81,5,0)*VLOOKUP('Données projet'!$B$10,Paramètres!$A$1:$I$89,7,0))</f>
        <v>0.18</v>
      </c>
      <c r="AS39" s="16">
        <f>IF(ISNA(VLOOKUP(A39,'Données projet'!$A$61:$I$81,6,0)),0%,VLOOKUP(A39,'Données projet'!$A$61:$I$81,6,0)*VLOOKUP('Données projet'!$B$10,Paramètres!$A$1:$I$89,7,0))</f>
        <v>0.36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9.2379826173680861</v>
      </c>
      <c r="AV39" s="21">
        <f>EXP(-LN(2)/25)*AV38+(1-EXP(-LN(2)/25))/(LN(2)/25)*Calculateur!AQ39*Calculateur!AS39*VLOOKUP('Données projet'!$B$10,Paramètres!$A$1:$I$89,3,0)*0.475*44/12</f>
        <v>55.386824811747573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64.624807429115663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>
        <f>VLOOKUP(A39,'Données projet'!$A$87:$I$107,2,0)</f>
        <v>403.50769230769237</v>
      </c>
      <c r="BB39" s="12">
        <f>VLOOKUP(A39,'Données projet'!$A$87:$I$107,9,0)</f>
        <v>22.884615384615397</v>
      </c>
      <c r="BC39" s="12">
        <f t="array" ref="BC39">INDEX(BB:BB,MIN(IF(ISNUMBER(BB39:BB235),ROW(BB39:BB235),"")))</f>
        <v>22.884615384615397</v>
      </c>
      <c r="BD39" s="12">
        <f>IF('Données projet'!$A$88&gt;35,BD38+BC39-BL38,IF(A39&lt;'Données projet'!$A$88,$BA$205^A39,IF(A39='Données projet'!$A$88,'Données projet'!$B$88,BD38+BC39-BL38)))</f>
        <v>403.50769230769237</v>
      </c>
      <c r="BE39" s="13">
        <f>BD39*VLOOKUP('Données projet'!$B$11,Paramètres!$A$1:$I$89,3,0)*VLOOKUP('Données projet'!$B$11,Paramètres!$A$1:$I$89,5,0)</f>
        <v>225.56080000000003</v>
      </c>
      <c r="BF39" s="13">
        <f t="shared" si="37"/>
        <v>55.321736658663667</v>
      </c>
      <c r="BG39" s="20">
        <f t="shared" si="7"/>
        <v>489.20375134717256</v>
      </c>
      <c r="BH39" s="59">
        <f t="shared" si="8"/>
        <v>782.53708468050581</v>
      </c>
      <c r="BI39" s="59">
        <f ca="1">AVERAGE(OFFSET($BH$3,0,0,'Données projet'!$E$11+1,1))-AVERAGE(OFFSET($H$3,0,0,'Données projet'!$E$11+1,1))</f>
        <v>278.5296012747549</v>
      </c>
      <c r="BJ39" s="59">
        <f t="shared" si="38"/>
        <v>370.55343097937077</v>
      </c>
      <c r="BK39" s="15">
        <f>IF(ISNA(VLOOKUP(A39,'Données projet'!$A$87:$I$107,3,0)),0,VLOOKUP(A39,'Données projet'!$A$87:$I$107,3,0))</f>
        <v>4</v>
      </c>
      <c r="BL39" s="15">
        <f>IF(ISNA(VLOOKUP(A39,'Données projet'!$A$87:$I$107,4,0)),0,VLOOKUP(A39,'Données projet'!$A$87:$I$107,4,0))</f>
        <v>69.3</v>
      </c>
      <c r="BM39" s="16">
        <f>IF(ISNA(VLOOKUP(A39,'Données projet'!$A$87:$I$107,5,0)),0%,VLOOKUP(A39,'Données projet'!$A$87:$I$107,5,0)*VLOOKUP('Données projet'!$B$11,Paramètres!$A$1:$I$89,7,0))</f>
        <v>0.38500000000000001</v>
      </c>
      <c r="BN39" s="16">
        <f>IF(ISNA(VLOOKUP(A39,'Données projet'!$A$87:$I$107,6,0)),0%,VLOOKUP(A39,'Données projet'!$A$87:$I$107,6,0)*VLOOKUP('Données projet'!$B$11,Paramètres!$A$1:$I$89,7,0))</f>
        <v>9.240000000000001E-2</v>
      </c>
      <c r="BO39" s="16">
        <f>IF(ISNA(VLOOKUP(A39,'Données projet'!$A$87:$I$107,7,0)),0%,VLOOKUP(A39,'Données projet'!$A$87:$I$107,7,0))</f>
        <v>0.13200000000000001</v>
      </c>
      <c r="BP39" s="21">
        <f>EXP(-LN(2)/35)*BP38+(1-EXP(-LN(2)/35))/(LN(2)/35)*BL39*BM39*VLOOKUP('Données projet'!$B$11,Paramètres!$A$1:$I$89,3,0)*0.475*44/12</f>
        <v>46.036190634544177</v>
      </c>
      <c r="BQ39" s="21">
        <f>EXP(-LN(2)/25)*BQ38+(1-EXP(-LN(2)/25))/(LN(2)/25)*Calculateur!BL39*Calculateur!BN39*VLOOKUP('Données projet'!$B$11,Paramètres!$A$1:$I$89,3,0)*0.475*44/12</f>
        <v>20.181403317675393</v>
      </c>
      <c r="BR39" s="21">
        <f>EXP(-LN(2)/2)*BR38+(1-EXP(-LN(2)/2))/(LN(2)/2)*BL39*BO39*VLOOKUP('Données projet'!$B$11,Paramètres!$A$1:$I$89,3,0)*0.475*44/12</f>
        <v>6.5688475705786837</v>
      </c>
      <c r="BS39" s="22">
        <f t="shared" si="9"/>
        <v>72.786441522798256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9.6</v>
      </c>
      <c r="BY39" s="12">
        <f>IF('Données projet'!$A$114&gt;35,BY38+BX39-CG38,IF(A39&lt;'Données projet'!$A$114,$BV$205^A39,IF(A39='Données projet'!$A$114,'Données projet'!$B$114,BY38+BX39-CG38)))</f>
        <v>153.60000000000002</v>
      </c>
      <c r="BZ39" s="13">
        <f>BY39*VLOOKUP('Données projet'!$B$12,Paramètres!$A$1:$I$89,3,0)*VLOOKUP('Données projet'!$B$12,Paramètres!$A$1:$I$89,5,0)</f>
        <v>122.20416000000003</v>
      </c>
      <c r="CA39" s="13">
        <f t="shared" si="39"/>
        <v>32.188537573102472</v>
      </c>
      <c r="CB39" s="20">
        <f t="shared" si="10"/>
        <v>268.90061493982017</v>
      </c>
      <c r="CC39" s="59">
        <f t="shared" si="11"/>
        <v>562.23394827315349</v>
      </c>
      <c r="CD39" s="59">
        <f ca="1">AVERAGE(OFFSET($CC$3,0,0,'Données projet'!$E$12+1,1))-AVERAGE(OFFSET($H$3,0,0,'Données projet'!$E$12+1,1))</f>
        <v>225.2323446080772</v>
      </c>
      <c r="CE39" s="59">
        <f t="shared" si="40"/>
        <v>222.29030402759292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2.7668700431277364</v>
      </c>
      <c r="CL39" s="21">
        <f>EXP(-LN(2)/25)*CL38+(1-EXP(-LN(2)/25))/(LN(2)/25)*Calculateur!CG39*Calculateur!CI39*VLOOKUP('Données projet'!$B$12,Paramètres!$A$1:$I$89,3,0)*0.475*44/12</f>
        <v>9.3005719736657912</v>
      </c>
      <c r="CM39" s="21">
        <f>EXP(-LN(2)/2)*CM38+(1-EXP(-LN(2)/2))/(LN(2)/2)*CG39*CJ39*VLOOKUP('Données projet'!$B$12,Paramètres!$A$1:$I$89,3,0)*0.475*44/12</f>
        <v>0</v>
      </c>
      <c r="CN39" s="22">
        <f t="shared" si="12"/>
        <v>12.067442016793528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5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17.797000000000004</v>
      </c>
      <c r="D40" s="11">
        <f t="shared" si="32"/>
        <v>5.8662220464630659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182.66346842883772</v>
      </c>
      <c r="H40" s="67">
        <f t="shared" si="1"/>
        <v>334.54677839758983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20.323076923076911</v>
      </c>
      <c r="N40" s="13">
        <f>IF('Données projet'!$A$36&gt;35,N39+M40-V39,IF(A40&lt;'Données projet'!$A$36,$K$205^A40,IF(A40='Données projet'!$A$36,'Données projet'!$B$36,N39+M40-V39)))</f>
        <v>277.56153846153859</v>
      </c>
      <c r="O40" s="13">
        <f>N40*VLOOKUP('Données projet'!$B$9,Paramètres!$A$1:$I$89,3,0)*VLOOKUP('Données projet'!$B$9,Paramètres!$A$1:$I$89,5,0)</f>
        <v>133.50710000000007</v>
      </c>
      <c r="P40" s="13">
        <f t="shared" si="33"/>
        <v>34.805487374635142</v>
      </c>
      <c r="Q40" s="20">
        <f t="shared" si="53"/>
        <v>293.14442301082295</v>
      </c>
      <c r="R40" s="59">
        <f t="shared" si="0"/>
        <v>586.47775634415621</v>
      </c>
      <c r="S40" s="59">
        <f ca="1">AVERAGE(OFFSET($R$3,0,0,'Données projet'!$E$9+1,1))-AVERAGE(OFFSET($H$3,0,0,'Données projet'!$E$9+1,1))</f>
        <v>234.10156575337737</v>
      </c>
      <c r="T40" s="59">
        <f t="shared" si="34"/>
        <v>285.68635263076646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17.065902310730991</v>
      </c>
      <c r="AA40" s="21">
        <f>EXP(-LN(2)/25)*AA39+(1-EXP(-LN(2)/25))/(LN(2)/25)*Calculateur!V40*Calculateur!X40*VLOOKUP('Données projet'!$B$9,Paramètres!$A$1:$I$89,3,0)*0.475*44/12</f>
        <v>46.447537311971303</v>
      </c>
      <c r="AB40" s="21">
        <f>EXP(-LN(2)/2)*AB39+(1-EXP(-LN(2)/2))/(LN(2)/2)*V40*Y40*VLOOKUP('Données projet'!$B$9,Paramètres!$A$1:$I$89,3,0)*0.475*44/12</f>
        <v>3.8366739460516488</v>
      </c>
      <c r="AC40" s="22">
        <f t="shared" si="3"/>
        <v>67.35011356875394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11.5</v>
      </c>
      <c r="AI40" s="13">
        <f>IF('Données projet'!$A$62&gt;35,AI39+AH40-AQ39,IF(A40&lt;'Données projet'!$A$62,$AF$205^A40,IF(A40='Données projet'!$A$62,'Données projet'!$B$62,AI39+AH40-AQ39)))</f>
        <v>197.5</v>
      </c>
      <c r="AJ40" s="13">
        <f>AI40*VLOOKUP('Données projet'!$B$10,Paramètres!$A$1:$I$89,3,0)*VLOOKUP('Données projet'!$B$10,Paramètres!$A$1:$I$89,5,0)</f>
        <v>123.24</v>
      </c>
      <c r="AK40" s="13">
        <f t="shared" si="35"/>
        <v>32.429500380369056</v>
      </c>
      <c r="AL40" s="20">
        <f t="shared" si="4"/>
        <v>271.12437982914275</v>
      </c>
      <c r="AM40" s="59">
        <f t="shared" si="5"/>
        <v>564.45771316247601</v>
      </c>
      <c r="AN40" s="59">
        <f ca="1">AVERAGE(OFFSET($AM$3,0,0,'Données projet'!$E$10+1,1))-AVERAGE(OFFSET($H$3,0,0,'Données projet'!$E$10+1,1))</f>
        <v>179.44051550872138</v>
      </c>
      <c r="AO40" s="59">
        <f t="shared" si="36"/>
        <v>272.9500808380069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9.0568314128545229</v>
      </c>
      <c r="AV40" s="21">
        <f>EXP(-LN(2)/25)*AV39+(1-EXP(-LN(2)/25))/(LN(2)/25)*Calculateur!AQ40*Calculateur!AS40*VLOOKUP('Données projet'!$B$10,Paramètres!$A$1:$I$89,3,0)*0.475*44/12</f>
        <v>53.872269174603808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62.929100587458329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22.419230769230751</v>
      </c>
      <c r="BD40" s="12">
        <f>IF('Données projet'!$A$88&gt;35,BD39+BC40-BL39,IF(A40&lt;'Données projet'!$A$88,$BA$205^A40,IF(A40='Données projet'!$A$88,'Données projet'!$B$88,BD39+BC40-BL39)))</f>
        <v>356.62692307692311</v>
      </c>
      <c r="BE40" s="13">
        <f>BD40*VLOOKUP('Données projet'!$B$11,Paramètres!$A$1:$I$89,3,0)*VLOOKUP('Données projet'!$B$11,Paramètres!$A$1:$I$89,5,0)</f>
        <v>199.35445000000001</v>
      </c>
      <c r="BF40" s="13">
        <f t="shared" si="37"/>
        <v>49.60226869073324</v>
      </c>
      <c r="BG40" s="20">
        <f t="shared" si="7"/>
        <v>433.59961838636042</v>
      </c>
      <c r="BH40" s="59">
        <f t="shared" si="8"/>
        <v>726.93295171969373</v>
      </c>
      <c r="BI40" s="59">
        <f ca="1">AVERAGE(OFFSET($BH$3,0,0,'Données projet'!$E$11+1,1))-AVERAGE(OFFSET($H$3,0,0,'Données projet'!$E$11+1,1))</f>
        <v>278.5296012747549</v>
      </c>
      <c r="BJ40" s="59">
        <f t="shared" si="38"/>
        <v>370.55343097937077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45.133449015504453</v>
      </c>
      <c r="BQ40" s="21">
        <f>EXP(-LN(2)/25)*BQ39+(1-EXP(-LN(2)/25))/(LN(2)/25)*Calculateur!BL40*Calculateur!BN40*VLOOKUP('Données projet'!$B$11,Paramètres!$A$1:$I$89,3,0)*0.475*44/12</f>
        <v>19.629541782659683</v>
      </c>
      <c r="BR40" s="21">
        <f>EXP(-LN(2)/2)*BR39+(1-EXP(-LN(2)/2))/(LN(2)/2)*BL40*BO40*VLOOKUP('Données projet'!$B$11,Paramètres!$A$1:$I$89,3,0)*0.475*44/12</f>
        <v>4.6448766617369657</v>
      </c>
      <c r="BS40" s="22">
        <f t="shared" si="9"/>
        <v>69.407867459901098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9.6</v>
      </c>
      <c r="BY40" s="12">
        <f>IF('Données projet'!$A$114&gt;35,BY39+BX40-CG39,IF(A40&lt;'Données projet'!$A$114,$BV$205^A40,IF(A40='Données projet'!$A$114,'Données projet'!$B$114,BY39+BX40-CG39)))</f>
        <v>163.20000000000002</v>
      </c>
      <c r="BZ40" s="13">
        <f>BY40*VLOOKUP('Données projet'!$B$12,Paramètres!$A$1:$I$89,3,0)*VLOOKUP('Données projet'!$B$12,Paramètres!$A$1:$I$89,5,0)</f>
        <v>129.84192000000002</v>
      </c>
      <c r="CA40" s="13">
        <f t="shared" si="39"/>
        <v>33.959829099416851</v>
      </c>
      <c r="CB40" s="20">
        <f t="shared" si="10"/>
        <v>285.288046348151</v>
      </c>
      <c r="CC40" s="59">
        <f t="shared" si="11"/>
        <v>578.62137968148431</v>
      </c>
      <c r="CD40" s="59">
        <f ca="1">AVERAGE(OFFSET($CC$3,0,0,'Données projet'!$E$12+1,1))-AVERAGE(OFFSET($H$3,0,0,'Données projet'!$E$12+1,1))</f>
        <v>225.2323446080772</v>
      </c>
      <c r="CE40" s="59">
        <f t="shared" si="40"/>
        <v>222.29030402759292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2.7126134092060887</v>
      </c>
      <c r="CL40" s="21">
        <f>EXP(-LN(2)/25)*CL39+(1-EXP(-LN(2)/25))/(LN(2)/25)*Calculateur!CG40*Calculateur!CI40*VLOOKUP('Données projet'!$B$12,Paramètres!$A$1:$I$89,3,0)*0.475*44/12</f>
        <v>9.0462473439500766</v>
      </c>
      <c r="CM40" s="21">
        <f>EXP(-LN(2)/2)*CM39+(1-EXP(-LN(2)/2))/(LN(2)/2)*CG40*CJ40*VLOOKUP('Données projet'!$B$12,Paramètres!$A$1:$I$89,3,0)*0.475*44/12</f>
        <v>0</v>
      </c>
      <c r="CN40" s="22">
        <f t="shared" si="12"/>
        <v>11.758860753156165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5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18.278000000000006</v>
      </c>
      <c r="D41" s="11">
        <f t="shared" si="32"/>
        <v>6.0060955954395361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187.45617652619998</v>
      </c>
      <c r="H41" s="67">
        <f t="shared" si="1"/>
        <v>335.62813316205717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20.323076923076911</v>
      </c>
      <c r="N41" s="13">
        <f>IF('Données projet'!$A$36&gt;35,N40+M41-V40,IF(A41&lt;'Données projet'!$A$36,$K$205^A41,IF(A41='Données projet'!$A$36,'Données projet'!$B$36,N40+M41-V40)))</f>
        <v>297.88461538461547</v>
      </c>
      <c r="O41" s="13">
        <f>N41*VLOOKUP('Données projet'!$B$9,Paramètres!$A$1:$I$89,3,0)*VLOOKUP('Données projet'!$B$9,Paramètres!$A$1:$I$89,5,0)</f>
        <v>143.28250000000006</v>
      </c>
      <c r="P41" s="13">
        <f t="shared" si="33"/>
        <v>37.047962863167086</v>
      </c>
      <c r="Q41" s="20">
        <f t="shared" si="53"/>
        <v>314.07555615334945</v>
      </c>
      <c r="R41" s="59">
        <f t="shared" si="0"/>
        <v>607.40888948668271</v>
      </c>
      <c r="S41" s="59">
        <f ca="1">AVERAGE(OFFSET($R$3,0,0,'Données projet'!$E$9+1,1))-AVERAGE(OFFSET($H$3,0,0,'Données projet'!$E$9+1,1))</f>
        <v>234.10156575337737</v>
      </c>
      <c r="T41" s="59">
        <f t="shared" si="34"/>
        <v>285.68635263076646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16.731250375590147</v>
      </c>
      <c r="AA41" s="21">
        <f>EXP(-LN(2)/25)*AA40+(1-EXP(-LN(2)/25))/(LN(2)/25)*Calculateur!V41*Calculateur!X41*VLOOKUP('Données projet'!$B$9,Paramètres!$A$1:$I$89,3,0)*0.475*44/12</f>
        <v>45.177426961605619</v>
      </c>
      <c r="AB41" s="21">
        <f>EXP(-LN(2)/2)*AB40+(1-EXP(-LN(2)/2))/(LN(2)/2)*V41*Y41*VLOOKUP('Données projet'!$B$9,Paramètres!$A$1:$I$89,3,0)*0.475*44/12</f>
        <v>2.7129381644548713</v>
      </c>
      <c r="AC41" s="22">
        <f t="shared" si="3"/>
        <v>64.621615501650638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11.5</v>
      </c>
      <c r="AI41" s="13">
        <f>IF('Données projet'!$A$62&gt;35,AI40+AH41-AQ40,IF(A41&lt;'Données projet'!$A$62,$AF$205^A41,IF(A41='Données projet'!$A$62,'Données projet'!$B$62,AI40+AH41-AQ40)))</f>
        <v>209</v>
      </c>
      <c r="AJ41" s="13">
        <f>AI41*VLOOKUP('Données projet'!$B$10,Paramètres!$A$1:$I$89,3,0)*VLOOKUP('Données projet'!$B$10,Paramètres!$A$1:$I$89,5,0)</f>
        <v>130.416</v>
      </c>
      <c r="AK41" s="13">
        <f t="shared" si="35"/>
        <v>34.092466837179941</v>
      </c>
      <c r="AL41" s="20">
        <f t="shared" si="4"/>
        <v>286.51891307475506</v>
      </c>
      <c r="AM41" s="59">
        <f t="shared" si="5"/>
        <v>579.85224640808838</v>
      </c>
      <c r="AN41" s="59">
        <f ca="1">AVERAGE(OFFSET($AM$3,0,0,'Données projet'!$E$10+1,1))-AVERAGE(OFFSET($H$3,0,0,'Données projet'!$E$10+1,1))</f>
        <v>179.44051550872138</v>
      </c>
      <c r="AO41" s="59">
        <f t="shared" si="36"/>
        <v>272.9500808380069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8.8792324729701466</v>
      </c>
      <c r="AV41" s="21">
        <f>EXP(-LN(2)/25)*AV40+(1-EXP(-LN(2)/25))/(LN(2)/25)*Calculateur!AQ41*Calculateur!AS41*VLOOKUP('Données projet'!$B$10,Paramètres!$A$1:$I$89,3,0)*0.475*44/12</f>
        <v>52.399129141004757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61.278361613974901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22.419230769230751</v>
      </c>
      <c r="BD41" s="12">
        <f>IF('Données projet'!$A$88&gt;35,BD40+BC41-BL40,IF(A41&lt;'Données projet'!$A$88,$BA$205^A41,IF(A41='Données projet'!$A$88,'Données projet'!$B$88,BD40+BC41-BL40)))</f>
        <v>379.04615384615386</v>
      </c>
      <c r="BE41" s="13">
        <f>BD41*VLOOKUP('Données projet'!$B$11,Paramètres!$A$1:$I$89,3,0)*VLOOKUP('Données projet'!$B$11,Paramètres!$A$1:$I$89,5,0)</f>
        <v>211.88679999999999</v>
      </c>
      <c r="BF41" s="13">
        <f t="shared" si="37"/>
        <v>52.347684082939317</v>
      </c>
      <c r="BG41" s="20">
        <f t="shared" si="7"/>
        <v>460.20839311111928</v>
      </c>
      <c r="BH41" s="59">
        <f t="shared" si="8"/>
        <v>753.54172644445259</v>
      </c>
      <c r="BI41" s="59">
        <f ca="1">AVERAGE(OFFSET($BH$3,0,0,'Données projet'!$E$11+1,1))-AVERAGE(OFFSET($H$3,0,0,'Données projet'!$E$11+1,1))</f>
        <v>278.5296012747549</v>
      </c>
      <c r="BJ41" s="59">
        <f t="shared" si="38"/>
        <v>370.55343097937077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44.248409608996077</v>
      </c>
      <c r="BQ41" s="21">
        <f>EXP(-LN(2)/25)*BQ40+(1-EXP(-LN(2)/25))/(LN(2)/25)*Calculateur!BL41*Calculateur!BN41*VLOOKUP('Données projet'!$B$11,Paramètres!$A$1:$I$89,3,0)*0.475*44/12</f>
        <v>19.092770930340116</v>
      </c>
      <c r="BR41" s="21">
        <f>EXP(-LN(2)/2)*BR40+(1-EXP(-LN(2)/2))/(LN(2)/2)*BL41*BO41*VLOOKUP('Données projet'!$B$11,Paramètres!$A$1:$I$89,3,0)*0.475*44/12</f>
        <v>3.2844237852893423</v>
      </c>
      <c r="BS41" s="22">
        <f t="shared" si="9"/>
        <v>66.625604324625542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9.6</v>
      </c>
      <c r="BY41" s="12">
        <f>IF('Données projet'!$A$114&gt;35,BY40+BX41-CG40,IF(A41&lt;'Données projet'!$A$114,$BV$205^A41,IF(A41='Données projet'!$A$114,'Données projet'!$B$114,BY40+BX41-CG40)))</f>
        <v>172.8</v>
      </c>
      <c r="BZ41" s="13">
        <f>BY41*VLOOKUP('Données projet'!$B$12,Paramètres!$A$1:$I$89,3,0)*VLOOKUP('Données projet'!$B$12,Paramètres!$A$1:$I$89,5,0)</f>
        <v>137.47968000000003</v>
      </c>
      <c r="CA41" s="13">
        <f t="shared" si="39"/>
        <v>35.719026553355249</v>
      </c>
      <c r="CB41" s="20">
        <f t="shared" si="10"/>
        <v>301.65441391376049</v>
      </c>
      <c r="CC41" s="59">
        <f t="shared" si="11"/>
        <v>594.98774724709381</v>
      </c>
      <c r="CD41" s="59">
        <f ca="1">AVERAGE(OFFSET($CC$3,0,0,'Données projet'!$E$12+1,1))-AVERAGE(OFFSET($H$3,0,0,'Données projet'!$E$12+1,1))</f>
        <v>225.2323446080772</v>
      </c>
      <c r="CE41" s="59">
        <f t="shared" si="40"/>
        <v>222.29030402759292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2.6594207147823656</v>
      </c>
      <c r="CL41" s="21">
        <f>EXP(-LN(2)/25)*CL40+(1-EXP(-LN(2)/25))/(LN(2)/25)*Calculateur!CG41*Calculateur!CI41*VLOOKUP('Données projet'!$B$12,Paramètres!$A$1:$I$89,3,0)*0.475*44/12</f>
        <v>8.7988772346082893</v>
      </c>
      <c r="CM41" s="21">
        <f>EXP(-LN(2)/2)*CM40+(1-EXP(-LN(2)/2))/(LN(2)/2)*CG41*CJ41*VLOOKUP('Données projet'!$B$12,Paramètres!$A$1:$I$89,3,0)*0.475*44/12</f>
        <v>0</v>
      </c>
      <c r="CN41" s="22">
        <f t="shared" si="12"/>
        <v>11.458297949390655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5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18.759000000000007</v>
      </c>
      <c r="D42" s="11">
        <f t="shared" si="32"/>
        <v>6.1455412930074749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192.24558191093493</v>
      </c>
      <c r="H42" s="67">
        <f t="shared" si="1"/>
        <v>336.70874275198798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20.323076923076911</v>
      </c>
      <c r="N42" s="13">
        <f>IF('Données projet'!$A$36&gt;35,N41+M42-V41,IF(A42&lt;'Données projet'!$A$36,$K$205^A42,IF(A42='Données projet'!$A$36,'Données projet'!$B$36,N41+M42-V41)))</f>
        <v>318.20769230769235</v>
      </c>
      <c r="O42" s="13">
        <f>N42*VLOOKUP('Données projet'!$B$9,Paramètres!$A$1:$I$89,3,0)*VLOOKUP('Données projet'!$B$9,Paramètres!$A$1:$I$89,5,0)</f>
        <v>153.05790000000002</v>
      </c>
      <c r="P42" s="13">
        <f t="shared" si="33"/>
        <v>39.272686060068523</v>
      </c>
      <c r="Q42" s="20">
        <f t="shared" si="53"/>
        <v>334.97577072128598</v>
      </c>
      <c r="R42" s="59">
        <f t="shared" si="0"/>
        <v>628.3091040546193</v>
      </c>
      <c r="S42" s="59">
        <f ca="1">AVERAGE(OFFSET($R$3,0,0,'Données projet'!$E$9+1,1))-AVERAGE(OFFSET($H$3,0,0,'Données projet'!$E$9+1,1))</f>
        <v>234.10156575337737</v>
      </c>
      <c r="T42" s="59">
        <f t="shared" si="34"/>
        <v>285.68635263076646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16.403160760779887</v>
      </c>
      <c r="AA42" s="21">
        <f>EXP(-LN(2)/25)*AA41+(1-EXP(-LN(2)/25))/(LN(2)/25)*Calculateur!V42*Calculateur!X42*VLOOKUP('Données projet'!$B$9,Paramètres!$A$1:$I$89,3,0)*0.475*44/12</f>
        <v>43.942047845562882</v>
      </c>
      <c r="AB42" s="21">
        <f>EXP(-LN(2)/2)*AB41+(1-EXP(-LN(2)/2))/(LN(2)/2)*V42*Y42*VLOOKUP('Données projet'!$B$9,Paramètres!$A$1:$I$89,3,0)*0.475*44/12</f>
        <v>1.9183369730258246</v>
      </c>
      <c r="AC42" s="22">
        <f t="shared" si="3"/>
        <v>62.263545579368589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11.5</v>
      </c>
      <c r="AI42" s="13">
        <f>IF('Données projet'!$A$62&gt;35,AI41+AH42-AQ41,IF(A42&lt;'Données projet'!$A$62,$AF$205^A42,IF(A42='Données projet'!$A$62,'Données projet'!$B$62,AI41+AH42-AQ41)))</f>
        <v>220.5</v>
      </c>
      <c r="AJ42" s="13">
        <f>AI42*VLOOKUP('Données projet'!$B$10,Paramètres!$A$1:$I$89,3,0)*VLOOKUP('Données projet'!$B$10,Paramètres!$A$1:$I$89,5,0)</f>
        <v>137.59199999999998</v>
      </c>
      <c r="AK42" s="13">
        <f t="shared" si="35"/>
        <v>35.744810729505772</v>
      </c>
      <c r="AL42" s="20">
        <f t="shared" si="4"/>
        <v>301.89494535388923</v>
      </c>
      <c r="AM42" s="59">
        <f t="shared" si="5"/>
        <v>595.22827868722254</v>
      </c>
      <c r="AN42" s="59">
        <f ca="1">AVERAGE(OFFSET($AM$3,0,0,'Données projet'!$E$10+1,1))-AVERAGE(OFFSET($H$3,0,0,'Données projet'!$E$10+1,1))</f>
        <v>179.44051550872138</v>
      </c>
      <c r="AO42" s="59">
        <f t="shared" si="36"/>
        <v>272.9500808380069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8.7051161399722456</v>
      </c>
      <c r="AV42" s="21">
        <f>EXP(-LN(2)/25)*AV41+(1-EXP(-LN(2)/25))/(LN(2)/25)*Calculateur!AQ42*Calculateur!AS42*VLOOKUP('Données projet'!$B$10,Paramètres!$A$1:$I$89,3,0)*0.475*44/12</f>
        <v>50.966272199093538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59.671388339065786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22.419230769230751</v>
      </c>
      <c r="BD42" s="12">
        <f>IF('Données projet'!$A$88&gt;35,BD41+BC42-BL41,IF(A42&lt;'Données projet'!$A$88,$BA$205^A42,IF(A42='Données projet'!$A$88,'Données projet'!$B$88,BD41+BC42-BL41)))</f>
        <v>401.46538461538461</v>
      </c>
      <c r="BE42" s="13">
        <f>BD42*VLOOKUP('Données projet'!$B$11,Paramètres!$A$1:$I$89,3,0)*VLOOKUP('Données projet'!$B$11,Paramètres!$A$1:$I$89,5,0)</f>
        <v>224.41915</v>
      </c>
      <c r="BF42" s="13">
        <f t="shared" si="37"/>
        <v>55.074251579267461</v>
      </c>
      <c r="BG42" s="20">
        <f t="shared" si="7"/>
        <v>486.78434108389075</v>
      </c>
      <c r="BH42" s="59">
        <f t="shared" si="8"/>
        <v>780.11767441722407</v>
      </c>
      <c r="BI42" s="59">
        <f ca="1">AVERAGE(OFFSET($BH$3,0,0,'Données projet'!$E$11+1,1))-AVERAGE(OFFSET($H$3,0,0,'Données projet'!$E$11+1,1))</f>
        <v>278.5296012747549</v>
      </c>
      <c r="BJ42" s="59">
        <f t="shared" si="38"/>
        <v>370.55343097937077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43.380725285428596</v>
      </c>
      <c r="BQ42" s="21">
        <f>EXP(-LN(2)/25)*BQ41+(1-EXP(-LN(2)/25))/(LN(2)/25)*Calculateur!BL42*Calculateur!BN42*VLOOKUP('Données projet'!$B$11,Paramètres!$A$1:$I$89,3,0)*0.475*44/12</f>
        <v>18.570678105204781</v>
      </c>
      <c r="BR42" s="21">
        <f>EXP(-LN(2)/2)*BR41+(1-EXP(-LN(2)/2))/(LN(2)/2)*BL42*BO42*VLOOKUP('Données projet'!$B$11,Paramètres!$A$1:$I$89,3,0)*0.475*44/12</f>
        <v>2.3224383308684833</v>
      </c>
      <c r="BS42" s="22">
        <f t="shared" si="9"/>
        <v>64.273841721501853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9.6</v>
      </c>
      <c r="BY42" s="12">
        <f>IF('Données projet'!$A$114&gt;35,BY41+BX42-CG41,IF(A42&lt;'Données projet'!$A$114,$BV$205^A42,IF(A42='Données projet'!$A$114,'Données projet'!$B$114,BY41+BX42-CG41)))</f>
        <v>182.4</v>
      </c>
      <c r="BZ42" s="13">
        <f>BY42*VLOOKUP('Données projet'!$B$12,Paramètres!$A$1:$I$89,3,0)*VLOOKUP('Données projet'!$B$12,Paramètres!$A$1:$I$89,5,0)</f>
        <v>145.11744000000002</v>
      </c>
      <c r="CA42" s="13">
        <f t="shared" si="39"/>
        <v>37.466878406916173</v>
      </c>
      <c r="CB42" s="20">
        <f t="shared" si="10"/>
        <v>318.00102122537902</v>
      </c>
      <c r="CC42" s="59">
        <f t="shared" si="11"/>
        <v>611.33435455871233</v>
      </c>
      <c r="CD42" s="59">
        <f ca="1">AVERAGE(OFFSET($CC$3,0,0,'Données projet'!$E$12+1,1))-AVERAGE(OFFSET($H$3,0,0,'Données projet'!$E$12+1,1))</f>
        <v>225.2323446080772</v>
      </c>
      <c r="CE42" s="59">
        <f t="shared" si="40"/>
        <v>222.29030402759292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2.6072710966519517</v>
      </c>
      <c r="CL42" s="21">
        <f>EXP(-LN(2)/25)*CL41+(1-EXP(-LN(2)/25))/(LN(2)/25)*Calculateur!CG42*Calculateur!CI42*VLOOKUP('Données projet'!$B$12,Paramètres!$A$1:$I$89,3,0)*0.475*44/12</f>
        <v>8.5582714739150827</v>
      </c>
      <c r="CM42" s="21">
        <f>EXP(-LN(2)/2)*CM41+(1-EXP(-LN(2)/2))/(LN(2)/2)*CG42*CJ42*VLOOKUP('Données projet'!$B$12,Paramètres!$A$1:$I$89,3,0)*0.475*44/12</f>
        <v>0</v>
      </c>
      <c r="CN42" s="22">
        <f t="shared" si="12"/>
        <v>11.165542570567034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5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19.240000000000009</v>
      </c>
      <c r="D43" s="11">
        <f t="shared" si="32"/>
        <v>6.2845713711411841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197.03177900530045</v>
      </c>
      <c r="H43" s="67">
        <f t="shared" si="1"/>
        <v>337.78862847140419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20.323076923076911</v>
      </c>
      <c r="N43" s="13">
        <f>IF('Données projet'!$A$36&gt;35,N42+M43-V42,IF(A43&lt;'Données projet'!$A$36,$K$205^A43,IF(A43='Données projet'!$A$36,'Données projet'!$B$36,N42+M43-V42)))</f>
        <v>338.53076923076924</v>
      </c>
      <c r="O43" s="13">
        <f>N43*VLOOKUP('Données projet'!$B$9,Paramètres!$A$1:$I$89,3,0)*VLOOKUP('Données projet'!$B$9,Paramètres!$A$1:$I$89,5,0)</f>
        <v>162.83330000000001</v>
      </c>
      <c r="P43" s="13">
        <f t="shared" si="33"/>
        <v>41.480919808188595</v>
      </c>
      <c r="Q43" s="20">
        <f t="shared" si="53"/>
        <v>355.84726616592843</v>
      </c>
      <c r="R43" s="59">
        <f t="shared" si="0"/>
        <v>649.18059949926169</v>
      </c>
      <c r="S43" s="59">
        <f ca="1">AVERAGE(OFFSET($R$3,0,0,'Données projet'!$E$9+1,1))-AVERAGE(OFFSET($H$3,0,0,'Données projet'!$E$9+1,1))</f>
        <v>234.10156575337737</v>
      </c>
      <c r="T43" s="59">
        <f t="shared" si="34"/>
        <v>285.68635263076646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16.081504783201151</v>
      </c>
      <c r="AA43" s="21">
        <f>EXP(-LN(2)/25)*AA42+(1-EXP(-LN(2)/25))/(LN(2)/25)*Calculateur!V43*Calculateur!X43*VLOOKUP('Données projet'!$B$9,Paramètres!$A$1:$I$89,3,0)*0.475*44/12</f>
        <v>42.740450236414098</v>
      </c>
      <c r="AB43" s="21">
        <f>EXP(-LN(2)/2)*AB42+(1-EXP(-LN(2)/2))/(LN(2)/2)*V43*Y43*VLOOKUP('Données projet'!$B$9,Paramètres!$A$1:$I$89,3,0)*0.475*44/12</f>
        <v>1.3564690822274357</v>
      </c>
      <c r="AC43" s="22">
        <f t="shared" si="3"/>
        <v>60.17842410184268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11.5</v>
      </c>
      <c r="AI43" s="13">
        <f>IF('Données projet'!$A$62&gt;35,AI42+AH43-AQ42,IF(A43&lt;'Données projet'!$A$62,$AF$205^A43,IF(A43='Données projet'!$A$62,'Données projet'!$B$62,AI42+AH43-AQ42)))</f>
        <v>232</v>
      </c>
      <c r="AJ43" s="13">
        <f>AI43*VLOOKUP('Données projet'!$B$10,Paramètres!$A$1:$I$89,3,0)*VLOOKUP('Données projet'!$B$10,Paramètres!$A$1:$I$89,5,0)</f>
        <v>144.768</v>
      </c>
      <c r="AK43" s="13">
        <f t="shared" si="35"/>
        <v>37.387149255707826</v>
      </c>
      <c r="AL43" s="20">
        <f t="shared" si="4"/>
        <v>317.25355162035777</v>
      </c>
      <c r="AM43" s="59">
        <f t="shared" si="5"/>
        <v>610.58688495369108</v>
      </c>
      <c r="AN43" s="59">
        <f ca="1">AVERAGE(OFFSET($AM$3,0,0,'Données projet'!$E$10+1,1))-AVERAGE(OFFSET($H$3,0,0,'Données projet'!$E$10+1,1))</f>
        <v>179.44051550872138</v>
      </c>
      <c r="AO43" s="59">
        <f t="shared" si="36"/>
        <v>272.9500808380069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8.5344141220639553</v>
      </c>
      <c r="AV43" s="21">
        <f>EXP(-LN(2)/25)*AV42+(1-EXP(-LN(2)/25))/(LN(2)/25)*Calculateur!AQ43*Calculateur!AS43*VLOOKUP('Données projet'!$B$10,Paramètres!$A$1:$I$89,3,0)*0.475*44/12</f>
        <v>49.572596805609557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58.107010927673514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22.419230769230751</v>
      </c>
      <c r="BD43" s="12">
        <f>IF('Données projet'!$A$88&gt;35,BD42+BC43-BL42,IF(A43&lt;'Données projet'!$A$88,$BA$205^A43,IF(A43='Données projet'!$A$88,'Données projet'!$B$88,BD42+BC43-BL42)))</f>
        <v>423.88461538461536</v>
      </c>
      <c r="BE43" s="13">
        <f>BD43*VLOOKUP('Données projet'!$B$11,Paramètres!$A$1:$I$89,3,0)*VLOOKUP('Données projet'!$B$11,Paramètres!$A$1:$I$89,5,0)</f>
        <v>236.95150000000001</v>
      </c>
      <c r="BF43" s="13">
        <f t="shared" si="37"/>
        <v>57.783143668102753</v>
      </c>
      <c r="BG43" s="20">
        <f t="shared" si="7"/>
        <v>513.32950438861235</v>
      </c>
      <c r="BH43" s="59">
        <f t="shared" si="8"/>
        <v>806.66283772194561</v>
      </c>
      <c r="BI43" s="59">
        <f ca="1">AVERAGE(OFFSET($BH$3,0,0,'Données projet'!$E$11+1,1))-AVERAGE(OFFSET($H$3,0,0,'Données projet'!$E$11+1,1))</f>
        <v>278.5296012747549</v>
      </c>
      <c r="BJ43" s="59">
        <f t="shared" si="38"/>
        <v>370.55343097937077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42.530055722211095</v>
      </c>
      <c r="BQ43" s="21">
        <f>EXP(-LN(2)/25)*BQ42+(1-EXP(-LN(2)/25))/(LN(2)/25)*Calculateur!BL43*Calculateur!BN43*VLOOKUP('Données projet'!$B$11,Paramètres!$A$1:$I$89,3,0)*0.475*44/12</f>
        <v>18.062861935828437</v>
      </c>
      <c r="BR43" s="21">
        <f>EXP(-LN(2)/2)*BR42+(1-EXP(-LN(2)/2))/(LN(2)/2)*BL43*BO43*VLOOKUP('Données projet'!$B$11,Paramètres!$A$1:$I$89,3,0)*0.475*44/12</f>
        <v>1.6422118926446714</v>
      </c>
      <c r="BS43" s="22">
        <f t="shared" si="9"/>
        <v>62.235129550684206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>
        <f>VLOOKUP(A43,'Données projet'!$A$113:$I$133,2,0)</f>
        <v>192</v>
      </c>
      <c r="BW43" s="12">
        <f>VLOOKUP(A43,'Données projet'!$A$113:$I$133,9,0)</f>
        <v>9.6</v>
      </c>
      <c r="BX43" s="12">
        <f t="array" ref="BX43">INDEX(BW:BW,MIN(IF(ISNUMBER(BW43:BW239),ROW(BW43:BW239),"")))</f>
        <v>9.6</v>
      </c>
      <c r="BY43" s="12">
        <f>IF('Données projet'!$A$114&gt;35,BY42+BX43-CG42,IF(A43&lt;'Données projet'!$A$114,$BV$205^A43,IF(A43='Données projet'!$A$114,'Données projet'!$B$114,BY42+BX43-CG42)))</f>
        <v>192</v>
      </c>
      <c r="BZ43" s="13">
        <f>BY43*VLOOKUP('Données projet'!$B$12,Paramètres!$A$1:$I$89,3,0)*VLOOKUP('Données projet'!$B$12,Paramètres!$A$1:$I$89,5,0)</f>
        <v>152.7552</v>
      </c>
      <c r="CA43" s="13">
        <f t="shared" si="39"/>
        <v>39.204049895729561</v>
      </c>
      <c r="CB43" s="20">
        <f t="shared" si="10"/>
        <v>334.32902690172892</v>
      </c>
      <c r="CC43" s="59">
        <f t="shared" si="11"/>
        <v>627.66236023506224</v>
      </c>
      <c r="CD43" s="59">
        <f ca="1">AVERAGE(OFFSET($CC$3,0,0,'Données projet'!$E$12+1,1))-AVERAGE(OFFSET($H$3,0,0,'Données projet'!$E$12+1,1))</f>
        <v>225.2323446080772</v>
      </c>
      <c r="CE43" s="59">
        <f t="shared" si="40"/>
        <v>222.29030402759292</v>
      </c>
      <c r="CF43" s="15">
        <f>IF(ISNA(VLOOKUP(A43,'Données projet'!$A$113:$I$133,3,0)),0,VLOOKUP(A43,'Données projet'!$A$113:$I$133,3,0))</f>
        <v>6</v>
      </c>
      <c r="CG43" s="15">
        <f>IF(ISNA(VLOOKUP(A43,'Données projet'!$A$113:$I$133,4,0)),0,VLOOKUP(A43,'Données projet'!$A$113:$I$133,4,0))</f>
        <v>28</v>
      </c>
      <c r="CH43" s="16">
        <f>IF(ISNA(VLOOKUP(A43,'Données projet'!$A$113:$I$133,5,0)),0%,VLOOKUP(A43,'Données projet'!$A$113:$I$133,5,0)*VLOOKUP('Données projet'!$B$12,Paramètres!$A$1:$I$89,7,0))</f>
        <v>0.20670000000000002</v>
      </c>
      <c r="CI43" s="16">
        <f>IF(ISNA(VLOOKUP(A43,'Données projet'!$A$113:$I$133,6,0)),0%,VLOOKUP(A43,'Données projet'!$A$113:$I$133,6,0)*VLOOKUP('Données projet'!$B$12,Paramètres!$A$1:$I$89,7,0))</f>
        <v>0.20670000000000002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7.6464091059710979</v>
      </c>
      <c r="CL43" s="21">
        <f>EXP(-LN(2)/25)*CL42+(1-EXP(-LN(2)/25))/(LN(2)/25)*Calculateur!CG43*Calculateur!CI43*VLOOKUP('Données projet'!$B$12,Paramètres!$A$1:$I$89,3,0)*0.475*44/12</f>
        <v>13.39446778277841</v>
      </c>
      <c r="CM43" s="21">
        <f>EXP(-LN(2)/2)*CM42+(1-EXP(-LN(2)/2))/(LN(2)/2)*CG43*CJ43*VLOOKUP('Données projet'!$B$12,Paramètres!$A$1:$I$89,3,0)*0.475*44/12</f>
        <v>0</v>
      </c>
      <c r="CN43" s="22">
        <f t="shared" si="12"/>
        <v>21.040876888749509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5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19.721000000000011</v>
      </c>
      <c r="D44" s="11">
        <f t="shared" si="32"/>
        <v>6.4231974153589526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201.81485724136743</v>
      </c>
      <c r="H44" s="67">
        <f t="shared" si="1"/>
        <v>338.86781049841682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20.323076923076911</v>
      </c>
      <c r="N44" s="13">
        <f>IF('Données projet'!$A$36&gt;35,N43+M44-V43,IF(A44&lt;'Données projet'!$A$36,$K$205^A44,IF(A44='Données projet'!$A$36,'Données projet'!$B$36,N43+M44-V43)))</f>
        <v>358.85384615384612</v>
      </c>
      <c r="O44" s="13">
        <f>N44*VLOOKUP('Données projet'!$B$9,Paramètres!$A$1:$I$89,3,0)*VLOOKUP('Données projet'!$B$9,Paramètres!$A$1:$I$89,5,0)</f>
        <v>172.60869999999997</v>
      </c>
      <c r="P44" s="13">
        <f t="shared" si="33"/>
        <v>43.673766758861269</v>
      </c>
      <c r="Q44" s="20">
        <f t="shared" si="53"/>
        <v>376.69196293834995</v>
      </c>
      <c r="R44" s="59">
        <f t="shared" si="0"/>
        <v>670.02529627168326</v>
      </c>
      <c r="S44" s="59">
        <f ca="1">AVERAGE(OFFSET($R$3,0,0,'Données projet'!$E$9+1,1))-AVERAGE(OFFSET($H$3,0,0,'Données projet'!$E$9+1,1))</f>
        <v>234.10156575337737</v>
      </c>
      <c r="T44" s="59">
        <f t="shared" si="34"/>
        <v>285.68635263076646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15.766156283151961</v>
      </c>
      <c r="AA44" s="21">
        <f>EXP(-LN(2)/25)*AA43+(1-EXP(-LN(2)/25))/(LN(2)/25)*Calculateur!V44*Calculateur!X44*VLOOKUP('Données projet'!$B$9,Paramètres!$A$1:$I$89,3,0)*0.475*44/12</f>
        <v>41.571710377076762</v>
      </c>
      <c r="AB44" s="21">
        <f>EXP(-LN(2)/2)*AB43+(1-EXP(-LN(2)/2))/(LN(2)/2)*V44*Y44*VLOOKUP('Données projet'!$B$9,Paramètres!$A$1:$I$89,3,0)*0.475*44/12</f>
        <v>0.95916848651291231</v>
      </c>
      <c r="AC44" s="22">
        <f t="shared" si="3"/>
        <v>58.297035146741642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11.5</v>
      </c>
      <c r="AI44" s="13">
        <f>IF('Données projet'!$A$62&gt;35,AI43+AH44-AQ43,IF(A44&lt;'Données projet'!$A$62,$AF$205^A44,IF(A44='Données projet'!$A$62,'Données projet'!$B$62,AI43+AH44-AQ43)))</f>
        <v>243.5</v>
      </c>
      <c r="AJ44" s="13">
        <f>AI44*VLOOKUP('Données projet'!$B$10,Paramètres!$A$1:$I$89,3,0)*VLOOKUP('Données projet'!$B$10,Paramètres!$A$1:$I$89,5,0)</f>
        <v>151.94399999999999</v>
      </c>
      <c r="AK44" s="13">
        <f t="shared" si="35"/>
        <v>39.02003496976517</v>
      </c>
      <c r="AL44" s="20">
        <f t="shared" si="4"/>
        <v>332.59569423900763</v>
      </c>
      <c r="AM44" s="59">
        <f t="shared" si="5"/>
        <v>625.92902757234094</v>
      </c>
      <c r="AN44" s="59">
        <f ca="1">AVERAGE(OFFSET($AM$3,0,0,'Données projet'!$E$10+1,1))-AVERAGE(OFFSET($H$3,0,0,'Données projet'!$E$10+1,1))</f>
        <v>179.44051550872138</v>
      </c>
      <c r="AO44" s="59">
        <f t="shared" si="36"/>
        <v>272.9500808380069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8.3670594666088967</v>
      </c>
      <c r="AV44" s="21">
        <f>EXP(-LN(2)/25)*AV43+(1-EXP(-LN(2)/25))/(LN(2)/25)*Calculateur!AQ44*Calculateur!AS44*VLOOKUP('Données projet'!$B$10,Paramètres!$A$1:$I$89,3,0)*0.475*44/12</f>
        <v>48.217031539050595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56.584091005659488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22.419230769230751</v>
      </c>
      <c r="BD44" s="12">
        <f>IF('Données projet'!$A$88&gt;35,BD43+BC44-BL43,IF(A44&lt;'Données projet'!$A$88,$BA$205^A44,IF(A44='Données projet'!$A$88,'Données projet'!$B$88,BD43+BC44-BL43)))</f>
        <v>446.30384615384611</v>
      </c>
      <c r="BE44" s="13">
        <f>BD44*VLOOKUP('Données projet'!$B$11,Paramètres!$A$1:$I$89,3,0)*VLOOKUP('Données projet'!$B$11,Paramètres!$A$1:$I$89,5,0)</f>
        <v>249.48384999999996</v>
      </c>
      <c r="BF44" s="13">
        <f t="shared" si="37"/>
        <v>60.475401807280001</v>
      </c>
      <c r="BG44" s="20">
        <f t="shared" si="7"/>
        <v>539.8456968976792</v>
      </c>
      <c r="BH44" s="59">
        <f t="shared" si="8"/>
        <v>833.17903023101258</v>
      </c>
      <c r="BI44" s="59">
        <f ca="1">AVERAGE(OFFSET($BH$3,0,0,'Données projet'!$E$11+1,1))-AVERAGE(OFFSET($H$3,0,0,'Données projet'!$E$11+1,1))</f>
        <v>278.5296012747549</v>
      </c>
      <c r="BJ44" s="59">
        <f t="shared" si="38"/>
        <v>370.55343097937077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41.696067270271087</v>
      </c>
      <c r="BQ44" s="21">
        <f>EXP(-LN(2)/25)*BQ43+(1-EXP(-LN(2)/25))/(LN(2)/25)*Calculateur!BL44*Calculateur!BN44*VLOOKUP('Données projet'!$B$11,Paramètres!$A$1:$I$89,3,0)*0.475*44/12</f>
        <v>17.568932026308584</v>
      </c>
      <c r="BR44" s="21">
        <f>EXP(-LN(2)/2)*BR43+(1-EXP(-LN(2)/2))/(LN(2)/2)*BL44*BO44*VLOOKUP('Données projet'!$B$11,Paramètres!$A$1:$I$89,3,0)*0.475*44/12</f>
        <v>1.1612191654342419</v>
      </c>
      <c r="BS44" s="22">
        <f t="shared" si="9"/>
        <v>60.426218462013914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8.1999999999999993</v>
      </c>
      <c r="BY44" s="12">
        <f>IF('Données projet'!$A$114&gt;35,BY43+BX44-CG43,IF(A44&lt;'Données projet'!$A$114,$BV$205^A44,IF(A44='Données projet'!$A$114,'Données projet'!$B$114,BY43+BX44-CG43)))</f>
        <v>172.2</v>
      </c>
      <c r="BZ44" s="13">
        <f>BY44*VLOOKUP('Données projet'!$B$12,Paramètres!$A$1:$I$89,3,0)*VLOOKUP('Données projet'!$B$12,Paramètres!$A$1:$I$89,5,0)</f>
        <v>137.00232</v>
      </c>
      <c r="CA44" s="13">
        <f t="shared" si="39"/>
        <v>35.609416420931346</v>
      </c>
      <c r="CB44" s="20">
        <f t="shared" si="10"/>
        <v>300.63210759978875</v>
      </c>
      <c r="CC44" s="59">
        <f t="shared" si="11"/>
        <v>593.96544093312207</v>
      </c>
      <c r="CD44" s="59">
        <f ca="1">AVERAGE(OFFSET($CC$3,0,0,'Données projet'!$E$12+1,1))-AVERAGE(OFFSET($H$3,0,0,'Données projet'!$E$12+1,1))</f>
        <v>225.2323446080772</v>
      </c>
      <c r="CE44" s="59">
        <f t="shared" si="40"/>
        <v>222.29030402759292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7.4964676872520428</v>
      </c>
      <c r="CL44" s="21">
        <f>EXP(-LN(2)/25)*CL43+(1-EXP(-LN(2)/25))/(LN(2)/25)*Calculateur!CG44*Calculateur!CI44*VLOOKUP('Données projet'!$B$12,Paramètres!$A$1:$I$89,3,0)*0.475*44/12</f>
        <v>13.028195356873887</v>
      </c>
      <c r="CM44" s="21">
        <f>EXP(-LN(2)/2)*CM43+(1-EXP(-LN(2)/2))/(LN(2)/2)*CG44*CJ44*VLOOKUP('Données projet'!$B$12,Paramètres!$A$1:$I$89,3,0)*0.475*44/12</f>
        <v>0</v>
      </c>
      <c r="CN44" s="22">
        <f t="shared" si="12"/>
        <v>20.52466304412593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5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20.202000000000012</v>
      </c>
      <c r="D45" s="11">
        <f t="shared" si="32"/>
        <v>6.5614304138099335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206.59490143993642</v>
      </c>
      <c r="H45" s="67">
        <f t="shared" si="1"/>
        <v>339.94630797071898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>
        <f>VLOOKUP(A45,'Données projet'!$A$35:$I$55,2,0)</f>
        <v>379.17692307692306</v>
      </c>
      <c r="L45" s="12">
        <f>VLOOKUP(A45,'Données projet'!$A$35:$I$55,9,0)</f>
        <v>20.323076923076911</v>
      </c>
      <c r="M45" s="12">
        <f t="array" ref="M45">INDEX(L:L,MIN(IF(ISNUMBER(L45:L241),ROW(L45:L241),"")))</f>
        <v>20.323076923076911</v>
      </c>
      <c r="N45" s="13">
        <f>IF('Données projet'!$A$36&gt;35,N44+M45-V44,IF(A45&lt;'Données projet'!$A$36,$K$205^A45,IF(A45='Données projet'!$A$36,'Données projet'!$B$36,N44+M45-V44)))</f>
        <v>379.176923076923</v>
      </c>
      <c r="O45" s="13">
        <f>N45*VLOOKUP('Données projet'!$B$9,Paramètres!$A$1:$I$89,3,0)*VLOOKUP('Données projet'!$B$9,Paramètres!$A$1:$I$89,5,0)</f>
        <v>182.38409999999999</v>
      </c>
      <c r="P45" s="13">
        <f t="shared" si="33"/>
        <v>45.852197615700078</v>
      </c>
      <c r="Q45" s="20">
        <f t="shared" si="53"/>
        <v>397.51155168067754</v>
      </c>
      <c r="R45" s="59">
        <f t="shared" si="0"/>
        <v>690.84488501401086</v>
      </c>
      <c r="S45" s="59">
        <f ca="1">AVERAGE(OFFSET($R$3,0,0,'Données projet'!$E$9+1,1))-AVERAGE(OFFSET($H$3,0,0,'Données projet'!$E$9+1,1))</f>
        <v>234.10156575337737</v>
      </c>
      <c r="T45" s="59">
        <f t="shared" si="34"/>
        <v>285.68635263076646</v>
      </c>
      <c r="U45" s="15">
        <f>IF(ISNA(VLOOKUP(A45,'Données projet'!$A$35:$I$55,3,0)),0,VLOOKUP(A45,'Données projet'!$A$35:$I$55,3,0))</f>
        <v>4</v>
      </c>
      <c r="V45" s="15">
        <f>IF(ISNA(VLOOKUP(A45,'Données projet'!$A$35:$I$55,4,0)),0,VLOOKUP(A45,'Données projet'!$A$35:$I$55,4,0))</f>
        <v>78.223076923076917</v>
      </c>
      <c r="W45" s="16">
        <f>IF(ISNA(VLOOKUP(A45,'Données projet'!$A$35:$I$55,5,0)),0%,VLOOKUP(A45,'Données projet'!$A$35:$I$55,5,0)*VLOOKUP('Données projet'!$B$9,Paramètres!$A$1:$I$89,7,0))</f>
        <v>0.22000000000000003</v>
      </c>
      <c r="X45" s="16">
        <f>IF(ISNA(VLOOKUP(A45,'Données projet'!$A$35:$I$55,6,0)),0%,VLOOKUP(A45,'Données projet'!$A$35:$I$55,6,0)*VLOOKUP('Données projet'!$B$9,Paramètres!$A$1:$I$89,7,0))</f>
        <v>0.33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26.437716407999996</v>
      </c>
      <c r="AA45" s="21">
        <f>EXP(-LN(2)/25)*AA44+(1-EXP(-LN(2)/25))/(LN(2)/25)*Calculateur!V45*Calculateur!X45*VLOOKUP('Données projet'!$B$9,Paramètres!$A$1:$I$89,3,0)*0.475*44/12</f>
        <v>56.841164073908175</v>
      </c>
      <c r="AB45" s="21">
        <f>EXP(-LN(2)/2)*AB44+(1-EXP(-LN(2)/2))/(LN(2)/2)*V45*Y45*VLOOKUP('Données projet'!$B$9,Paramètres!$A$1:$I$89,3,0)*0.475*44/12</f>
        <v>0.67823454111371784</v>
      </c>
      <c r="AC45" s="22">
        <f t="shared" si="3"/>
        <v>83.957115023021899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>
        <f>VLOOKUP(A45,'Données projet'!$A$61:$I$81,2,0)</f>
        <v>255</v>
      </c>
      <c r="AG45" s="12">
        <f>VLOOKUP(A45,'Données projet'!$A$61:$I$81,9,0)</f>
        <v>11.5</v>
      </c>
      <c r="AH45" s="12">
        <f t="array" ref="AH45">INDEX(AG:AG,MIN(IF(ISNUMBER(AG45:AG241),ROW(AG45:AG241),"")))</f>
        <v>11.5</v>
      </c>
      <c r="AI45" s="13">
        <f>IF('Données projet'!$A$62&gt;35,AI44+AH45-AQ44,IF(A45&lt;'Données projet'!$A$62,$AF$205^A45,IF(A45='Données projet'!$A$62,'Données projet'!$B$62,AI44+AH45-AQ44)))</f>
        <v>255</v>
      </c>
      <c r="AJ45" s="13">
        <f>AI45*VLOOKUP('Données projet'!$B$10,Paramètres!$A$1:$I$89,3,0)*VLOOKUP('Données projet'!$B$10,Paramètres!$A$1:$I$89,5,0)</f>
        <v>159.12</v>
      </c>
      <c r="AK45" s="13">
        <f t="shared" si="35"/>
        <v>40.643965284387697</v>
      </c>
      <c r="AL45" s="20">
        <f t="shared" si="4"/>
        <v>347.92223953697521</v>
      </c>
      <c r="AM45" s="59">
        <f t="shared" si="5"/>
        <v>641.25557287030847</v>
      </c>
      <c r="AN45" s="59">
        <f ca="1">AVERAGE(OFFSET($AM$3,0,0,'Données projet'!$E$10+1,1))-AVERAGE(OFFSET($H$3,0,0,'Données projet'!$E$10+1,1))</f>
        <v>179.44051550872138</v>
      </c>
      <c r="AO45" s="59">
        <f t="shared" si="36"/>
        <v>272.9500808380069</v>
      </c>
      <c r="AP45" s="15">
        <f>IF(ISNA(VLOOKUP(A45,'Données projet'!$A$61:$I$81,3,0)),0,VLOOKUP(A45,'Données projet'!$A$61:$I$81,3,0))</f>
        <v>6</v>
      </c>
      <c r="AQ45" s="15">
        <f>IF(ISNA(VLOOKUP(A45,'Données projet'!$A$61:$I$81,4,0)),0,VLOOKUP(A45,'Données projet'!$A$61:$I$81,4,0))</f>
        <v>67</v>
      </c>
      <c r="AR45" s="16">
        <f>IF(ISNA(VLOOKUP(A45,'Données projet'!$A$61:$I$81,5,0)),0%,VLOOKUP(A45,'Données projet'!$A$61:$I$81,5,0)*VLOOKUP('Données projet'!$B$10,Paramètres!$A$1:$I$89,7,0))</f>
        <v>0.18</v>
      </c>
      <c r="AS45" s="16">
        <f>IF(ISNA(VLOOKUP(A45,'Données projet'!$A$61:$I$81,6,0)),0%,VLOOKUP(A45,'Données projet'!$A$61:$I$81,6,0)*VLOOKUP('Données projet'!$B$10,Paramètres!$A$1:$I$89,7,0))</f>
        <v>0.36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18.185967749413983</v>
      </c>
      <c r="AV45" s="21">
        <f>EXP(-LN(2)/25)*AV44+(1-EXP(-LN(2)/25))/(LN(2)/25)*Calculateur!AQ45*Calculateur!AS45*VLOOKUP('Données projet'!$B$10,Paramètres!$A$1:$I$89,3,0)*0.475*44/12</f>
        <v>66.785883105358337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84.971850854772327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>
        <f>VLOOKUP(A45,'Données projet'!$A$87:$I$107,2,0)</f>
        <v>468.72307692307686</v>
      </c>
      <c r="BB45" s="12">
        <f>VLOOKUP(A45,'Données projet'!$A$87:$I$107,9,0)</f>
        <v>22.419230769230751</v>
      </c>
      <c r="BC45" s="12">
        <f t="array" ref="BC45">INDEX(BB:BB,MIN(IF(ISNUMBER(BB45:BB241),ROW(BB45:BB241),"")))</f>
        <v>22.419230769230751</v>
      </c>
      <c r="BD45" s="12">
        <f>IF('Données projet'!$A$88&gt;35,BD44+BC45-BL44,IF(A45&lt;'Données projet'!$A$88,$BA$205^A45,IF(A45='Données projet'!$A$88,'Données projet'!$B$88,BD44+BC45-BL44)))</f>
        <v>468.72307692307686</v>
      </c>
      <c r="BE45" s="13">
        <f>BD45*VLOOKUP('Données projet'!$B$11,Paramètres!$A$1:$I$89,3,0)*VLOOKUP('Données projet'!$B$11,Paramètres!$A$1:$I$89,5,0)</f>
        <v>262.01619999999997</v>
      </c>
      <c r="BF45" s="13">
        <f t="shared" si="37"/>
        <v>63.151956912854622</v>
      </c>
      <c r="BG45" s="20">
        <f t="shared" si="7"/>
        <v>566.33453995655509</v>
      </c>
      <c r="BH45" s="59">
        <f t="shared" si="8"/>
        <v>859.66787328988835</v>
      </c>
      <c r="BI45" s="59">
        <f ca="1">AVERAGE(OFFSET($BH$3,0,0,'Données projet'!$E$11+1,1))-AVERAGE(OFFSET($H$3,0,0,'Données projet'!$E$11+1,1))</f>
        <v>278.5296012747549</v>
      </c>
      <c r="BJ45" s="59">
        <f t="shared" si="38"/>
        <v>370.55343097937077</v>
      </c>
      <c r="BK45" s="15">
        <f>IF(ISNA(VLOOKUP(A45,'Données projet'!$A$87:$I$107,3,0)),0,VLOOKUP(A45,'Données projet'!$A$87:$I$107,3,0))</f>
        <v>5</v>
      </c>
      <c r="BL45" s="15">
        <f>IF(ISNA(VLOOKUP(A45,'Données projet'!$A$87:$I$107,4,0)),0,VLOOKUP(A45,'Données projet'!$A$87:$I$107,4,0))</f>
        <v>73.392307692307682</v>
      </c>
      <c r="BM45" s="16">
        <f>IF(ISNA(VLOOKUP(A45,'Données projet'!$A$87:$I$107,5,0)),0%,VLOOKUP(A45,'Données projet'!$A$87:$I$107,5,0)*VLOOKUP('Données projet'!$B$11,Paramètres!$A$1:$I$89,7,0))</f>
        <v>0.38500000000000001</v>
      </c>
      <c r="BN45" s="16">
        <f>IF(ISNA(VLOOKUP(A45,'Données projet'!$A$87:$I$107,6,0)),0%,VLOOKUP(A45,'Données projet'!$A$87:$I$107,6,0)*VLOOKUP('Données projet'!$B$11,Paramètres!$A$1:$I$89,7,0))</f>
        <v>9.240000000000001E-2</v>
      </c>
      <c r="BO45" s="16">
        <f>IF(ISNA(VLOOKUP(A45,'Données projet'!$A$87:$I$107,7,0)),0%,VLOOKUP(A45,'Données projet'!$A$87:$I$107,7,0))</f>
        <v>0.13200000000000001</v>
      </c>
      <c r="BP45" s="21">
        <f>EXP(-LN(2)/35)*BP44+(1-EXP(-LN(2)/35))/(LN(2)/35)*BL45*BM45*VLOOKUP('Données projet'!$B$11,Paramètres!$A$1:$I$89,3,0)*0.475*44/12</f>
        <v>61.831684880697594</v>
      </c>
      <c r="BQ45" s="21">
        <f>EXP(-LN(2)/25)*BQ44+(1-EXP(-LN(2)/25))/(LN(2)/25)*Calculateur!BL45*Calculateur!BN45*VLOOKUP('Données projet'!$B$11,Paramètres!$A$1:$I$89,3,0)*0.475*44/12</f>
        <v>22.097488925021114</v>
      </c>
      <c r="BR45" s="21">
        <f>EXP(-LN(2)/2)*BR44+(1-EXP(-LN(2)/2))/(LN(2)/2)*BL45*BO45*VLOOKUP('Données projet'!$B$11,Paramètres!$A$1:$I$89,3,0)*0.475*44/12</f>
        <v>6.9526777981796624</v>
      </c>
      <c r="BS45" s="22">
        <f t="shared" si="9"/>
        <v>90.881851603898369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8.1999999999999993</v>
      </c>
      <c r="BY45" s="12">
        <f>IF('Données projet'!$A$114&gt;35,BY44+BX45-CG44,IF(A45&lt;'Données projet'!$A$114,$BV$205^A45,IF(A45='Données projet'!$A$114,'Données projet'!$B$114,BY44+BX45-CG44)))</f>
        <v>180.39999999999998</v>
      </c>
      <c r="BZ45" s="13">
        <f>BY45*VLOOKUP('Données projet'!$B$12,Paramètres!$A$1:$I$89,3,0)*VLOOKUP('Données projet'!$B$12,Paramètres!$A$1:$I$89,5,0)</f>
        <v>143.52624</v>
      </c>
      <c r="CA45" s="13">
        <f t="shared" si="39"/>
        <v>37.103644337236275</v>
      </c>
      <c r="CB45" s="20">
        <f t="shared" si="10"/>
        <v>314.59704855401981</v>
      </c>
      <c r="CC45" s="59">
        <f t="shared" si="11"/>
        <v>607.93038188735318</v>
      </c>
      <c r="CD45" s="59">
        <f ca="1">AVERAGE(OFFSET($CC$3,0,0,'Données projet'!$E$12+1,1))-AVERAGE(OFFSET($H$3,0,0,'Données projet'!$E$12+1,1))</f>
        <v>225.2323446080772</v>
      </c>
      <c r="CE45" s="59">
        <f t="shared" si="40"/>
        <v>222.29030402759292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7.3494665282988327</v>
      </c>
      <c r="CL45" s="21">
        <f>EXP(-LN(2)/25)*CL44+(1-EXP(-LN(2)/25))/(LN(2)/25)*Calculateur!CG45*Calculateur!CI45*VLOOKUP('Données projet'!$B$12,Paramètres!$A$1:$I$89,3,0)*0.475*44/12</f>
        <v>12.671938669717154</v>
      </c>
      <c r="CM45" s="21">
        <f>EXP(-LN(2)/2)*CM44+(1-EXP(-LN(2)/2))/(LN(2)/2)*CG45*CJ45*VLOOKUP('Données projet'!$B$12,Paramètres!$A$1:$I$89,3,0)*0.475*44/12</f>
        <v>0</v>
      </c>
      <c r="CN45" s="22">
        <f t="shared" si="12"/>
        <v>20.021405198015987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5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20.683000000000014</v>
      </c>
      <c r="D46" s="11">
        <f t="shared" si="32"/>
        <v>6.6992808015544414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211.3719921523502</v>
      </c>
      <c r="H46" s="67">
        <f t="shared" si="1"/>
        <v>341.02413906270732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18.898717948717945</v>
      </c>
      <c r="N46" s="13">
        <f>IF('Données projet'!$A$36&gt;35,N45+M46-V45,IF(A46&lt;'Données projet'!$A$36,$K$205^A46,IF(A46='Données projet'!$A$36,'Données projet'!$B$36,N45+M46-V45)))</f>
        <v>319.85256410256403</v>
      </c>
      <c r="O46" s="13">
        <f>N46*VLOOKUP('Données projet'!$B$9,Paramètres!$A$1:$I$89,3,0)*VLOOKUP('Données projet'!$B$9,Paramètres!$A$1:$I$89,5,0)</f>
        <v>153.84908333333328</v>
      </c>
      <c r="P46" s="13">
        <f t="shared" si="33"/>
        <v>39.45200958538144</v>
      </c>
      <c r="Q46" s="20">
        <f t="shared" si="53"/>
        <v>336.66607016676141</v>
      </c>
      <c r="R46" s="59">
        <f t="shared" si="0"/>
        <v>629.99940350009479</v>
      </c>
      <c r="S46" s="59">
        <f ca="1">AVERAGE(OFFSET($R$3,0,0,'Données projet'!$E$9+1,1))-AVERAGE(OFFSET($H$3,0,0,'Données projet'!$E$9+1,1))</f>
        <v>234.10156575337737</v>
      </c>
      <c r="T46" s="59">
        <f t="shared" si="34"/>
        <v>285.68635263076646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25.919288914653873</v>
      </c>
      <c r="AA46" s="21">
        <f>EXP(-LN(2)/25)*AA45+(1-EXP(-LN(2)/25))/(LN(2)/25)*Calculateur!V46*Calculateur!X46*VLOOKUP('Données projet'!$B$9,Paramètres!$A$1:$I$89,3,0)*0.475*44/12</f>
        <v>55.286839453160248</v>
      </c>
      <c r="AB46" s="21">
        <f>EXP(-LN(2)/2)*AB45+(1-EXP(-LN(2)/2))/(LN(2)/2)*V46*Y46*VLOOKUP('Données projet'!$B$9,Paramètres!$A$1:$I$89,3,0)*0.475*44/12</f>
        <v>0.47958424325645616</v>
      </c>
      <c r="AC46" s="22">
        <f t="shared" si="3"/>
        <v>81.685712611070571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10.666666666666666</v>
      </c>
      <c r="AI46" s="13">
        <f>IF('Données projet'!$A$62&gt;35,AI45+AH46-AQ45,IF(A46&lt;'Données projet'!$A$62,$AF$205^A46,IF(A46='Données projet'!$A$62,'Données projet'!$B$62,AI45+AH46-AQ45)))</f>
        <v>198.66666666666669</v>
      </c>
      <c r="AJ46" s="13">
        <f>AI46*VLOOKUP('Données projet'!$B$10,Paramètres!$A$1:$I$89,3,0)*VLOOKUP('Données projet'!$B$10,Paramètres!$A$1:$I$89,5,0)</f>
        <v>123.968</v>
      </c>
      <c r="AK46" s="13">
        <f t="shared" si="35"/>
        <v>32.598710622532096</v>
      </c>
      <c r="AL46" s="20">
        <f t="shared" si="4"/>
        <v>272.68702100091008</v>
      </c>
      <c r="AM46" s="59">
        <f t="shared" si="5"/>
        <v>566.02035433424339</v>
      </c>
      <c r="AN46" s="59">
        <f ca="1">AVERAGE(OFFSET($AM$3,0,0,'Données projet'!$E$10+1,1))-AVERAGE(OFFSET($H$3,0,0,'Données projet'!$E$10+1,1))</f>
        <v>179.44051550872138</v>
      </c>
      <c r="AO46" s="59">
        <f t="shared" si="36"/>
        <v>272.9500808380069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17.829352014193024</v>
      </c>
      <c r="AV46" s="21">
        <f>EXP(-LN(2)/25)*AV45+(1-EXP(-LN(2)/25))/(LN(2)/25)*Calculateur!AQ46*Calculateur!AS46*VLOOKUP('Données projet'!$B$10,Paramètres!$A$1:$I$89,3,0)*0.475*44/12</f>
        <v>64.959619619725359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82.788971633918379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21.625641025641034</v>
      </c>
      <c r="BD46" s="12">
        <f>IF('Données projet'!$A$88&gt;35,BD45+BC46-BL45,IF(A46&lt;'Données projet'!$A$88,$BA$205^A46,IF(A46='Données projet'!$A$88,'Données projet'!$B$88,BD45+BC46-BL45)))</f>
        <v>416.95641025641021</v>
      </c>
      <c r="BE46" s="13">
        <f>BD46*VLOOKUP('Données projet'!$B$11,Paramètres!$A$1:$I$89,3,0)*VLOOKUP('Données projet'!$B$11,Paramètres!$A$1:$I$89,5,0)</f>
        <v>233.0786333333333</v>
      </c>
      <c r="BF46" s="13">
        <f t="shared" si="37"/>
        <v>56.947838023653489</v>
      </c>
      <c r="BG46" s="20">
        <f t="shared" si="7"/>
        <v>505.1294376134187</v>
      </c>
      <c r="BH46" s="59">
        <f t="shared" si="8"/>
        <v>798.46277094675202</v>
      </c>
      <c r="BI46" s="59">
        <f ca="1">AVERAGE(OFFSET($BH$3,0,0,'Données projet'!$E$11+1,1))-AVERAGE(OFFSET($H$3,0,0,'Données projet'!$E$11+1,1))</f>
        <v>278.5296012747549</v>
      </c>
      <c r="BJ46" s="59">
        <f t="shared" si="38"/>
        <v>370.55343097937077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60.619203253790985</v>
      </c>
      <c r="BQ46" s="21">
        <f>EXP(-LN(2)/25)*BQ45+(1-EXP(-LN(2)/25))/(LN(2)/25)*Calculateur!BL46*Calculateur!BN46*VLOOKUP('Données projet'!$B$11,Paramètres!$A$1:$I$89,3,0)*0.475*44/12</f>
        <v>21.493231928309974</v>
      </c>
      <c r="BR46" s="21">
        <f>EXP(-LN(2)/2)*BR45+(1-EXP(-LN(2)/2))/(LN(2)/2)*BL46*BO46*VLOOKUP('Données projet'!$B$11,Paramètres!$A$1:$I$89,3,0)*0.475*44/12</f>
        <v>4.9162856184979935</v>
      </c>
      <c r="BS46" s="22">
        <f t="shared" si="9"/>
        <v>87.028720800598961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8.1999999999999993</v>
      </c>
      <c r="BY46" s="12">
        <f>IF('Données projet'!$A$114&gt;35,BY45+BX46-CG45,IF(A46&lt;'Données projet'!$A$114,$BV$205^A46,IF(A46='Données projet'!$A$114,'Données projet'!$B$114,BY45+BX46-CG45)))</f>
        <v>188.59999999999997</v>
      </c>
      <c r="BZ46" s="13">
        <f>BY46*VLOOKUP('Données projet'!$B$12,Paramètres!$A$1:$I$89,3,0)*VLOOKUP('Données projet'!$B$12,Paramètres!$A$1:$I$89,5,0)</f>
        <v>150.05015999999998</v>
      </c>
      <c r="CA46" s="13">
        <f t="shared" si="39"/>
        <v>38.589984439024569</v>
      </c>
      <c r="CB46" s="20">
        <f t="shared" si="10"/>
        <v>328.54825156463437</v>
      </c>
      <c r="CC46" s="59">
        <f t="shared" si="11"/>
        <v>621.88158489796774</v>
      </c>
      <c r="CD46" s="59">
        <f ca="1">AVERAGE(OFFSET($CC$3,0,0,'Données projet'!$E$12+1,1))-AVERAGE(OFFSET($H$3,0,0,'Données projet'!$E$12+1,1))</f>
        <v>225.2323446080772</v>
      </c>
      <c r="CE46" s="59">
        <f t="shared" si="40"/>
        <v>222.29030402759292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7.2053479724108422</v>
      </c>
      <c r="CL46" s="21">
        <f>EXP(-LN(2)/25)*CL45+(1-EXP(-LN(2)/25))/(LN(2)/25)*Calculateur!CG46*Calculateur!CI46*VLOOKUP('Données projet'!$B$12,Paramètres!$A$1:$I$89,3,0)*0.475*44/12</f>
        <v>12.325423840405445</v>
      </c>
      <c r="CM46" s="21">
        <f>EXP(-LN(2)/2)*CM45+(1-EXP(-LN(2)/2))/(LN(2)/2)*CG46*CJ46*VLOOKUP('Données projet'!$B$12,Paramètres!$A$1:$I$89,3,0)*0.475*44/12</f>
        <v>0</v>
      </c>
      <c r="CN46" s="22">
        <f t="shared" si="12"/>
        <v>19.530771812816287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5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21.164000000000016</v>
      </c>
      <c r="D47" s="11">
        <f t="shared" si="32"/>
        <v>6.8367585006090259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216.14620596961367</v>
      </c>
      <c r="H47" s="67">
        <f t="shared" si="1"/>
        <v>342.1013210552274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18.898717948717945</v>
      </c>
      <c r="N47" s="13">
        <f>IF('Données projet'!$A$36&gt;35,N46+M47-V46,IF(A47&lt;'Données projet'!$A$36,$K$205^A47,IF(A47='Données projet'!$A$36,'Données projet'!$B$36,N46+M47-V46)))</f>
        <v>338.75128205128198</v>
      </c>
      <c r="O47" s="13">
        <f>N47*VLOOKUP('Données projet'!$B$9,Paramètres!$A$1:$I$89,3,0)*VLOOKUP('Données projet'!$B$9,Paramètres!$A$1:$I$89,5,0)</f>
        <v>162.93936666666664</v>
      </c>
      <c r="P47" s="13">
        <f t="shared" si="33"/>
        <v>41.50479370545699</v>
      </c>
      <c r="Q47" s="20">
        <f t="shared" si="53"/>
        <v>356.07357931478197</v>
      </c>
      <c r="R47" s="59">
        <f t="shared" si="0"/>
        <v>649.40691264811528</v>
      </c>
      <c r="S47" s="59">
        <f ca="1">AVERAGE(OFFSET($R$3,0,0,'Données projet'!$E$9+1,1))-AVERAGE(OFFSET($H$3,0,0,'Données projet'!$E$9+1,1))</f>
        <v>234.10156575337737</v>
      </c>
      <c r="T47" s="59">
        <f t="shared" si="34"/>
        <v>285.68635263076646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25.411027468242718</v>
      </c>
      <c r="AA47" s="21">
        <f>EXP(-LN(2)/25)*AA46+(1-EXP(-LN(2)/25))/(LN(2)/25)*Calculateur!V47*Calculateur!X47*VLOOKUP('Données projet'!$B$9,Paramètres!$A$1:$I$89,3,0)*0.475*44/12</f>
        <v>53.77501792090505</v>
      </c>
      <c r="AB47" s="21">
        <f>EXP(-LN(2)/2)*AB46+(1-EXP(-LN(2)/2))/(LN(2)/2)*V47*Y47*VLOOKUP('Données projet'!$B$9,Paramètres!$A$1:$I$89,3,0)*0.475*44/12</f>
        <v>0.33911727055685892</v>
      </c>
      <c r="AC47" s="22">
        <f t="shared" si="3"/>
        <v>79.52516265970462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10.666666666666666</v>
      </c>
      <c r="AI47" s="13">
        <f>IF('Données projet'!$A$62&gt;35,AI46+AH47-AQ46,IF(A47&lt;'Données projet'!$A$62,$AF$205^A47,IF(A47='Données projet'!$A$62,'Données projet'!$B$62,AI46+AH47-AQ46)))</f>
        <v>209.33333333333334</v>
      </c>
      <c r="AJ47" s="13">
        <f>AI47*VLOOKUP('Données projet'!$B$10,Paramètres!$A$1:$I$89,3,0)*VLOOKUP('Données projet'!$B$10,Paramètres!$A$1:$I$89,5,0)</f>
        <v>130.62400000000002</v>
      </c>
      <c r="AK47" s="13">
        <f t="shared" si="35"/>
        <v>34.140507202645395</v>
      </c>
      <c r="AL47" s="20">
        <f t="shared" si="4"/>
        <v>286.96485004460743</v>
      </c>
      <c r="AM47" s="59">
        <f t="shared" si="5"/>
        <v>580.29818337794075</v>
      </c>
      <c r="AN47" s="59">
        <f ca="1">AVERAGE(OFFSET($AM$3,0,0,'Données projet'!$E$10+1,1))-AVERAGE(OFFSET($H$3,0,0,'Données projet'!$E$10+1,1))</f>
        <v>179.44051550872138</v>
      </c>
      <c r="AO47" s="59">
        <f t="shared" si="36"/>
        <v>272.9500808380069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17.479729296025628</v>
      </c>
      <c r="AV47" s="21">
        <f>EXP(-LN(2)/25)*AV46+(1-EXP(-LN(2)/25))/(LN(2)/25)*Calculateur!AQ47*Calculateur!AS47*VLOOKUP('Données projet'!$B$10,Paramètres!$A$1:$I$89,3,0)*0.475*44/12</f>
        <v>63.18329540514604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80.663024701171665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21.625641025641034</v>
      </c>
      <c r="BD47" s="12">
        <f>IF('Données projet'!$A$88&gt;35,BD46+BC47-BL46,IF(A47&lt;'Données projet'!$A$88,$BA$205^A47,IF(A47='Données projet'!$A$88,'Données projet'!$B$88,BD46+BC47-BL46)))</f>
        <v>438.58205128205122</v>
      </c>
      <c r="BE47" s="13">
        <f>BD47*VLOOKUP('Données projet'!$B$11,Paramètres!$A$1:$I$89,3,0)*VLOOKUP('Données projet'!$B$11,Paramètres!$A$1:$I$89,5,0)</f>
        <v>245.16736666666665</v>
      </c>
      <c r="BF47" s="13">
        <f t="shared" si="37"/>
        <v>59.549932468183236</v>
      </c>
      <c r="BG47" s="20">
        <f t="shared" si="7"/>
        <v>530.71596265986352</v>
      </c>
      <c r="BH47" s="59">
        <f t="shared" si="8"/>
        <v>824.04929599319689</v>
      </c>
      <c r="BI47" s="59">
        <f ca="1">AVERAGE(OFFSET($BH$3,0,0,'Données projet'!$E$11+1,1))-AVERAGE(OFFSET($H$3,0,0,'Données projet'!$E$11+1,1))</f>
        <v>278.5296012747549</v>
      </c>
      <c r="BJ47" s="59">
        <f t="shared" si="38"/>
        <v>370.55343097937077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59.430497652047244</v>
      </c>
      <c r="BQ47" s="21">
        <f>EXP(-LN(2)/25)*BQ46+(1-EXP(-LN(2)/25))/(LN(2)/25)*Calculateur!BL47*Calculateur!BN47*VLOOKUP('Données projet'!$B$11,Paramètres!$A$1:$I$89,3,0)*0.475*44/12</f>
        <v>20.905498370950394</v>
      </c>
      <c r="BR47" s="21">
        <f>EXP(-LN(2)/2)*BR46+(1-EXP(-LN(2)/2))/(LN(2)/2)*BL47*BO47*VLOOKUP('Données projet'!$B$11,Paramètres!$A$1:$I$89,3,0)*0.475*44/12</f>
        <v>3.4763388990898312</v>
      </c>
      <c r="BS47" s="22">
        <f t="shared" si="9"/>
        <v>83.812334922087459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8.1999999999999993</v>
      </c>
      <c r="BY47" s="12">
        <f>IF('Données projet'!$A$114&gt;35,BY46+BX47-CG46,IF(A47&lt;'Données projet'!$A$114,$BV$205^A47,IF(A47='Données projet'!$A$114,'Données projet'!$B$114,BY46+BX47-CG46)))</f>
        <v>196.79999999999995</v>
      </c>
      <c r="BZ47" s="13">
        <f>BY47*VLOOKUP('Données projet'!$B$12,Paramètres!$A$1:$I$89,3,0)*VLOOKUP('Données projet'!$B$12,Paramètres!$A$1:$I$89,5,0)</f>
        <v>156.57407999999998</v>
      </c>
      <c r="CA47" s="13">
        <f t="shared" si="39"/>
        <v>40.068818872547467</v>
      </c>
      <c r="CB47" s="20">
        <f t="shared" si="10"/>
        <v>342.48638220302013</v>
      </c>
      <c r="CC47" s="59">
        <f t="shared" si="11"/>
        <v>635.81971553635344</v>
      </c>
      <c r="CD47" s="59">
        <f ca="1">AVERAGE(OFFSET($CC$3,0,0,'Données projet'!$E$12+1,1))-AVERAGE(OFFSET($H$3,0,0,'Données projet'!$E$12+1,1))</f>
        <v>225.2323446080772</v>
      </c>
      <c r="CE47" s="59">
        <f t="shared" si="40"/>
        <v>222.29030402759292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7.0640554935001756</v>
      </c>
      <c r="CL47" s="21">
        <f>EXP(-LN(2)/25)*CL46+(1-EXP(-LN(2)/25))/(LN(2)/25)*Calculateur!CG47*Calculateur!CI47*VLOOKUP('Données projet'!$B$12,Paramètres!$A$1:$I$89,3,0)*0.475*44/12</f>
        <v>11.988384477323688</v>
      </c>
      <c r="CM47" s="21">
        <f>EXP(-LN(2)/2)*CM46+(1-EXP(-LN(2)/2))/(LN(2)/2)*CG47*CJ47*VLOOKUP('Données projet'!$B$12,Paramètres!$A$1:$I$89,3,0)*0.475*44/12</f>
        <v>0</v>
      </c>
      <c r="CN47" s="22">
        <f t="shared" si="12"/>
        <v>19.052439970823862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5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21.645000000000017</v>
      </c>
      <c r="D48" s="11">
        <f t="shared" si="32"/>
        <v>6.973872956248516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220.91761580262028</v>
      </c>
      <c r="H48" s="67">
        <f t="shared" si="1"/>
        <v>343.17787039879954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18.898717948717945</v>
      </c>
      <c r="N48" s="13">
        <f>IF('Données projet'!$A$36&gt;35,N47+M48-V47,IF(A48&lt;'Données projet'!$A$36,$K$205^A48,IF(A48='Données projet'!$A$36,'Données projet'!$B$36,N47+M48-V47)))</f>
        <v>357.64999999999992</v>
      </c>
      <c r="O48" s="13">
        <f>N48*VLOOKUP('Données projet'!$B$9,Paramètres!$A$1:$I$89,3,0)*VLOOKUP('Données projet'!$B$9,Paramètres!$A$1:$I$89,5,0)</f>
        <v>172.02964999999998</v>
      </c>
      <c r="P48" s="13">
        <f t="shared" si="33"/>
        <v>43.544283198434186</v>
      </c>
      <c r="Q48" s="20">
        <f t="shared" si="53"/>
        <v>375.45793365393951</v>
      </c>
      <c r="R48" s="59">
        <f t="shared" si="0"/>
        <v>668.79126698727282</v>
      </c>
      <c r="S48" s="59">
        <f ca="1">AVERAGE(OFFSET($R$3,0,0,'Données projet'!$E$9+1,1))-AVERAGE(OFFSET($H$3,0,0,'Données projet'!$E$9+1,1))</f>
        <v>234.10156575337737</v>
      </c>
      <c r="T48" s="59">
        <f t="shared" si="34"/>
        <v>285.68635263076646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24.912732718786817</v>
      </c>
      <c r="AA48" s="21">
        <f>EXP(-LN(2)/25)*AA47+(1-EXP(-LN(2)/25))/(LN(2)/25)*Calculateur!V48*Calculateur!X48*VLOOKUP('Données projet'!$B$9,Paramètres!$A$1:$I$89,3,0)*0.475*44/12</f>
        <v>52.304537227952615</v>
      </c>
      <c r="AB48" s="21">
        <f>EXP(-LN(2)/2)*AB47+(1-EXP(-LN(2)/2))/(LN(2)/2)*V48*Y48*VLOOKUP('Données projet'!$B$9,Paramètres!$A$1:$I$89,3,0)*0.475*44/12</f>
        <v>0.23979212162822808</v>
      </c>
      <c r="AC48" s="22">
        <f t="shared" si="3"/>
        <v>77.457062068367662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10.666666666666666</v>
      </c>
      <c r="AI48" s="13">
        <f>IF('Données projet'!$A$62&gt;35,AI47+AH48-AQ47,IF(A48&lt;'Données projet'!$A$62,$AF$205^A48,IF(A48='Données projet'!$A$62,'Données projet'!$B$62,AI47+AH48-AQ47)))</f>
        <v>220</v>
      </c>
      <c r="AJ48" s="13">
        <f>AI48*VLOOKUP('Données projet'!$B$10,Paramètres!$A$1:$I$89,3,0)*VLOOKUP('Données projet'!$B$10,Paramètres!$A$1:$I$89,5,0)</f>
        <v>137.28</v>
      </c>
      <c r="AK48" s="13">
        <f t="shared" si="35"/>
        <v>35.673181961873446</v>
      </c>
      <c r="AL48" s="20">
        <f t="shared" si="4"/>
        <v>301.22679191692959</v>
      </c>
      <c r="AM48" s="59">
        <f t="shared" si="5"/>
        <v>594.5601252502629</v>
      </c>
      <c r="AN48" s="59">
        <f ca="1">AVERAGE(OFFSET($AM$3,0,0,'Données projet'!$E$10+1,1))-AVERAGE(OFFSET($H$3,0,0,'Données projet'!$E$10+1,1))</f>
        <v>179.44051550872138</v>
      </c>
      <c r="AO48" s="59">
        <f t="shared" si="36"/>
        <v>272.9500808380069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17.136962466112692</v>
      </c>
      <c r="AV48" s="21">
        <f>EXP(-LN(2)/25)*AV47+(1-EXP(-LN(2)/25))/(LN(2)/25)*Calculateur!AQ48*Calculateur!AS48*VLOOKUP('Données projet'!$B$10,Paramètres!$A$1:$I$89,3,0)*0.475*44/12</f>
        <v>61.455544869627225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78.592507335739924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21.625641025641034</v>
      </c>
      <c r="BD48" s="12">
        <f>IF('Données projet'!$A$88&gt;35,BD47+BC48-BL47,IF(A48&lt;'Données projet'!$A$88,$BA$205^A48,IF(A48='Données projet'!$A$88,'Données projet'!$B$88,BD47+BC48-BL47)))</f>
        <v>460.20769230769224</v>
      </c>
      <c r="BE48" s="13">
        <f>BD48*VLOOKUP('Données projet'!$B$11,Paramètres!$A$1:$I$89,3,0)*VLOOKUP('Données projet'!$B$11,Paramètres!$A$1:$I$89,5,0)</f>
        <v>257.25609999999995</v>
      </c>
      <c r="BF48" s="13">
        <f t="shared" si="37"/>
        <v>62.137128695600659</v>
      </c>
      <c r="BG48" s="20">
        <f t="shared" si="7"/>
        <v>556.27653997817106</v>
      </c>
      <c r="BH48" s="59">
        <f t="shared" si="8"/>
        <v>849.60987331150432</v>
      </c>
      <c r="BI48" s="59">
        <f ca="1">AVERAGE(OFFSET($BH$3,0,0,'Données projet'!$E$11+1,1))-AVERAGE(OFFSET($H$3,0,0,'Données projet'!$E$11+1,1))</f>
        <v>278.5296012747549</v>
      </c>
      <c r="BJ48" s="59">
        <f t="shared" si="38"/>
        <v>370.55343097937077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58.265101842114873</v>
      </c>
      <c r="BQ48" s="21">
        <f>EXP(-LN(2)/25)*BQ47+(1-EXP(-LN(2)/25))/(LN(2)/25)*Calculateur!BL48*Calculateur!BN48*VLOOKUP('Données projet'!$B$11,Paramètres!$A$1:$I$89,3,0)*0.475*44/12</f>
        <v>20.333836418624376</v>
      </c>
      <c r="BR48" s="21">
        <f>EXP(-LN(2)/2)*BR47+(1-EXP(-LN(2)/2))/(LN(2)/2)*BL48*BO48*VLOOKUP('Données projet'!$B$11,Paramètres!$A$1:$I$89,3,0)*0.475*44/12</f>
        <v>2.4581428092489968</v>
      </c>
      <c r="BS48" s="22">
        <f t="shared" si="9"/>
        <v>81.057081069988243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>
        <f>VLOOKUP(A48,'Données projet'!$A$113:$I$133,2,0)</f>
        <v>205</v>
      </c>
      <c r="BW48" s="12">
        <f>VLOOKUP(A48,'Données projet'!$A$113:$I$133,9,0)</f>
        <v>8.1999999999999993</v>
      </c>
      <c r="BX48" s="12">
        <f t="array" ref="BX48">INDEX(BW:BW,MIN(IF(ISNUMBER(BW48:BW244),ROW(BW48:BW244),"")))</f>
        <v>8.1999999999999993</v>
      </c>
      <c r="BY48" s="12">
        <f>IF('Données projet'!$A$114&gt;35,BY47+BX48-CG47,IF(A48&lt;'Données projet'!$A$114,$BV$205^A48,IF(A48='Données projet'!$A$114,'Données projet'!$B$114,BY47+BX48-CG47)))</f>
        <v>204.99999999999994</v>
      </c>
      <c r="BZ48" s="13">
        <f>BY48*VLOOKUP('Données projet'!$B$12,Paramètres!$A$1:$I$89,3,0)*VLOOKUP('Données projet'!$B$12,Paramètres!$A$1:$I$89,5,0)</f>
        <v>163.09799999999996</v>
      </c>
      <c r="CA48" s="13">
        <f t="shared" si="39"/>
        <v>41.540496136845142</v>
      </c>
      <c r="CB48" s="20">
        <f t="shared" si="10"/>
        <v>356.4120474383385</v>
      </c>
      <c r="CC48" s="59">
        <f t="shared" si="11"/>
        <v>649.74538077167176</v>
      </c>
      <c r="CD48" s="59">
        <f ca="1">AVERAGE(OFFSET($CC$3,0,0,'Données projet'!$E$12+1,1))-AVERAGE(OFFSET($H$3,0,0,'Données projet'!$E$12+1,1))</f>
        <v>225.2323446080772</v>
      </c>
      <c r="CE48" s="59">
        <f t="shared" si="40"/>
        <v>222.29030402759292</v>
      </c>
      <c r="CF48" s="15">
        <f>IF(ISNA(VLOOKUP(A48,'Données projet'!$A$113:$I$133,3,0)),0,VLOOKUP(A48,'Données projet'!$A$113:$I$133,3,0))</f>
        <v>7</v>
      </c>
      <c r="CG48" s="15">
        <f>IF(ISNA(VLOOKUP(A48,'Données projet'!$A$113:$I$133,4,0)),0,VLOOKUP(A48,'Données projet'!$A$113:$I$133,4,0))</f>
        <v>22</v>
      </c>
      <c r="CH48" s="16">
        <f>IF(ISNA(VLOOKUP(A48,'Données projet'!$A$113:$I$133,5,0)),0%,VLOOKUP(A48,'Données projet'!$A$113:$I$133,5,0)*VLOOKUP('Données projet'!$B$12,Paramètres!$A$1:$I$89,7,0))</f>
        <v>0.31269999999999998</v>
      </c>
      <c r="CI48" s="16">
        <f>IF(ISNA(VLOOKUP(A48,'Données projet'!$A$113:$I$133,6,0)),0%,VLOOKUP(A48,'Données projet'!$A$113:$I$133,6,0)*VLOOKUP('Données projet'!$B$12,Paramètres!$A$1:$I$89,7,0))</f>
        <v>0.1431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12.976050136200808</v>
      </c>
      <c r="CL48" s="21">
        <f>EXP(-LN(2)/25)*CL47+(1-EXP(-LN(2)/25))/(LN(2)/25)*Calculateur!CG48*Calculateur!CI48*VLOOKUP('Données projet'!$B$12,Paramètres!$A$1:$I$89,3,0)*0.475*44/12</f>
        <v>14.418539751071341</v>
      </c>
      <c r="CM48" s="21">
        <f>EXP(-LN(2)/2)*CM47+(1-EXP(-LN(2)/2))/(LN(2)/2)*CG48*CJ48*VLOOKUP('Données projet'!$B$12,Paramètres!$A$1:$I$89,3,0)*0.475*44/12</f>
        <v>0</v>
      </c>
      <c r="CN48" s="22">
        <f t="shared" si="12"/>
        <v>27.394589887272147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5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22.126000000000019</v>
      </c>
      <c r="D49" s="11">
        <f t="shared" si="32"/>
        <v>7.1106331699901988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225.68629113676658</v>
      </c>
      <c r="H49" s="67">
        <f t="shared" si="1"/>
        <v>344.25380277106626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18.898717948717945</v>
      </c>
      <c r="N49" s="13">
        <f>IF('Données projet'!$A$36&gt;35,N48+M49-V48,IF(A49&lt;'Données projet'!$A$36,$K$205^A49,IF(A49='Données projet'!$A$36,'Données projet'!$B$36,N48+M49-V48)))</f>
        <v>376.54871794871787</v>
      </c>
      <c r="O49" s="13">
        <f>N49*VLOOKUP('Données projet'!$B$9,Paramètres!$A$1:$I$89,3,0)*VLOOKUP('Données projet'!$B$9,Paramètres!$A$1:$I$89,5,0)</f>
        <v>181.11993333333328</v>
      </c>
      <c r="P49" s="13">
        <f t="shared" si="33"/>
        <v>45.571260682490362</v>
      </c>
      <c r="Q49" s="20">
        <f t="shared" si="53"/>
        <v>394.82049624422615</v>
      </c>
      <c r="R49" s="59">
        <f t="shared" si="0"/>
        <v>688.15382957755946</v>
      </c>
      <c r="S49" s="59">
        <f ca="1">AVERAGE(OFFSET($R$3,0,0,'Données projet'!$E$9+1,1))-AVERAGE(OFFSET($H$3,0,0,'Données projet'!$E$9+1,1))</f>
        <v>234.10156575337737</v>
      </c>
      <c r="T49" s="59">
        <f t="shared" si="34"/>
        <v>285.68635263076646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24.424209225437959</v>
      </c>
      <c r="AA49" s="21">
        <f>EXP(-LN(2)/25)*AA48+(1-EXP(-LN(2)/25))/(LN(2)/25)*Calculateur!V49*Calculateur!X49*VLOOKUP('Données projet'!$B$9,Paramètres!$A$1:$I$89,3,0)*0.475*44/12</f>
        <v>50.874266906878184</v>
      </c>
      <c r="AB49" s="21">
        <f>EXP(-LN(2)/2)*AB48+(1-EXP(-LN(2)/2))/(LN(2)/2)*V49*Y49*VLOOKUP('Données projet'!$B$9,Paramètres!$A$1:$I$89,3,0)*0.475*44/12</f>
        <v>0.16955863527842946</v>
      </c>
      <c r="AC49" s="22">
        <f t="shared" si="3"/>
        <v>75.468034767594574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10.666666666666666</v>
      </c>
      <c r="AI49" s="13">
        <f>IF('Données projet'!$A$62&gt;35,AI48+AH49-AQ48,IF(A49&lt;'Données projet'!$A$62,$AF$205^A49,IF(A49='Données projet'!$A$62,'Données projet'!$B$62,AI48+AH49-AQ48)))</f>
        <v>230.66666666666666</v>
      </c>
      <c r="AJ49" s="13">
        <f>AI49*VLOOKUP('Données projet'!$B$10,Paramètres!$A$1:$I$89,3,0)*VLOOKUP('Données projet'!$B$10,Paramètres!$A$1:$I$89,5,0)</f>
        <v>143.93599999999998</v>
      </c>
      <c r="AK49" s="13">
        <f t="shared" si="35"/>
        <v>37.197227655019397</v>
      </c>
      <c r="AL49" s="20">
        <f t="shared" si="4"/>
        <v>315.47370483249205</v>
      </c>
      <c r="AM49" s="59">
        <f t="shared" si="5"/>
        <v>608.80703816582536</v>
      </c>
      <c r="AN49" s="59">
        <f ca="1">AVERAGE(OFFSET($AM$3,0,0,'Données projet'!$E$10+1,1))-AVERAGE(OFFSET($H$3,0,0,'Données projet'!$E$10+1,1))</f>
        <v>179.44051550872138</v>
      </c>
      <c r="AO49" s="59">
        <f t="shared" si="36"/>
        <v>272.9500808380069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16.800917084667226</v>
      </c>
      <c r="AV49" s="21">
        <f>EXP(-LN(2)/25)*AV48+(1-EXP(-LN(2)/25))/(LN(2)/25)*Calculateur!AQ49*Calculateur!AS49*VLOOKUP('Données projet'!$B$10,Paramètres!$A$1:$I$89,3,0)*0.475*44/12</f>
        <v>59.775039763360624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76.575956848027857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21.625641025641034</v>
      </c>
      <c r="BD49" s="12">
        <f>IF('Données projet'!$A$88&gt;35,BD48+BC49-BL48,IF(A49&lt;'Données projet'!$A$88,$BA$205^A49,IF(A49='Données projet'!$A$88,'Données projet'!$B$88,BD48+BC49-BL48)))</f>
        <v>481.83333333333326</v>
      </c>
      <c r="BE49" s="13">
        <f>BD49*VLOOKUP('Données projet'!$B$11,Paramètres!$A$1:$I$89,3,0)*VLOOKUP('Données projet'!$B$11,Paramètres!$A$1:$I$89,5,0)</f>
        <v>269.34483333333333</v>
      </c>
      <c r="BF49" s="13">
        <f t="shared" si="37"/>
        <v>64.710206731812576</v>
      </c>
      <c r="BG49" s="20">
        <f t="shared" si="7"/>
        <v>581.81252811346246</v>
      </c>
      <c r="BH49" s="59">
        <f t="shared" si="8"/>
        <v>875.14586144679583</v>
      </c>
      <c r="BI49" s="59">
        <f ca="1">AVERAGE(OFFSET($BH$3,0,0,'Données projet'!$E$11+1,1))-AVERAGE(OFFSET($H$3,0,0,'Données projet'!$E$11+1,1))</f>
        <v>278.5296012747549</v>
      </c>
      <c r="BJ49" s="59">
        <f t="shared" si="38"/>
        <v>370.55343097937077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57.122558733194019</v>
      </c>
      <c r="BQ49" s="21">
        <f>EXP(-LN(2)/25)*BQ48+(1-EXP(-LN(2)/25))/(LN(2)/25)*Calculateur!BL49*Calculateur!BN49*VLOOKUP('Données projet'!$B$11,Paramètres!$A$1:$I$89,3,0)*0.475*44/12</f>
        <v>19.77780659244711</v>
      </c>
      <c r="BR49" s="21">
        <f>EXP(-LN(2)/2)*BR48+(1-EXP(-LN(2)/2))/(LN(2)/2)*BL49*BO49*VLOOKUP('Données projet'!$B$11,Paramètres!$A$1:$I$89,3,0)*0.475*44/12</f>
        <v>1.7381694495449156</v>
      </c>
      <c r="BS49" s="22">
        <f t="shared" si="9"/>
        <v>78.638534775186045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7.2</v>
      </c>
      <c r="BY49" s="12">
        <f>IF('Données projet'!$A$114&gt;35,BY48+BX49-CG48,IF(A49&lt;'Données projet'!$A$114,$BV$205^A49,IF(A49='Données projet'!$A$114,'Données projet'!$B$114,BY48+BX49-CG48)))</f>
        <v>190.19999999999993</v>
      </c>
      <c r="BZ49" s="13">
        <f>BY49*VLOOKUP('Données projet'!$B$12,Paramètres!$A$1:$I$89,3,0)*VLOOKUP('Données projet'!$B$12,Paramètres!$A$1:$I$89,5,0)</f>
        <v>151.32311999999996</v>
      </c>
      <c r="CA49" s="13">
        <f t="shared" si="39"/>
        <v>38.879115530839606</v>
      </c>
      <c r="CB49" s="20">
        <f t="shared" si="10"/>
        <v>331.26889354954557</v>
      </c>
      <c r="CC49" s="59">
        <f t="shared" si="11"/>
        <v>624.60222688287888</v>
      </c>
      <c r="CD49" s="59">
        <f ca="1">AVERAGE(OFFSET($CC$3,0,0,'Données projet'!$E$12+1,1))-AVERAGE(OFFSET($H$3,0,0,'Données projet'!$E$12+1,1))</f>
        <v>225.2323446080772</v>
      </c>
      <c r="CE49" s="59">
        <f t="shared" si="40"/>
        <v>222.29030402759292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12.72159770763899</v>
      </c>
      <c r="CL49" s="21">
        <f>EXP(-LN(2)/25)*CL48+(1-EXP(-LN(2)/25))/(LN(2)/25)*Calculateur!CG49*Calculateur!CI49*VLOOKUP('Données projet'!$B$12,Paramètres!$A$1:$I$89,3,0)*0.475*44/12</f>
        <v>14.024264023340244</v>
      </c>
      <c r="CM49" s="21">
        <f>EXP(-LN(2)/2)*CM48+(1-EXP(-LN(2)/2))/(LN(2)/2)*CG49*CJ49*VLOOKUP('Données projet'!$B$12,Paramètres!$A$1:$I$89,3,0)*0.475*44/12</f>
        <v>0</v>
      </c>
      <c r="CN49" s="22">
        <f t="shared" si="12"/>
        <v>26.745861730979236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5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22.607000000000021</v>
      </c>
      <c r="D50" s="11">
        <f t="shared" si="32"/>
        <v>7.2470477296289397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230.4522982638025</v>
      </c>
      <c r="H50" s="67">
        <f t="shared" si="1"/>
        <v>345.32913312910375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18.898717948717945</v>
      </c>
      <c r="N50" s="13">
        <f>IF('Données projet'!$A$36&gt;35,N49+M50-V49,IF(A50&lt;'Données projet'!$A$36,$K$205^A50,IF(A50='Données projet'!$A$36,'Données projet'!$B$36,N49+M50-V49)))</f>
        <v>395.44743589743581</v>
      </c>
      <c r="O50" s="13">
        <f>N50*VLOOKUP('Données projet'!$B$9,Paramètres!$A$1:$I$89,3,0)*VLOOKUP('Données projet'!$B$9,Paramètres!$A$1:$I$89,5,0)</f>
        <v>190.21021666666664</v>
      </c>
      <c r="P50" s="13">
        <f t="shared" si="33"/>
        <v>47.586425780049048</v>
      </c>
      <c r="Q50" s="20">
        <f t="shared" si="53"/>
        <v>414.16248559469642</v>
      </c>
      <c r="R50" s="59">
        <f t="shared" si="0"/>
        <v>707.49581892802973</v>
      </c>
      <c r="S50" s="59">
        <f ca="1">AVERAGE(OFFSET($R$3,0,0,'Données projet'!$E$9+1,1))-AVERAGE(OFFSET($H$3,0,0,'Données projet'!$E$9+1,1))</f>
        <v>234.10156575337737</v>
      </c>
      <c r="T50" s="59">
        <f t="shared" si="34"/>
        <v>285.68635263076646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23.945265379823763</v>
      </c>
      <c r="AA50" s="21">
        <f>EXP(-LN(2)/25)*AA49+(1-EXP(-LN(2)/25))/(LN(2)/25)*Calculateur!V50*Calculateur!X50*VLOOKUP('Données projet'!$B$9,Paramètres!$A$1:$I$89,3,0)*0.475*44/12</f>
        <v>49.483107402948178</v>
      </c>
      <c r="AB50" s="21">
        <f>EXP(-LN(2)/2)*AB49+(1-EXP(-LN(2)/2))/(LN(2)/2)*V50*Y50*VLOOKUP('Données projet'!$B$9,Paramètres!$A$1:$I$89,3,0)*0.475*44/12</f>
        <v>0.11989606081411404</v>
      </c>
      <c r="AC50" s="22">
        <f t="shared" si="3"/>
        <v>73.548268843586058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10.666666666666666</v>
      </c>
      <c r="AI50" s="13">
        <f>IF('Données projet'!$A$62&gt;35,AI49+AH50-AQ49,IF(A50&lt;'Données projet'!$A$62,$AF$205^A50,IF(A50='Données projet'!$A$62,'Données projet'!$B$62,AI49+AH50-AQ49)))</f>
        <v>241.33333333333331</v>
      </c>
      <c r="AJ50" s="13">
        <f>AI50*VLOOKUP('Données projet'!$B$10,Paramètres!$A$1:$I$89,3,0)*VLOOKUP('Données projet'!$B$10,Paramètres!$A$1:$I$89,5,0)</f>
        <v>150.59199999999998</v>
      </c>
      <c r="AK50" s="13">
        <f t="shared" si="35"/>
        <v>38.713088888505631</v>
      </c>
      <c r="AL50" s="20">
        <f t="shared" si="4"/>
        <v>329.70636314748066</v>
      </c>
      <c r="AM50" s="59">
        <f t="shared" si="5"/>
        <v>623.03969648081397</v>
      </c>
      <c r="AN50" s="59">
        <f ca="1">AVERAGE(OFFSET($AM$3,0,0,'Données projet'!$E$10+1,1))-AVERAGE(OFFSET($H$3,0,0,'Données projet'!$E$10+1,1))</f>
        <v>179.44051550872138</v>
      </c>
      <c r="AO50" s="59">
        <f t="shared" si="36"/>
        <v>272.9500808380069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16.471461348184462</v>
      </c>
      <c r="AV50" s="21">
        <f>EXP(-LN(2)/25)*AV49+(1-EXP(-LN(2)/25))/(LN(2)/25)*Calculateur!AQ50*Calculateur!AS50*VLOOKUP('Données projet'!$B$10,Paramètres!$A$1:$I$89,3,0)*0.475*44/12</f>
        <v>58.140488157598803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74.611949505783258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21.625641025641034</v>
      </c>
      <c r="BD50" s="12">
        <f>IF('Données projet'!$A$88&gt;35,BD49+BC50-BL49,IF(A50&lt;'Données projet'!$A$88,$BA$205^A50,IF(A50='Données projet'!$A$88,'Données projet'!$B$88,BD49+BC50-BL49)))</f>
        <v>503.45897435897427</v>
      </c>
      <c r="BE50" s="13">
        <f>BD50*VLOOKUP('Données projet'!$B$11,Paramètres!$A$1:$I$89,3,0)*VLOOKUP('Données projet'!$B$11,Paramètres!$A$1:$I$89,5,0)</f>
        <v>281.43356666666659</v>
      </c>
      <c r="BF50" s="13">
        <f t="shared" si="37"/>
        <v>67.26987262617007</v>
      </c>
      <c r="BG50" s="20">
        <f t="shared" si="7"/>
        <v>607.32515676835726</v>
      </c>
      <c r="BH50" s="59">
        <f t="shared" si="8"/>
        <v>900.65849010169063</v>
      </c>
      <c r="BI50" s="59">
        <f ca="1">AVERAGE(OFFSET($BH$3,0,0,'Données projet'!$E$11+1,1))-AVERAGE(OFFSET($H$3,0,0,'Données projet'!$E$11+1,1))</f>
        <v>278.5296012747549</v>
      </c>
      <c r="BJ50" s="59">
        <f t="shared" si="38"/>
        <v>370.55343097937077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56.002420197756614</v>
      </c>
      <c r="BQ50" s="21">
        <f>EXP(-LN(2)/25)*BQ49+(1-EXP(-LN(2)/25))/(LN(2)/25)*Calculateur!BL50*Calculateur!BN50*VLOOKUP('Données projet'!$B$11,Paramètres!$A$1:$I$89,3,0)*0.475*44/12</f>
        <v>19.236981431106997</v>
      </c>
      <c r="BR50" s="21">
        <f>EXP(-LN(2)/2)*BR49+(1-EXP(-LN(2)/2))/(LN(2)/2)*BL50*BO50*VLOOKUP('Données projet'!$B$11,Paramètres!$A$1:$I$89,3,0)*0.475*44/12</f>
        <v>1.2290714046244984</v>
      </c>
      <c r="BS50" s="22">
        <f t="shared" si="9"/>
        <v>76.46847303348811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7.2</v>
      </c>
      <c r="BY50" s="12">
        <f>IF('Données projet'!$A$114&gt;35,BY49+BX50-CG49,IF(A50&lt;'Données projet'!$A$114,$BV$205^A50,IF(A50='Données projet'!$A$114,'Données projet'!$B$114,BY49+BX50-CG49)))</f>
        <v>197.39999999999992</v>
      </c>
      <c r="BZ50" s="13">
        <f>BY50*VLOOKUP('Données projet'!$B$12,Paramètres!$A$1:$I$89,3,0)*VLOOKUP('Données projet'!$B$12,Paramètres!$A$1:$I$89,5,0)</f>
        <v>157.05143999999996</v>
      </c>
      <c r="CA50" s="13">
        <f t="shared" si="39"/>
        <v>40.176741230099708</v>
      </c>
      <c r="CB50" s="20">
        <f t="shared" si="10"/>
        <v>343.50574897575689</v>
      </c>
      <c r="CC50" s="59">
        <f t="shared" si="11"/>
        <v>636.83908230909014</v>
      </c>
      <c r="CD50" s="59">
        <f ca="1">AVERAGE(OFFSET($CC$3,0,0,'Données projet'!$E$12+1,1))-AVERAGE(OFFSET($H$3,0,0,'Données projet'!$E$12+1,1))</f>
        <v>225.2323446080772</v>
      </c>
      <c r="CE50" s="59">
        <f t="shared" si="40"/>
        <v>222.29030402759292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12.472134936000613</v>
      </c>
      <c r="CL50" s="21">
        <f>EXP(-LN(2)/25)*CL49+(1-EXP(-LN(2)/25))/(LN(2)/25)*Calculateur!CG50*Calculateur!CI50*VLOOKUP('Données projet'!$B$12,Paramètres!$A$1:$I$89,3,0)*0.475*44/12</f>
        <v>13.640769786118012</v>
      </c>
      <c r="CM50" s="21">
        <f>EXP(-LN(2)/2)*CM49+(1-EXP(-LN(2)/2))/(LN(2)/2)*CG50*CJ50*VLOOKUP('Données projet'!$B$12,Paramètres!$A$1:$I$89,3,0)*0.475*44/12</f>
        <v>0</v>
      </c>
      <c r="CN50" s="22">
        <f t="shared" si="12"/>
        <v>26.112904722118625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5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23.088000000000022</v>
      </c>
      <c r="D51" s="11">
        <f t="shared" si="32"/>
        <v>7.3831248366439324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235.21570049339198</v>
      </c>
      <c r="H51" s="67">
        <f t="shared" si="1"/>
        <v>346.40387575715488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>
        <f>VLOOKUP(A51,'Données projet'!$A$35:$I$55,2,0)</f>
        <v>414.34615384615381</v>
      </c>
      <c r="L51" s="12">
        <f>VLOOKUP(A51,'Données projet'!$A$35:$I$55,9,0)</f>
        <v>18.898717948717945</v>
      </c>
      <c r="M51" s="12">
        <f t="array" ref="M51">INDEX(L:L,MIN(IF(ISNUMBER(L51:L247),ROW(L51:L247),"")))</f>
        <v>18.898717948717945</v>
      </c>
      <c r="N51" s="13">
        <f>IF('Données projet'!$A$36&gt;35,N50+M51-V50,IF(A51&lt;'Données projet'!$A$36,$K$205^A51,IF(A51='Données projet'!$A$36,'Données projet'!$B$36,N50+M51-V50)))</f>
        <v>414.34615384615375</v>
      </c>
      <c r="O51" s="13">
        <f>N51*VLOOKUP('Données projet'!$B$9,Paramètres!$A$1:$I$89,3,0)*VLOOKUP('Données projet'!$B$9,Paramètres!$A$1:$I$89,5,0)</f>
        <v>199.30049999999997</v>
      </c>
      <c r="P51" s="13">
        <f t="shared" si="33"/>
        <v>49.59040746412353</v>
      </c>
      <c r="Q51" s="20">
        <f t="shared" si="53"/>
        <v>433.48499716668175</v>
      </c>
      <c r="R51" s="59">
        <f t="shared" si="0"/>
        <v>726.81833050001501</v>
      </c>
      <c r="S51" s="59">
        <f ca="1">AVERAGE(OFFSET($R$3,0,0,'Données projet'!$E$9+1,1))-AVERAGE(OFFSET($H$3,0,0,'Données projet'!$E$9+1,1))</f>
        <v>234.10156575337737</v>
      </c>
      <c r="T51" s="59">
        <f t="shared" si="34"/>
        <v>285.68635263076646</v>
      </c>
      <c r="U51" s="15">
        <f>IF(ISNA(VLOOKUP(A51,'Données projet'!$A$35:$I$55,3,0)),0,VLOOKUP(A51,'Données projet'!$A$35:$I$55,3,0))</f>
        <v>5</v>
      </c>
      <c r="V51" s="15">
        <f>IF(ISNA(VLOOKUP(A51,'Données projet'!$A$35:$I$55,4,0)),0,VLOOKUP(A51,'Données projet'!$A$35:$I$55,4,0))</f>
        <v>85.953846153846143</v>
      </c>
      <c r="W51" s="16">
        <f>IF(ISNA(VLOOKUP(A51,'Données projet'!$A$35:$I$55,5,0)),0%,VLOOKUP(A51,'Données projet'!$A$35:$I$55,5,0)*VLOOKUP('Données projet'!$B$9,Paramètres!$A$1:$I$89,7,0))</f>
        <v>0.22000000000000003</v>
      </c>
      <c r="X51" s="16">
        <f>IF(ISNA(VLOOKUP(A51,'Données projet'!$A$35:$I$55,6,0)),0%,VLOOKUP(A51,'Données projet'!$A$35:$I$55,6,0)*VLOOKUP('Données projet'!$B$9,Paramètres!$A$1:$I$89,7,0))</f>
        <v>0.33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35.54166074811144</v>
      </c>
      <c r="AA51" s="21">
        <f>EXP(-LN(2)/25)*AA50+(1-EXP(-LN(2)/25))/(LN(2)/25)*Calculateur!V51*Calculateur!X51*VLOOKUP('Données projet'!$B$9,Paramètres!$A$1:$I$89,3,0)*0.475*44/12</f>
        <v>66.157648005933481</v>
      </c>
      <c r="AB51" s="21">
        <f>EXP(-LN(2)/2)*AB50+(1-EXP(-LN(2)/2))/(LN(2)/2)*V51*Y51*VLOOKUP('Données projet'!$B$9,Paramètres!$A$1:$I$89,3,0)*0.475*44/12</f>
        <v>8.477931763921473E-2</v>
      </c>
      <c r="AC51" s="22">
        <f t="shared" si="3"/>
        <v>101.78408807168414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>
        <f>VLOOKUP(A51,'Données projet'!$A$61:$I$81,2,0)</f>
        <v>252</v>
      </c>
      <c r="AG51" s="12">
        <f>VLOOKUP(A51,'Données projet'!$A$61:$I$81,9,0)</f>
        <v>10.666666666666666</v>
      </c>
      <c r="AH51" s="12">
        <f t="array" ref="AH51">INDEX(AG:AG,MIN(IF(ISNUMBER(AG51:AG247),ROW(AG51:AG247),"")))</f>
        <v>10.666666666666666</v>
      </c>
      <c r="AI51" s="13">
        <f>IF('Données projet'!$A$62&gt;35,AI50+AH51-AQ50,IF(A51&lt;'Données projet'!$A$62,$AF$205^A51,IF(A51='Données projet'!$A$62,'Données projet'!$B$62,AI50+AH51-AQ50)))</f>
        <v>251.99999999999997</v>
      </c>
      <c r="AJ51" s="13">
        <f>AI51*VLOOKUP('Données projet'!$B$10,Paramètres!$A$1:$I$89,3,0)*VLOOKUP('Données projet'!$B$10,Paramètres!$A$1:$I$89,5,0)</f>
        <v>157.24799999999999</v>
      </c>
      <c r="AK51" s="13">
        <f t="shared" si="35"/>
        <v>40.22116874434861</v>
      </c>
      <c r="AL51" s="20">
        <f t="shared" si="4"/>
        <v>343.92546889640715</v>
      </c>
      <c r="AM51" s="59">
        <f t="shared" si="5"/>
        <v>637.25880222974047</v>
      </c>
      <c r="AN51" s="59">
        <f ca="1">AVERAGE(OFFSET($AM$3,0,0,'Données projet'!$E$10+1,1))-AVERAGE(OFFSET($H$3,0,0,'Données projet'!$E$10+1,1))</f>
        <v>179.44051550872138</v>
      </c>
      <c r="AO51" s="59">
        <f t="shared" si="36"/>
        <v>272.9500808380069</v>
      </c>
      <c r="AP51" s="15">
        <f>IF(ISNA(VLOOKUP(A51,'Données projet'!$A$61:$I$81,3,0)),0,VLOOKUP(A51,'Données projet'!$A$61:$I$81,3,0))</f>
        <v>7</v>
      </c>
      <c r="AQ51" s="15">
        <f>IF(ISNA(VLOOKUP(A51,'Données projet'!$A$61:$I$81,4,0)),0,VLOOKUP(A51,'Données projet'!$A$61:$I$81,4,0))</f>
        <v>65</v>
      </c>
      <c r="AR51" s="16">
        <f>IF(ISNA(VLOOKUP(A51,'Données projet'!$A$61:$I$81,5,0)),0%,VLOOKUP(A51,'Données projet'!$A$61:$I$81,5,0)*VLOOKUP('Données projet'!$B$10,Paramètres!$A$1:$I$89,7,0))</f>
        <v>0.24</v>
      </c>
      <c r="AS51" s="16">
        <f>IF(ISNA(VLOOKUP(A51,'Données projet'!$A$61:$I$81,6,0)),0%,VLOOKUP(A51,'Données projet'!$A$61:$I$81,6,0)*VLOOKUP('Données projet'!$B$10,Paramètres!$A$1:$I$89,7,0))</f>
        <v>0.36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29.061775072776626</v>
      </c>
      <c r="AV51" s="21">
        <f>EXP(-LN(2)/25)*AV50+(1-EXP(-LN(2)/25))/(LN(2)/25)*Calculateur!AQ51*Calculateur!AS51*VLOOKUP('Données projet'!$B$10,Paramètres!$A$1:$I$89,3,0)*0.475*44/12</f>
        <v>75.844330076958755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104.90610514973538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>
        <f>VLOOKUP(A51,'Données projet'!$A$87:$I$107,2,0)</f>
        <v>525.0846153846154</v>
      </c>
      <c r="BB51" s="12">
        <f>VLOOKUP(A51,'Données projet'!$A$87:$I$107,9,0)</f>
        <v>21.625641025641034</v>
      </c>
      <c r="BC51" s="12">
        <f t="array" ref="BC51">INDEX(BB:BB,MIN(IF(ISNUMBER(BB51:BB247),ROW(BB51:BB247),"")))</f>
        <v>21.625641025641034</v>
      </c>
      <c r="BD51" s="12">
        <f>IF('Données projet'!$A$88&gt;35,BD50+BC51-BL50,IF(A51&lt;'Données projet'!$A$88,$BA$205^A51,IF(A51='Données projet'!$A$88,'Données projet'!$B$88,BD50+BC51-BL50)))</f>
        <v>525.08461538461529</v>
      </c>
      <c r="BE51" s="13">
        <f>BD51*VLOOKUP('Données projet'!$B$11,Paramètres!$A$1:$I$89,3,0)*VLOOKUP('Données projet'!$B$11,Paramètres!$A$1:$I$89,5,0)</f>
        <v>293.52229999999997</v>
      </c>
      <c r="BF51" s="13">
        <f t="shared" si="37"/>
        <v>69.816768342057628</v>
      </c>
      <c r="BG51" s="20">
        <f t="shared" si="7"/>
        <v>632.81554402908364</v>
      </c>
      <c r="BH51" s="59">
        <f t="shared" si="8"/>
        <v>926.1488773624169</v>
      </c>
      <c r="BI51" s="59">
        <f ca="1">AVERAGE(OFFSET($BH$3,0,0,'Données projet'!$E$11+1,1))-AVERAGE(OFFSET($H$3,0,0,'Données projet'!$E$11+1,1))</f>
        <v>278.5296012747549</v>
      </c>
      <c r="BJ51" s="59">
        <f t="shared" si="38"/>
        <v>370.55343097937077</v>
      </c>
      <c r="BK51" s="15">
        <f>IF(ISNA(VLOOKUP(A51,'Données projet'!$A$87:$I$107,3,0)),0,VLOOKUP(A51,'Données projet'!$A$87:$I$107,3,0))</f>
        <v>6</v>
      </c>
      <c r="BL51" s="15">
        <f>IF(ISNA(VLOOKUP(A51,'Données projet'!$A$87:$I$107,4,0)),0,VLOOKUP(A51,'Données projet'!$A$87:$I$107,4,0))</f>
        <v>81.330769230769235</v>
      </c>
      <c r="BM51" s="16">
        <f>IF(ISNA(VLOOKUP(A51,'Données projet'!$A$87:$I$107,5,0)),0%,VLOOKUP(A51,'Données projet'!$A$87:$I$107,5,0)*VLOOKUP('Données projet'!$B$11,Paramètres!$A$1:$I$89,7,0))</f>
        <v>0.38500000000000001</v>
      </c>
      <c r="BN51" s="16">
        <f>IF(ISNA(VLOOKUP(A51,'Données projet'!$A$87:$I$107,6,0)),0%,VLOOKUP(A51,'Données projet'!$A$87:$I$107,6,0)*VLOOKUP('Données projet'!$B$11,Paramètres!$A$1:$I$89,7,0))</f>
        <v>9.240000000000001E-2</v>
      </c>
      <c r="BO51" s="16">
        <f>IF(ISNA(VLOOKUP(A51,'Données projet'!$A$87:$I$107,7,0)),0%,VLOOKUP(A51,'Données projet'!$A$87:$I$107,7,0))</f>
        <v>0.13200000000000001</v>
      </c>
      <c r="BP51" s="21">
        <f>EXP(-LN(2)/35)*BP50+(1-EXP(-LN(2)/35))/(LN(2)/35)*BL51*BM51*VLOOKUP('Données projet'!$B$11,Paramètres!$A$1:$I$89,3,0)*0.475*44/12</f>
        <v>78.12390248786032</v>
      </c>
      <c r="BQ51" s="21">
        <f>EXP(-LN(2)/25)*BQ50+(1-EXP(-LN(2)/25))/(LN(2)/25)*Calculateur!BL51*Calculateur!BN51*VLOOKUP('Données projet'!$B$11,Paramètres!$A$1:$I$89,3,0)*0.475*44/12</f>
        <v>24.261720592795644</v>
      </c>
      <c r="BR51" s="21">
        <f>EXP(-LN(2)/2)*BR50+(1-EXP(-LN(2)/2))/(LN(2)/2)*BL51*BO51*VLOOKUP('Données projet'!$B$11,Paramètres!$A$1:$I$89,3,0)*0.475*44/12</f>
        <v>7.6638765903722392</v>
      </c>
      <c r="BS51" s="22">
        <f t="shared" si="9"/>
        <v>110.0494996710282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7.2</v>
      </c>
      <c r="BY51" s="12">
        <f>IF('Données projet'!$A$114&gt;35,BY50+BX51-CG50,IF(A51&lt;'Données projet'!$A$114,$BV$205^A51,IF(A51='Données projet'!$A$114,'Données projet'!$B$114,BY50+BX51-CG50)))</f>
        <v>204.59999999999991</v>
      </c>
      <c r="BZ51" s="13">
        <f>BY51*VLOOKUP('Données projet'!$B$12,Paramètres!$A$1:$I$89,3,0)*VLOOKUP('Données projet'!$B$12,Paramètres!$A$1:$I$89,5,0)</f>
        <v>162.77975999999995</v>
      </c>
      <c r="CA51" s="13">
        <f t="shared" si="39"/>
        <v>41.468868129640057</v>
      </c>
      <c r="CB51" s="20">
        <f t="shared" si="10"/>
        <v>355.73302732578964</v>
      </c>
      <c r="CC51" s="59">
        <f t="shared" si="11"/>
        <v>649.06636065912289</v>
      </c>
      <c r="CD51" s="59">
        <f ca="1">AVERAGE(OFFSET($CC$3,0,0,'Données projet'!$E$12+1,1))-AVERAGE(OFFSET($H$3,0,0,'Données projet'!$E$12+1,1))</f>
        <v>225.2323446080772</v>
      </c>
      <c r="CE51" s="59">
        <f t="shared" si="40"/>
        <v>222.29030402759292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12.227563977156798</v>
      </c>
      <c r="CL51" s="21">
        <f>EXP(-LN(2)/25)*CL50+(1-EXP(-LN(2)/25))/(LN(2)/25)*Calculateur!CG51*Calculateur!CI51*VLOOKUP('Données projet'!$B$12,Paramètres!$A$1:$I$89,3,0)*0.475*44/12</f>
        <v>13.267762218979708</v>
      </c>
      <c r="CM51" s="21">
        <f>EXP(-LN(2)/2)*CM50+(1-EXP(-LN(2)/2))/(LN(2)/2)*CG51*CJ51*VLOOKUP('Données projet'!$B$12,Paramètres!$A$1:$I$89,3,0)*0.475*44/12</f>
        <v>0</v>
      </c>
      <c r="CN51" s="22">
        <f t="shared" si="12"/>
        <v>25.495326196136507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5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23.569000000000024</v>
      </c>
      <c r="D52" s="11">
        <f t="shared" si="32"/>
        <v>7.5188723312571559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239.97655834654668</v>
      </c>
      <c r="H52" s="67">
        <f t="shared" si="1"/>
        <v>347.47804431027294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17.046153846153839</v>
      </c>
      <c r="N52" s="13">
        <f>IF('Données projet'!$A$36&gt;35,N51+M52-V51,IF(A52&lt;'Données projet'!$A$36,$K$205^A52,IF(A52='Données projet'!$A$36,'Données projet'!$B$36,N51+M52-V51)))</f>
        <v>345.43846153846147</v>
      </c>
      <c r="O52" s="13">
        <f>N52*VLOOKUP('Données projet'!$B$9,Paramètres!$A$1:$I$89,3,0)*VLOOKUP('Données projet'!$B$9,Paramètres!$A$1:$I$89,5,0)</f>
        <v>166.15589999999997</v>
      </c>
      <c r="P52" s="13">
        <f t="shared" si="33"/>
        <v>42.227930367313284</v>
      </c>
      <c r="Q52" s="20">
        <f t="shared" si="53"/>
        <v>362.93517122307065</v>
      </c>
      <c r="R52" s="59">
        <f t="shared" si="0"/>
        <v>656.26850455640397</v>
      </c>
      <c r="S52" s="59">
        <f ca="1">AVERAGE(OFFSET($R$3,0,0,'Données projet'!$E$9+1,1))-AVERAGE(OFFSET($H$3,0,0,'Données projet'!$E$9+1,1))</f>
        <v>234.10156575337737</v>
      </c>
      <c r="T52" s="59">
        <f t="shared" si="34"/>
        <v>285.68635263076646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34.844710459113479</v>
      </c>
      <c r="AA52" s="21">
        <f>EXP(-LN(2)/25)*AA51+(1-EXP(-LN(2)/25))/(LN(2)/25)*Calculateur!V52*Calculateur!X52*VLOOKUP('Données projet'!$B$9,Paramètres!$A$1:$I$89,3,0)*0.475*44/12</f>
        <v>64.348563642131722</v>
      </c>
      <c r="AB52" s="21">
        <f>EXP(-LN(2)/2)*AB51+(1-EXP(-LN(2)/2))/(LN(2)/2)*V52*Y52*VLOOKUP('Données projet'!$B$9,Paramètres!$A$1:$I$89,3,0)*0.475*44/12</f>
        <v>5.9948030407057019E-2</v>
      </c>
      <c r="AC52" s="22">
        <f t="shared" si="3"/>
        <v>99.253222131652265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9.75</v>
      </c>
      <c r="AI52" s="13">
        <f>IF('Données projet'!$A$62&gt;35,AI51+AH52-AQ51,IF(A52&lt;'Données projet'!$A$62,$AF$205^A52,IF(A52='Données projet'!$A$62,'Données projet'!$B$62,AI51+AH52-AQ51)))</f>
        <v>196.75</v>
      </c>
      <c r="AJ52" s="13">
        <f>AI52*VLOOKUP('Données projet'!$B$10,Paramètres!$A$1:$I$89,3,0)*VLOOKUP('Données projet'!$B$10,Paramètres!$A$1:$I$89,5,0)</f>
        <v>122.77200000000001</v>
      </c>
      <c r="AK52" s="13">
        <f t="shared" si="35"/>
        <v>32.320660955470466</v>
      </c>
      <c r="AL52" s="20">
        <f t="shared" si="4"/>
        <v>270.11971783077774</v>
      </c>
      <c r="AM52" s="59">
        <f t="shared" si="5"/>
        <v>563.453051164111</v>
      </c>
      <c r="AN52" s="59">
        <f ca="1">AVERAGE(OFFSET($AM$3,0,0,'Données projet'!$E$10+1,1))-AVERAGE(OFFSET($H$3,0,0,'Données projet'!$E$10+1,1))</f>
        <v>179.44051550872138</v>
      </c>
      <c r="AO52" s="59">
        <f t="shared" si="36"/>
        <v>272.9500808380069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28.491891389531979</v>
      </c>
      <c r="AV52" s="21">
        <f>EXP(-LN(2)/25)*AV51+(1-EXP(-LN(2)/25))/(LN(2)/25)*Calculateur!AQ52*Calculateur!AS52*VLOOKUP('Données projet'!$B$10,Paramètres!$A$1:$I$89,3,0)*0.475*44/12</f>
        <v>73.770362882524338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102.26225427205631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20.507692307692299</v>
      </c>
      <c r="BD52" s="12">
        <f>IF('Données projet'!$A$88&gt;35,BD51+BC52-BL51,IF(A52&lt;'Données projet'!$A$88,$BA$205^A52,IF(A52='Données projet'!$A$88,'Données projet'!$B$88,BD51+BC52-BL51)))</f>
        <v>464.26153846153835</v>
      </c>
      <c r="BE52" s="13">
        <f>BD52*VLOOKUP('Données projet'!$B$11,Paramètres!$A$1:$I$89,3,0)*VLOOKUP('Données projet'!$B$11,Paramètres!$A$1:$I$89,5,0)</f>
        <v>259.52219999999994</v>
      </c>
      <c r="BF52" s="13">
        <f t="shared" si="37"/>
        <v>62.620519404058925</v>
      </c>
      <c r="BG52" s="20">
        <f t="shared" si="7"/>
        <v>561.06523629540254</v>
      </c>
      <c r="BH52" s="59">
        <f t="shared" si="8"/>
        <v>854.39856962873591</v>
      </c>
      <c r="BI52" s="59">
        <f ca="1">AVERAGE(OFFSET($BH$3,0,0,'Données projet'!$E$11+1,1))-AVERAGE(OFFSET($H$3,0,0,'Données projet'!$E$11+1,1))</f>
        <v>278.5296012747549</v>
      </c>
      <c r="BJ52" s="59">
        <f t="shared" si="38"/>
        <v>370.55343097937077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76.591940410948766</v>
      </c>
      <c r="BQ52" s="21">
        <f>EXP(-LN(2)/25)*BQ51+(1-EXP(-LN(2)/25))/(LN(2)/25)*Calculateur!BL52*Calculateur!BN52*VLOOKUP('Données projet'!$B$11,Paramètres!$A$1:$I$89,3,0)*0.475*44/12</f>
        <v>23.598282567317213</v>
      </c>
      <c r="BR52" s="21">
        <f>EXP(-LN(2)/2)*BR51+(1-EXP(-LN(2)/2))/(LN(2)/2)*BL52*BO52*VLOOKUP('Données projet'!$B$11,Paramètres!$A$1:$I$89,3,0)*0.475*44/12</f>
        <v>5.4191791072290476</v>
      </c>
      <c r="BS52" s="22">
        <f t="shared" si="9"/>
        <v>105.60940208549502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7.2</v>
      </c>
      <c r="BY52" s="12">
        <f>IF('Données projet'!$A$114&gt;35,BY51+BX52-CG51,IF(A52&lt;'Données projet'!$A$114,$BV$205^A52,IF(A52='Données projet'!$A$114,'Données projet'!$B$114,BY51+BX52-CG51)))</f>
        <v>211.7999999999999</v>
      </c>
      <c r="BZ52" s="13">
        <f>BY52*VLOOKUP('Données projet'!$B$12,Paramètres!$A$1:$I$89,3,0)*VLOOKUP('Données projet'!$B$12,Paramètres!$A$1:$I$89,5,0)</f>
        <v>168.50807999999992</v>
      </c>
      <c r="CA52" s="13">
        <f t="shared" si="39"/>
        <v>42.755711908378117</v>
      </c>
      <c r="CB52" s="20">
        <f t="shared" si="10"/>
        <v>367.95110424042508</v>
      </c>
      <c r="CC52" s="59">
        <f t="shared" si="11"/>
        <v>661.2844375737584</v>
      </c>
      <c r="CD52" s="59">
        <f ca="1">AVERAGE(OFFSET($CC$3,0,0,'Données projet'!$E$12+1,1))-AVERAGE(OFFSET($H$3,0,0,'Données projet'!$E$12+1,1))</f>
        <v>225.2323446080772</v>
      </c>
      <c r="CE52" s="59">
        <f t="shared" si="40"/>
        <v>222.29030402759292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11.987788905642356</v>
      </c>
      <c r="CL52" s="21">
        <f>EXP(-LN(2)/25)*CL51+(1-EXP(-LN(2)/25))/(LN(2)/25)*Calculateur!CG52*Calculateur!CI52*VLOOKUP('Données projet'!$B$12,Paramètres!$A$1:$I$89,3,0)*0.475*44/12</f>
        <v>12.904954563380418</v>
      </c>
      <c r="CM52" s="21">
        <f>EXP(-LN(2)/2)*CM51+(1-EXP(-LN(2)/2))/(LN(2)/2)*CG52*CJ52*VLOOKUP('Données projet'!$B$12,Paramètres!$A$1:$I$89,3,0)*0.475*44/12</f>
        <v>0</v>
      </c>
      <c r="CN52" s="22">
        <f t="shared" si="12"/>
        <v>24.892743469022776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5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24.050000000000026</v>
      </c>
      <c r="D53" s="11">
        <f t="shared" si="32"/>
        <v>7.6542977153884264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244.73492973282316</v>
      </c>
      <c r="H53" s="67">
        <f t="shared" si="1"/>
        <v>348.55165185430155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17.046153846153839</v>
      </c>
      <c r="N53" s="13">
        <f>IF('Données projet'!$A$36&gt;35,N52+M53-V52,IF(A53&lt;'Données projet'!$A$36,$K$205^A53,IF(A53='Données projet'!$A$36,'Données projet'!$B$36,N52+M53-V52)))</f>
        <v>362.48461538461532</v>
      </c>
      <c r="O53" s="13">
        <f>N53*VLOOKUP('Données projet'!$B$9,Paramètres!$A$1:$I$89,3,0)*VLOOKUP('Données projet'!$B$9,Paramètres!$A$1:$I$89,5,0)</f>
        <v>174.35509999999999</v>
      </c>
      <c r="P53" s="13">
        <f t="shared" si="33"/>
        <v>44.06398049006804</v>
      </c>
      <c r="Q53" s="20">
        <f t="shared" si="53"/>
        <v>380.41323185353514</v>
      </c>
      <c r="R53" s="59">
        <f t="shared" si="0"/>
        <v>673.74656518686845</v>
      </c>
      <c r="S53" s="59">
        <f ca="1">AVERAGE(OFFSET($R$3,0,0,'Données projet'!$E$9+1,1))-AVERAGE(OFFSET($H$3,0,0,'Données projet'!$E$9+1,1))</f>
        <v>234.10156575337737</v>
      </c>
      <c r="T53" s="59">
        <f t="shared" si="34"/>
        <v>285.68635263076646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34.161426940185066</v>
      </c>
      <c r="AA53" s="21">
        <f>EXP(-LN(2)/25)*AA52+(1-EXP(-LN(2)/25))/(LN(2)/25)*Calculateur!V53*Calculateur!X53*VLOOKUP('Données projet'!$B$9,Paramètres!$A$1:$I$89,3,0)*0.475*44/12</f>
        <v>62.58894878539374</v>
      </c>
      <c r="AB53" s="21">
        <f>EXP(-LN(2)/2)*AB52+(1-EXP(-LN(2)/2))/(LN(2)/2)*V53*Y53*VLOOKUP('Données projet'!$B$9,Paramètres!$A$1:$I$89,3,0)*0.475*44/12</f>
        <v>4.2389658819607365E-2</v>
      </c>
      <c r="AC53" s="22">
        <f t="shared" si="3"/>
        <v>96.792765384398407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9.75</v>
      </c>
      <c r="AI53" s="13">
        <f>IF('Données projet'!$A$62&gt;35,AI52+AH53-AQ52,IF(A53&lt;'Données projet'!$A$62,$AF$205^A53,IF(A53='Données projet'!$A$62,'Données projet'!$B$62,AI52+AH53-AQ52)))</f>
        <v>206.5</v>
      </c>
      <c r="AJ53" s="13">
        <f>AI53*VLOOKUP('Données projet'!$B$10,Paramètres!$A$1:$I$89,3,0)*VLOOKUP('Données projet'!$B$10,Paramètres!$A$1:$I$89,5,0)</f>
        <v>128.85599999999999</v>
      </c>
      <c r="AK53" s="13">
        <f t="shared" si="35"/>
        <v>33.731878688740906</v>
      </c>
      <c r="AL53" s="20">
        <f t="shared" si="4"/>
        <v>283.1738887162237</v>
      </c>
      <c r="AM53" s="59">
        <f t="shared" si="5"/>
        <v>576.50722204955696</v>
      </c>
      <c r="AN53" s="59">
        <f ca="1">AVERAGE(OFFSET($AM$3,0,0,'Données projet'!$E$10+1,1))-AVERAGE(OFFSET($H$3,0,0,'Données projet'!$E$10+1,1))</f>
        <v>179.44051550872138</v>
      </c>
      <c r="AO53" s="59">
        <f t="shared" si="36"/>
        <v>272.9500808380069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27.933182777721036</v>
      </c>
      <c r="AV53" s="21">
        <f>EXP(-LN(2)/25)*AV52+(1-EXP(-LN(2)/25))/(LN(2)/25)*Calculateur!AQ53*Calculateur!AS53*VLOOKUP('Données projet'!$B$10,Paramètres!$A$1:$I$89,3,0)*0.475*44/12</f>
        <v>71.753108430086925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99.686291207807955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20.507692307692299</v>
      </c>
      <c r="BD53" s="12">
        <f>IF('Données projet'!$A$88&gt;35,BD52+BC53-BL52,IF(A53&lt;'Données projet'!$A$88,$BA$205^A53,IF(A53='Données projet'!$A$88,'Données projet'!$B$88,BD52+BC53-BL52)))</f>
        <v>484.76923076923066</v>
      </c>
      <c r="BE53" s="13">
        <f>BD53*VLOOKUP('Données projet'!$B$11,Paramètres!$A$1:$I$89,3,0)*VLOOKUP('Données projet'!$B$11,Paramètres!$A$1:$I$89,5,0)</f>
        <v>270.98599999999993</v>
      </c>
      <c r="BF53" s="13">
        <f t="shared" si="37"/>
        <v>65.058478958733772</v>
      </c>
      <c r="BG53" s="20">
        <f t="shared" si="7"/>
        <v>585.27746751979453</v>
      </c>
      <c r="BH53" s="59">
        <f t="shared" si="8"/>
        <v>878.61080085312778</v>
      </c>
      <c r="BI53" s="59">
        <f ca="1">AVERAGE(OFFSET($BH$3,0,0,'Données projet'!$E$11+1,1))-AVERAGE(OFFSET($H$3,0,0,'Données projet'!$E$11+1,1))</f>
        <v>278.5296012747549</v>
      </c>
      <c r="BJ53" s="59">
        <f t="shared" si="38"/>
        <v>370.55343097937077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75.090019175960848</v>
      </c>
      <c r="BQ53" s="21">
        <f>EXP(-LN(2)/25)*BQ52+(1-EXP(-LN(2)/25))/(LN(2)/25)*Calculateur!BL53*Calculateur!BN53*VLOOKUP('Données projet'!$B$11,Paramètres!$A$1:$I$89,3,0)*0.475*44/12</f>
        <v>22.952986289534177</v>
      </c>
      <c r="BR53" s="21">
        <f>EXP(-LN(2)/2)*BR52+(1-EXP(-LN(2)/2))/(LN(2)/2)*BL53*BO53*VLOOKUP('Données projet'!$B$11,Paramètres!$A$1:$I$89,3,0)*0.475*44/12</f>
        <v>3.8319382951861205</v>
      </c>
      <c r="BS53" s="22">
        <f t="shared" si="9"/>
        <v>101.87494376068115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219</v>
      </c>
      <c r="BW53" s="12">
        <f>VLOOKUP(A53,'Données projet'!$A$113:$I$133,9,0)</f>
        <v>7.2</v>
      </c>
      <c r="BX53" s="12">
        <f t="array" ref="BX53">INDEX(BW:BW,MIN(IF(ISNUMBER(BW53:BW249),ROW(BW53:BW249),"")))</f>
        <v>7.2</v>
      </c>
      <c r="BY53" s="12">
        <f>IF('Données projet'!$A$114&gt;35,BY52+BX53-CG52,IF(A53&lt;'Données projet'!$A$114,$BV$205^A53,IF(A53='Données projet'!$A$114,'Données projet'!$B$114,BY52+BX53-CG52)))</f>
        <v>218.99999999999989</v>
      </c>
      <c r="BZ53" s="13">
        <f>BY53*VLOOKUP('Données projet'!$B$12,Paramètres!$A$1:$I$89,3,0)*VLOOKUP('Données projet'!$B$12,Paramètres!$A$1:$I$89,5,0)</f>
        <v>174.23639999999992</v>
      </c>
      <c r="CA53" s="13">
        <f t="shared" si="39"/>
        <v>44.03747274965864</v>
      </c>
      <c r="CB53" s="20">
        <f t="shared" si="10"/>
        <v>380.160328372322</v>
      </c>
      <c r="CC53" s="59">
        <f t="shared" si="11"/>
        <v>673.49366170565531</v>
      </c>
      <c r="CD53" s="59">
        <f ca="1">AVERAGE(OFFSET($CC$3,0,0,'Données projet'!$E$12+1,1))-AVERAGE(OFFSET($H$3,0,0,'Données projet'!$E$12+1,1))</f>
        <v>225.2323446080772</v>
      </c>
      <c r="CE53" s="59">
        <f t="shared" si="40"/>
        <v>222.29030402759292</v>
      </c>
      <c r="CF53" s="15">
        <f>IF(ISNA(VLOOKUP(A53,'Données projet'!$A$113:$I$133,3,0)),0,VLOOKUP(A53,'Données projet'!$A$113:$I$133,3,0))</f>
        <v>8</v>
      </c>
      <c r="CG53" s="15">
        <f>IF(ISNA(VLOOKUP(A53,'Données projet'!$A$113:$I$133,4,0)),0,VLOOKUP(A53,'Données projet'!$A$113:$I$133,4,0))</f>
        <v>17</v>
      </c>
      <c r="CH53" s="16">
        <f>IF(ISNA(VLOOKUP(A53,'Données projet'!$A$113:$I$133,5,0)),0%,VLOOKUP(A53,'Données projet'!$A$113:$I$133,5,0)*VLOOKUP('Données projet'!$B$12,Paramètres!$A$1:$I$89,7,0))</f>
        <v>0.37630000000000002</v>
      </c>
      <c r="CI53" s="16">
        <f>IF(ISNA(VLOOKUP(A53,'Données projet'!$A$113:$I$133,6,0)),0%,VLOOKUP(A53,'Données projet'!$A$113:$I$133,6,0)*VLOOKUP('Données projet'!$B$12,Paramètres!$A$1:$I$89,7,0))</f>
        <v>9.5399999999999999E-2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17.379043388874543</v>
      </c>
      <c r="CL53" s="21">
        <f>EXP(-LN(2)/25)*CL52+(1-EXP(-LN(2)/25))/(LN(2)/25)*Calculateur!CG53*Calculateur!CI53*VLOOKUP('Données projet'!$B$12,Paramètres!$A$1:$I$89,3,0)*0.475*44/12</f>
        <v>13.972844590726073</v>
      </c>
      <c r="CM53" s="21">
        <f>EXP(-LN(2)/2)*CM52+(1-EXP(-LN(2)/2))/(LN(2)/2)*CG53*CJ53*VLOOKUP('Données projet'!$B$12,Paramètres!$A$1:$I$89,3,0)*0.475*44/12</f>
        <v>0</v>
      </c>
      <c r="CN53" s="22">
        <f t="shared" si="12"/>
        <v>31.351887979600615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5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24.531000000000027</v>
      </c>
      <c r="D54" s="11">
        <f t="shared" si="32"/>
        <v>7.789408173722185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249.49087011294341</v>
      </c>
      <c r="H54" s="67">
        <f t="shared" si="1"/>
        <v>349.62471090256616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17.046153846153839</v>
      </c>
      <c r="N54" s="13">
        <f>IF('Données projet'!$A$36&gt;35,N53+M54-V53,IF(A54&lt;'Données projet'!$A$36,$K$205^A54,IF(A54='Données projet'!$A$36,'Données projet'!$B$36,N53+M54-V53)))</f>
        <v>379.53076923076918</v>
      </c>
      <c r="O54" s="13">
        <f>N54*VLOOKUP('Données projet'!$B$9,Paramètres!$A$1:$I$89,3,0)*VLOOKUP('Données projet'!$B$9,Paramètres!$A$1:$I$89,5,0)</f>
        <v>182.55429999999998</v>
      </c>
      <c r="P54" s="13">
        <f t="shared" si="33"/>
        <v>45.890003975586062</v>
      </c>
      <c r="Q54" s="20">
        <f t="shared" si="53"/>
        <v>397.8738294241457</v>
      </c>
      <c r="R54" s="59">
        <f t="shared" si="0"/>
        <v>691.20716275747895</v>
      </c>
      <c r="S54" s="59">
        <f ca="1">AVERAGE(OFFSET($R$3,0,0,'Données projet'!$E$9+1,1))-AVERAGE(OFFSET($H$3,0,0,'Données projet'!$E$9+1,1))</f>
        <v>234.10156575337737</v>
      </c>
      <c r="T54" s="59">
        <f t="shared" si="34"/>
        <v>285.68635263076646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33.491542194301047</v>
      </c>
      <c r="AA54" s="21">
        <f>EXP(-LN(2)/25)*AA53+(1-EXP(-LN(2)/25))/(LN(2)/25)*Calculateur!V54*Calculateur!X54*VLOOKUP('Données projet'!$B$9,Paramètres!$A$1:$I$89,3,0)*0.475*44/12</f>
        <v>60.877450689447379</v>
      </c>
      <c r="AB54" s="21">
        <f>EXP(-LN(2)/2)*AB53+(1-EXP(-LN(2)/2))/(LN(2)/2)*V54*Y54*VLOOKUP('Données projet'!$B$9,Paramètres!$A$1:$I$89,3,0)*0.475*44/12</f>
        <v>2.997401520352851E-2</v>
      </c>
      <c r="AC54" s="22">
        <f t="shared" si="3"/>
        <v>94.398966898951969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9.75</v>
      </c>
      <c r="AI54" s="13">
        <f>IF('Données projet'!$A$62&gt;35,AI53+AH54-AQ53,IF(A54&lt;'Données projet'!$A$62,$AF$205^A54,IF(A54='Données projet'!$A$62,'Données projet'!$B$62,AI53+AH54-AQ53)))</f>
        <v>216.25</v>
      </c>
      <c r="AJ54" s="13">
        <f>AI54*VLOOKUP('Données projet'!$B$10,Paramètres!$A$1:$I$89,3,0)*VLOOKUP('Données projet'!$B$10,Paramètres!$A$1:$I$89,5,0)</f>
        <v>134.94</v>
      </c>
      <c r="AK54" s="13">
        <f t="shared" si="35"/>
        <v>35.135358771568036</v>
      </c>
      <c r="AL54" s="20">
        <f t="shared" si="4"/>
        <v>296.21458319381429</v>
      </c>
      <c r="AM54" s="59">
        <f t="shared" si="5"/>
        <v>589.54791652714766</v>
      </c>
      <c r="AN54" s="59">
        <f ca="1">AVERAGE(OFFSET($AM$3,0,0,'Données projet'!$E$10+1,1))-AVERAGE(OFFSET($H$3,0,0,'Données projet'!$E$10+1,1))</f>
        <v>179.44051550872138</v>
      </c>
      <c r="AO54" s="59">
        <f t="shared" si="36"/>
        <v>272.9500808380069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27.385430101009103</v>
      </c>
      <c r="AV54" s="21">
        <f>EXP(-LN(2)/25)*AV53+(1-EXP(-LN(2)/25))/(LN(2)/25)*Calculateur!AQ54*Calculateur!AS54*VLOOKUP('Données projet'!$B$10,Paramètres!$A$1:$I$89,3,0)*0.475*44/12</f>
        <v>69.791015906734216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97.176446007743323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20.507692307692299</v>
      </c>
      <c r="BD54" s="12">
        <f>IF('Données projet'!$A$88&gt;35,BD53+BC54-BL53,IF(A54&lt;'Données projet'!$A$88,$BA$205^A54,IF(A54='Données projet'!$A$88,'Données projet'!$B$88,BD53+BC54-BL53)))</f>
        <v>505.27692307692297</v>
      </c>
      <c r="BE54" s="13">
        <f>BD54*VLOOKUP('Données projet'!$B$11,Paramètres!$A$1:$I$89,3,0)*VLOOKUP('Données projet'!$B$11,Paramètres!$A$1:$I$89,5,0)</f>
        <v>282.44979999999998</v>
      </c>
      <c r="BF54" s="13">
        <f t="shared" si="37"/>
        <v>67.484459274997945</v>
      </c>
      <c r="BG54" s="20">
        <f t="shared" si="7"/>
        <v>609.46883490395464</v>
      </c>
      <c r="BH54" s="59">
        <f t="shared" si="8"/>
        <v>902.80216823728802</v>
      </c>
      <c r="BI54" s="59">
        <f ca="1">AVERAGE(OFFSET($BH$3,0,0,'Données projet'!$E$11+1,1))-AVERAGE(OFFSET($H$3,0,0,'Données projet'!$E$11+1,1))</f>
        <v>278.5296012747549</v>
      </c>
      <c r="BJ54" s="59">
        <f t="shared" si="38"/>
        <v>370.55343097937077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73.617549700309539</v>
      </c>
      <c r="BQ54" s="21">
        <f>EXP(-LN(2)/25)*BQ53+(1-EXP(-LN(2)/25))/(LN(2)/25)*Calculateur!BL54*Calculateur!BN54*VLOOKUP('Données projet'!$B$11,Paramètres!$A$1:$I$89,3,0)*0.475*44/12</f>
        <v>22.325335672401774</v>
      </c>
      <c r="BR54" s="21">
        <f>EXP(-LN(2)/2)*BR53+(1-EXP(-LN(2)/2))/(LN(2)/2)*BL54*BO54*VLOOKUP('Données projet'!$B$11,Paramètres!$A$1:$I$89,3,0)*0.475*44/12</f>
        <v>2.7095895536145242</v>
      </c>
      <c r="BS54" s="22">
        <f t="shared" si="9"/>
        <v>98.652474926325837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6</v>
      </c>
      <c r="BY54" s="12">
        <f>IF('Données projet'!$A$114&gt;35,BY53+BX54-CG53,IF(A54&lt;'Données projet'!$A$114,$BV$205^A54,IF(A54='Données projet'!$A$114,'Données projet'!$B$114,BY53+BX54-CG53)))</f>
        <v>207.99999999999989</v>
      </c>
      <c r="BZ54" s="13">
        <f>BY54*VLOOKUP('Données projet'!$B$12,Paramètres!$A$1:$I$89,3,0)*VLOOKUP('Données projet'!$B$12,Paramètres!$A$1:$I$89,5,0)</f>
        <v>165.48479999999992</v>
      </c>
      <c r="CA54" s="13">
        <f t="shared" si="39"/>
        <v>42.077190125964002</v>
      </c>
      <c r="CB54" s="20">
        <f t="shared" si="10"/>
        <v>361.5037994693871</v>
      </c>
      <c r="CC54" s="59">
        <f t="shared" si="11"/>
        <v>654.83713280272036</v>
      </c>
      <c r="CD54" s="59">
        <f ca="1">AVERAGE(OFFSET($CC$3,0,0,'Données projet'!$E$12+1,1))-AVERAGE(OFFSET($H$3,0,0,'Données projet'!$E$12+1,1))</f>
        <v>225.2323446080772</v>
      </c>
      <c r="CE54" s="59">
        <f t="shared" si="40"/>
        <v>222.29030402759292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17.038250948188502</v>
      </c>
      <c r="CL54" s="21">
        <f>EXP(-LN(2)/25)*CL53+(1-EXP(-LN(2)/25))/(LN(2)/25)*Calculateur!CG54*Calculateur!CI54*VLOOKUP('Données projet'!$B$12,Paramètres!$A$1:$I$89,3,0)*0.475*44/12</f>
        <v>13.590756420592706</v>
      </c>
      <c r="CM54" s="21">
        <f>EXP(-LN(2)/2)*CM53+(1-EXP(-LN(2)/2))/(LN(2)/2)*CG54*CJ54*VLOOKUP('Données projet'!$B$12,Paramètres!$A$1:$I$89,3,0)*0.475*44/12</f>
        <v>0</v>
      </c>
      <c r="CN54" s="22">
        <f t="shared" si="12"/>
        <v>30.62900736878121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5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25.012000000000029</v>
      </c>
      <c r="D55" s="11">
        <f t="shared" si="32"/>
        <v>7.9242105930753244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254.24443264830097</v>
      </c>
      <c r="H55" s="67">
        <f t="shared" si="1"/>
        <v>350.69723344960619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17.046153846153839</v>
      </c>
      <c r="N55" s="13">
        <f>IF('Données projet'!$A$36&gt;35,N54+M55-V54,IF(A55&lt;'Données projet'!$A$36,$K$205^A55,IF(A55='Données projet'!$A$36,'Données projet'!$B$36,N54+M55-V54)))</f>
        <v>396.57692307692304</v>
      </c>
      <c r="O55" s="13">
        <f>N55*VLOOKUP('Données projet'!$B$9,Paramètres!$A$1:$I$89,3,0)*VLOOKUP('Données projet'!$B$9,Paramètres!$A$1:$I$89,5,0)</f>
        <v>190.75349999999997</v>
      </c>
      <c r="P55" s="13">
        <f t="shared" si="33"/>
        <v>47.70650260946374</v>
      </c>
      <c r="Q55" s="20">
        <f t="shared" si="53"/>
        <v>415.31783787814931</v>
      </c>
      <c r="R55" s="59">
        <f t="shared" si="0"/>
        <v>708.65117121148262</v>
      </c>
      <c r="S55" s="59">
        <f ca="1">AVERAGE(OFFSET($R$3,0,0,'Données projet'!$E$9+1,1))-AVERAGE(OFFSET($H$3,0,0,'Données projet'!$E$9+1,1))</f>
        <v>234.10156575337737</v>
      </c>
      <c r="T55" s="59">
        <f t="shared" si="34"/>
        <v>285.68635263076646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32.834793479694461</v>
      </c>
      <c r="AA55" s="21">
        <f>EXP(-LN(2)/25)*AA54+(1-EXP(-LN(2)/25))/(LN(2)/25)*Calculateur!V55*Calculateur!X55*VLOOKUP('Données projet'!$B$9,Paramètres!$A$1:$I$89,3,0)*0.475*44/12</f>
        <v>59.212753598938448</v>
      </c>
      <c r="AB55" s="21">
        <f>EXP(-LN(2)/2)*AB54+(1-EXP(-LN(2)/2))/(LN(2)/2)*V55*Y55*VLOOKUP('Données projet'!$B$9,Paramètres!$A$1:$I$89,3,0)*0.475*44/12</f>
        <v>2.1194829409803682E-2</v>
      </c>
      <c r="AC55" s="22">
        <f t="shared" si="3"/>
        <v>92.068741908042711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9.75</v>
      </c>
      <c r="AI55" s="13">
        <f>IF('Données projet'!$A$62&gt;35,AI54+AH55-AQ54,IF(A55&lt;'Données projet'!$A$62,$AF$205^A55,IF(A55='Données projet'!$A$62,'Données projet'!$B$62,AI54+AH55-AQ54)))</f>
        <v>226</v>
      </c>
      <c r="AJ55" s="13">
        <f>AI55*VLOOKUP('Données projet'!$B$10,Paramètres!$A$1:$I$89,3,0)*VLOOKUP('Données projet'!$B$10,Paramètres!$A$1:$I$89,5,0)</f>
        <v>141.024</v>
      </c>
      <c r="AK55" s="13">
        <f t="shared" si="35"/>
        <v>36.531489925882461</v>
      </c>
      <c r="AL55" s="20">
        <f t="shared" si="4"/>
        <v>309.24247828757859</v>
      </c>
      <c r="AM55" s="59">
        <f t="shared" si="5"/>
        <v>602.57581162091196</v>
      </c>
      <c r="AN55" s="59">
        <f ca="1">AVERAGE(OFFSET($AM$3,0,0,'Données projet'!$E$10+1,1))-AVERAGE(OFFSET($H$3,0,0,'Données projet'!$E$10+1,1))</f>
        <v>179.44051550872138</v>
      </c>
      <c r="AO55" s="59">
        <f t="shared" si="36"/>
        <v>272.9500808380069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26.848418520191345</v>
      </c>
      <c r="AV55" s="21">
        <f>EXP(-LN(2)/25)*AV54+(1-EXP(-LN(2)/25))/(LN(2)/25)*Calculateur!AQ55*Calculateur!AS55*VLOOKUP('Données projet'!$B$10,Paramètres!$A$1:$I$89,3,0)*0.475*44/12</f>
        <v>67.882576906614545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94.73099542680589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20.507692307692299</v>
      </c>
      <c r="BD55" s="12">
        <f>IF('Données projet'!$A$88&gt;35,BD54+BC55-BL54,IF(A55&lt;'Données projet'!$A$88,$BA$205^A55,IF(A55='Données projet'!$A$88,'Données projet'!$B$88,BD54+BC55-BL54)))</f>
        <v>525.78461538461522</v>
      </c>
      <c r="BE55" s="13">
        <f>BD55*VLOOKUP('Données projet'!$B$11,Paramètres!$A$1:$I$89,3,0)*VLOOKUP('Données projet'!$B$11,Paramètres!$A$1:$I$89,5,0)</f>
        <v>293.91359999999992</v>
      </c>
      <c r="BF55" s="13">
        <f t="shared" si="37"/>
        <v>69.899002171586702</v>
      </c>
      <c r="BG55" s="20">
        <f t="shared" si="7"/>
        <v>633.64028211551329</v>
      </c>
      <c r="BH55" s="59">
        <f t="shared" si="8"/>
        <v>926.97361544884666</v>
      </c>
      <c r="BI55" s="59">
        <f ca="1">AVERAGE(OFFSET($BH$3,0,0,'Données projet'!$E$11+1,1))-AVERAGE(OFFSET($H$3,0,0,'Données projet'!$E$11+1,1))</f>
        <v>278.5296012747549</v>
      </c>
      <c r="BJ55" s="59">
        <f t="shared" si="38"/>
        <v>370.55343097937077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72.173954452958057</v>
      </c>
      <c r="BQ55" s="21">
        <f>EXP(-LN(2)/25)*BQ54+(1-EXP(-LN(2)/25))/(LN(2)/25)*Calculateur!BL55*Calculateur!BN55*VLOOKUP('Données projet'!$B$11,Paramètres!$A$1:$I$89,3,0)*0.475*44/12</f>
        <v>21.714848194401569</v>
      </c>
      <c r="BR55" s="21">
        <f>EXP(-LN(2)/2)*BR54+(1-EXP(-LN(2)/2))/(LN(2)/2)*BL55*BO55*VLOOKUP('Données projet'!$B$11,Paramètres!$A$1:$I$89,3,0)*0.475*44/12</f>
        <v>1.9159691475930605</v>
      </c>
      <c r="BS55" s="22">
        <f t="shared" si="9"/>
        <v>95.804771794952686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6</v>
      </c>
      <c r="BY55" s="12">
        <f>IF('Données projet'!$A$114&gt;35,BY54+BX55-CG54,IF(A55&lt;'Données projet'!$A$114,$BV$205^A55,IF(A55='Données projet'!$A$114,'Données projet'!$B$114,BY54+BX55-CG54)))</f>
        <v>213.99999999999989</v>
      </c>
      <c r="BZ55" s="13">
        <f>BY55*VLOOKUP('Données projet'!$B$12,Paramètres!$A$1:$I$89,3,0)*VLOOKUP('Données projet'!$B$12,Paramètres!$A$1:$I$89,5,0)</f>
        <v>170.25839999999991</v>
      </c>
      <c r="CA55" s="13">
        <f t="shared" si="39"/>
        <v>43.147891472685018</v>
      </c>
      <c r="CB55" s="20">
        <f t="shared" si="10"/>
        <v>371.68262431492622</v>
      </c>
      <c r="CC55" s="59">
        <f t="shared" si="11"/>
        <v>665.01595764825947</v>
      </c>
      <c r="CD55" s="59">
        <f ca="1">AVERAGE(OFFSET($CC$3,0,0,'Données projet'!$E$12+1,1))-AVERAGE(OFFSET($H$3,0,0,'Données projet'!$E$12+1,1))</f>
        <v>225.2323446080772</v>
      </c>
      <c r="CE55" s="59">
        <f t="shared" si="40"/>
        <v>222.29030402759292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16.704141239401448</v>
      </c>
      <c r="CL55" s="21">
        <f>EXP(-LN(2)/25)*CL54+(1-EXP(-LN(2)/25))/(LN(2)/25)*Calculateur!CG55*Calculateur!CI55*VLOOKUP('Données projet'!$B$12,Paramètres!$A$1:$I$89,3,0)*0.475*44/12</f>
        <v>13.219116471564782</v>
      </c>
      <c r="CM55" s="21">
        <f>EXP(-LN(2)/2)*CM54+(1-EXP(-LN(2)/2))/(LN(2)/2)*CG55*CJ55*VLOOKUP('Données projet'!$B$12,Paramètres!$A$1:$I$89,3,0)*0.475*44/12</f>
        <v>0</v>
      </c>
      <c r="CN55" s="22">
        <f t="shared" si="12"/>
        <v>29.923257710966229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5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25.493000000000031</v>
      </c>
      <c r="D56" s="11">
        <f t="shared" si="32"/>
        <v>8.0587115802330267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258.99566833864117</v>
      </c>
      <c r="H56" s="67">
        <f t="shared" si="1"/>
        <v>351.76923100223922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17.046153846153839</v>
      </c>
      <c r="N56" s="13">
        <f>IF('Données projet'!$A$36&gt;35,N55+M56-V55,IF(A56&lt;'Données projet'!$A$36,$K$205^A56,IF(A56='Données projet'!$A$36,'Données projet'!$B$36,N55+M56-V55)))</f>
        <v>413.62307692307689</v>
      </c>
      <c r="O56" s="13">
        <f>N56*VLOOKUP('Données projet'!$B$9,Paramètres!$A$1:$I$89,3,0)*VLOOKUP('Données projet'!$B$9,Paramètres!$A$1:$I$89,5,0)</f>
        <v>198.95269999999999</v>
      </c>
      <c r="P56" s="13">
        <f t="shared" si="33"/>
        <v>49.513932600902386</v>
      </c>
      <c r="Q56" s="20">
        <f t="shared" si="53"/>
        <v>432.74605177990497</v>
      </c>
      <c r="R56" s="59">
        <f t="shared" si="0"/>
        <v>726.07938511323823</v>
      </c>
      <c r="S56" s="59">
        <f ca="1">AVERAGE(OFFSET($R$3,0,0,'Données projet'!$E$9+1,1))-AVERAGE(OFFSET($H$3,0,0,'Données projet'!$E$9+1,1))</f>
        <v>234.10156575337737</v>
      </c>
      <c r="T56" s="59">
        <f t="shared" si="34"/>
        <v>285.68635263076646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32.19092320680415</v>
      </c>
      <c r="AA56" s="21">
        <f>EXP(-LN(2)/25)*AA55+(1-EXP(-LN(2)/25))/(LN(2)/25)*Calculateur!V56*Calculateur!X56*VLOOKUP('Données projet'!$B$9,Paramètres!$A$1:$I$89,3,0)*0.475*44/12</f>
        <v>57.593577737912099</v>
      </c>
      <c r="AB56" s="21">
        <f>EXP(-LN(2)/2)*AB55+(1-EXP(-LN(2)/2))/(LN(2)/2)*V56*Y56*VLOOKUP('Données projet'!$B$9,Paramètres!$A$1:$I$89,3,0)*0.475*44/12</f>
        <v>1.4987007601764255E-2</v>
      </c>
      <c r="AC56" s="22">
        <f t="shared" si="3"/>
        <v>89.799487952318017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9.75</v>
      </c>
      <c r="AI56" s="13">
        <f>IF('Données projet'!$A$62&gt;35,AI55+AH56-AQ55,IF(A56&lt;'Données projet'!$A$62,$AF$205^A56,IF(A56='Données projet'!$A$62,'Données projet'!$B$62,AI55+AH56-AQ55)))</f>
        <v>235.75</v>
      </c>
      <c r="AJ56" s="13">
        <f>AI56*VLOOKUP('Données projet'!$B$10,Paramètres!$A$1:$I$89,3,0)*VLOOKUP('Données projet'!$B$10,Paramètres!$A$1:$I$89,5,0)</f>
        <v>147.108</v>
      </c>
      <c r="AK56" s="13">
        <f t="shared" si="35"/>
        <v>37.920625436598897</v>
      </c>
      <c r="AL56" s="20">
        <f t="shared" si="4"/>
        <v>322.25818930207646</v>
      </c>
      <c r="AM56" s="59">
        <f t="shared" si="5"/>
        <v>615.59152263540977</v>
      </c>
      <c r="AN56" s="59">
        <f ca="1">AVERAGE(OFFSET($AM$3,0,0,'Données projet'!$E$10+1,1))-AVERAGE(OFFSET($H$3,0,0,'Données projet'!$E$10+1,1))</f>
        <v>179.44051550872138</v>
      </c>
      <c r="AO56" s="59">
        <f t="shared" si="36"/>
        <v>272.9500808380069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26.321937408928701</v>
      </c>
      <c r="AV56" s="21">
        <f>EXP(-LN(2)/25)*AV55+(1-EXP(-LN(2)/25))/(LN(2)/25)*Calculateur!AQ56*Calculateur!AS56*VLOOKUP('Données projet'!$B$10,Paramètres!$A$1:$I$89,3,0)*0.475*44/12</f>
        <v>66.026324271313598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92.348261680242302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20.507692307692299</v>
      </c>
      <c r="BD56" s="12">
        <f>IF('Données projet'!$A$88&gt;35,BD55+BC56-BL55,IF(A56&lt;'Données projet'!$A$88,$BA$205^A56,IF(A56='Données projet'!$A$88,'Données projet'!$B$88,BD55+BC56-BL55)))</f>
        <v>546.29230769230753</v>
      </c>
      <c r="BE56" s="13">
        <f>BD56*VLOOKUP('Données projet'!$B$11,Paramètres!$A$1:$I$89,3,0)*VLOOKUP('Données projet'!$B$11,Paramètres!$A$1:$I$89,5,0)</f>
        <v>305.37739999999991</v>
      </c>
      <c r="BF56" s="13">
        <f t="shared" si="37"/>
        <v>72.302604807906476</v>
      </c>
      <c r="BG56" s="20">
        <f t="shared" si="7"/>
        <v>657.79267504043685</v>
      </c>
      <c r="BH56" s="59">
        <f t="shared" si="8"/>
        <v>951.12600837377022</v>
      </c>
      <c r="BI56" s="59">
        <f ca="1">AVERAGE(OFFSET($BH$3,0,0,'Données projet'!$E$11+1,1))-AVERAGE(OFFSET($H$3,0,0,'Données projet'!$E$11+1,1))</f>
        <v>278.5296012747549</v>
      </c>
      <c r="BJ56" s="59">
        <f t="shared" si="38"/>
        <v>370.55343097937077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70.758667227900972</v>
      </c>
      <c r="BQ56" s="21">
        <f>EXP(-LN(2)/25)*BQ55+(1-EXP(-LN(2)/25))/(LN(2)/25)*Calculateur!BL56*Calculateur!BN56*VLOOKUP('Données projet'!$B$11,Paramètres!$A$1:$I$89,3,0)*0.475*44/12</f>
        <v>21.121054528591422</v>
      </c>
      <c r="BR56" s="21">
        <f>EXP(-LN(2)/2)*BR55+(1-EXP(-LN(2)/2))/(LN(2)/2)*BL56*BO56*VLOOKUP('Données projet'!$B$11,Paramètres!$A$1:$I$89,3,0)*0.475*44/12</f>
        <v>1.3547947768072623</v>
      </c>
      <c r="BS56" s="22">
        <f t="shared" si="9"/>
        <v>93.234516533299654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6</v>
      </c>
      <c r="BY56" s="12">
        <f>IF('Données projet'!$A$114&gt;35,BY55+BX56-CG55,IF(A56&lt;'Données projet'!$A$114,$BV$205^A56,IF(A56='Données projet'!$A$114,'Données projet'!$B$114,BY55+BX56-CG55)))</f>
        <v>219.99999999999989</v>
      </c>
      <c r="BZ56" s="13">
        <f>BY56*VLOOKUP('Données projet'!$B$12,Paramètres!$A$1:$I$89,3,0)*VLOOKUP('Données projet'!$B$12,Paramètres!$A$1:$I$89,5,0)</f>
        <v>175.03199999999993</v>
      </c>
      <c r="CA56" s="13">
        <f t="shared" si="39"/>
        <v>44.215103743191008</v>
      </c>
      <c r="CB56" s="20">
        <f t="shared" si="10"/>
        <v>381.85537235272426</v>
      </c>
      <c r="CC56" s="59">
        <f t="shared" si="11"/>
        <v>675.18870568605757</v>
      </c>
      <c r="CD56" s="59">
        <f ca="1">AVERAGE(OFFSET($CC$3,0,0,'Données projet'!$E$12+1,1))-AVERAGE(OFFSET($H$3,0,0,'Données projet'!$E$12+1,1))</f>
        <v>225.2323446080772</v>
      </c>
      <c r="CE56" s="59">
        <f t="shared" si="40"/>
        <v>222.29030402759292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16.376583218216908</v>
      </c>
      <c r="CL56" s="21">
        <f>EXP(-LN(2)/25)*CL55+(1-EXP(-LN(2)/25))/(LN(2)/25)*Calculateur!CG56*Calculateur!CI56*VLOOKUP('Données projet'!$B$12,Paramètres!$A$1:$I$89,3,0)*0.475*44/12</f>
        <v>12.85763903648672</v>
      </c>
      <c r="CM56" s="21">
        <f>EXP(-LN(2)/2)*CM55+(1-EXP(-LN(2)/2))/(LN(2)/2)*CG56*CJ56*VLOOKUP('Données projet'!$B$12,Paramètres!$A$1:$I$89,3,0)*0.475*44/12</f>
        <v>0</v>
      </c>
      <c r="CN56" s="22">
        <f t="shared" si="12"/>
        <v>29.234222254703628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5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25.974000000000032</v>
      </c>
      <c r="D57" s="11">
        <f t="shared" si="32"/>
        <v>8.1929174784004761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263.74462614905656</v>
      </c>
      <c r="H57" s="67">
        <f t="shared" si="1"/>
        <v>352.84071460821417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17.046153846153839</v>
      </c>
      <c r="N57" s="13">
        <f>IF('Données projet'!$A$36&gt;35,N56+M57-V56,IF(A57&lt;'Données projet'!$A$36,$K$205^A57,IF(A57='Données projet'!$A$36,'Données projet'!$B$36,N56+M57-V56)))</f>
        <v>430.66923076923075</v>
      </c>
      <c r="O57" s="13">
        <f>N57*VLOOKUP('Données projet'!$B$9,Paramètres!$A$1:$I$89,3,0)*VLOOKUP('Données projet'!$B$9,Paramètres!$A$1:$I$89,5,0)</f>
        <v>207.15190000000001</v>
      </c>
      <c r="P57" s="13">
        <f t="shared" si="33"/>
        <v>51.31271042903446</v>
      </c>
      <c r="Q57" s="20">
        <f t="shared" si="53"/>
        <v>450.15919649723497</v>
      </c>
      <c r="R57" s="59">
        <f t="shared" si="0"/>
        <v>743.49252983056829</v>
      </c>
      <c r="S57" s="59">
        <f ca="1">AVERAGE(OFFSET($R$3,0,0,'Données projet'!$E$9+1,1))-AVERAGE(OFFSET($H$3,0,0,'Données projet'!$E$9+1,1))</f>
        <v>234.10156575337737</v>
      </c>
      <c r="T57" s="59">
        <f t="shared" si="34"/>
        <v>285.68635263076646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31.55967883724313</v>
      </c>
      <c r="AA57" s="21">
        <f>EXP(-LN(2)/25)*AA56+(1-EXP(-LN(2)/25))/(LN(2)/25)*Calculateur!V57*Calculateur!X57*VLOOKUP('Données projet'!$B$9,Paramètres!$A$1:$I$89,3,0)*0.475*44/12</f>
        <v>56.018678325954269</v>
      </c>
      <c r="AB57" s="21">
        <f>EXP(-LN(2)/2)*AB56+(1-EXP(-LN(2)/2))/(LN(2)/2)*V57*Y57*VLOOKUP('Données projet'!$B$9,Paramètres!$A$1:$I$89,3,0)*0.475*44/12</f>
        <v>1.0597414704901841E-2</v>
      </c>
      <c r="AC57" s="22">
        <f t="shared" si="3"/>
        <v>87.5889545779023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9.75</v>
      </c>
      <c r="AI57" s="13">
        <f>IF('Données projet'!$A$62&gt;35,AI56+AH57-AQ56,IF(A57&lt;'Données projet'!$A$62,$AF$205^A57,IF(A57='Données projet'!$A$62,'Données projet'!$B$62,AI56+AH57-AQ56)))</f>
        <v>245.5</v>
      </c>
      <c r="AJ57" s="13">
        <f>AI57*VLOOKUP('Données projet'!$B$10,Paramètres!$A$1:$I$89,3,0)*VLOOKUP('Données projet'!$B$10,Paramètres!$A$1:$I$89,5,0)</f>
        <v>153.19199999999998</v>
      </c>
      <c r="AK57" s="13">
        <f t="shared" si="35"/>
        <v>39.303087713366921</v>
      </c>
      <c r="AL57" s="20">
        <f t="shared" si="4"/>
        <v>335.2622777674473</v>
      </c>
      <c r="AM57" s="59">
        <f t="shared" si="5"/>
        <v>628.59561110078062</v>
      </c>
      <c r="AN57" s="59">
        <f ca="1">AVERAGE(OFFSET($AM$3,0,0,'Données projet'!$E$10+1,1))-AVERAGE(OFFSET($H$3,0,0,'Données projet'!$E$10+1,1))</f>
        <v>179.44051550872138</v>
      </c>
      <c r="AO57" s="59">
        <f t="shared" si="36"/>
        <v>272.9500808380069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25.80578027113615</v>
      </c>
      <c r="AV57" s="21">
        <f>EXP(-LN(2)/25)*AV56+(1-EXP(-LN(2)/25))/(LN(2)/25)*Calculateur!AQ57*Calculateur!AS57*VLOOKUP('Données projet'!$B$10,Paramètres!$A$1:$I$89,3,0)*0.475*44/12</f>
        <v>64.220830961941033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90.026611233077176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>
        <f>VLOOKUP(A57,'Données projet'!$A$87:$I$107,2,0)</f>
        <v>566.79999999999995</v>
      </c>
      <c r="BB57" s="12">
        <f>VLOOKUP(A57,'Données projet'!$A$87:$I$107,9,0)</f>
        <v>20.507692307692299</v>
      </c>
      <c r="BC57" s="12">
        <f t="array" ref="BC57">INDEX(BB:BB,MIN(IF(ISNUMBER(BB57:BB253),ROW(BB57:BB253),"")))</f>
        <v>20.507692307692299</v>
      </c>
      <c r="BD57" s="12">
        <f>IF('Données projet'!$A$88&gt;35,BD56+BC57-BL56,IF(A57&lt;'Données projet'!$A$88,$BA$205^A57,IF(A57='Données projet'!$A$88,'Données projet'!$B$88,BD56+BC57-BL56)))</f>
        <v>566.79999999999984</v>
      </c>
      <c r="BE57" s="13">
        <f>BD57*VLOOKUP('Données projet'!$B$11,Paramètres!$A$1:$I$89,3,0)*VLOOKUP('Données projet'!$B$11,Paramètres!$A$1:$I$89,5,0)</f>
        <v>316.8411999999999</v>
      </c>
      <c r="BF57" s="13">
        <f t="shared" si="37"/>
        <v>74.695724902330795</v>
      </c>
      <c r="BG57" s="20">
        <f t="shared" si="7"/>
        <v>681.92681087155927</v>
      </c>
      <c r="BH57" s="59">
        <f t="shared" si="8"/>
        <v>975.26014420489264</v>
      </c>
      <c r="BI57" s="59">
        <f ca="1">AVERAGE(OFFSET($BH$3,0,0,'Données projet'!$E$11+1,1))-AVERAGE(OFFSET($H$3,0,0,'Données projet'!$E$11+1,1))</f>
        <v>278.5296012747549</v>
      </c>
      <c r="BJ57" s="59">
        <f t="shared" si="38"/>
        <v>370.55343097937077</v>
      </c>
      <c r="BK57" s="15">
        <f>IF(ISNA(VLOOKUP(A57,'Données projet'!$A$87:$I$107,3,0)),0,VLOOKUP(A57,'Données projet'!$A$87:$I$107,3,0))</f>
        <v>7</v>
      </c>
      <c r="BL57" s="15">
        <f>IF(ISNA(VLOOKUP(A57,'Données projet'!$A$87:$I$107,4,0)),0,VLOOKUP(A57,'Données projet'!$A$87:$I$107,4,0))</f>
        <v>566.79999999999995</v>
      </c>
      <c r="BM57" s="16">
        <f>IF(ISNA(VLOOKUP(A57,'Données projet'!$A$87:$I$107,5,0)),0%,VLOOKUP(A57,'Données projet'!$A$87:$I$107,5,0)*VLOOKUP('Données projet'!$B$11,Paramètres!$A$1:$I$89,7,0))</f>
        <v>0.38500000000000001</v>
      </c>
      <c r="BN57" s="16">
        <f>IF(ISNA(VLOOKUP(A57,'Données projet'!$A$87:$I$107,6,0)),0%,VLOOKUP(A57,'Données projet'!$A$87:$I$107,6,0)*VLOOKUP('Données projet'!$B$11,Paramètres!$A$1:$I$89,7,0))</f>
        <v>9.240000000000001E-2</v>
      </c>
      <c r="BO57" s="16">
        <f>IF(ISNA(VLOOKUP(A57,'Données projet'!$A$87:$I$107,7,0)),0%,VLOOKUP(A57,'Données projet'!$A$87:$I$107,7,0))</f>
        <v>0.13200000000000001</v>
      </c>
      <c r="BP57" s="21">
        <f>EXP(-LN(2)/35)*BP56+(1-EXP(-LN(2)/35))/(LN(2)/35)*BL57*BM57*VLOOKUP('Données projet'!$B$11,Paramètres!$A$1:$I$89,3,0)*0.475*44/12</f>
        <v>231.19058838852931</v>
      </c>
      <c r="BQ57" s="21">
        <f>EXP(-LN(2)/25)*BQ56+(1-EXP(-LN(2)/25))/(LN(2)/25)*Calculateur!BL57*Calculateur!BN57*VLOOKUP('Données projet'!$B$11,Paramètres!$A$1:$I$89,3,0)*0.475*44/12</f>
        <v>59.227252728732921</v>
      </c>
      <c r="BR57" s="21">
        <f>EXP(-LN(2)/2)*BR56+(1-EXP(-LN(2)/2))/(LN(2)/2)*BL57*BO57*VLOOKUP('Données projet'!$B$11,Paramètres!$A$1:$I$89,3,0)*0.475*44/12</f>
        <v>48.311379430966142</v>
      </c>
      <c r="BS57" s="22">
        <f t="shared" si="9"/>
        <v>338.7292205482284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6</v>
      </c>
      <c r="BY57" s="12">
        <f>IF('Données projet'!$A$114&gt;35,BY56+BX57-CG56,IF(A57&lt;'Données projet'!$A$114,$BV$205^A57,IF(A57='Données projet'!$A$114,'Données projet'!$B$114,BY56+BX57-CG56)))</f>
        <v>225.99999999999989</v>
      </c>
      <c r="BZ57" s="13">
        <f>BY57*VLOOKUP('Données projet'!$B$12,Paramètres!$A$1:$I$89,3,0)*VLOOKUP('Données projet'!$B$12,Paramètres!$A$1:$I$89,5,0)</f>
        <v>179.80559999999991</v>
      </c>
      <c r="CA57" s="13">
        <f t="shared" si="39"/>
        <v>45.278933028529984</v>
      </c>
      <c r="CB57" s="20">
        <f t="shared" si="10"/>
        <v>392.02222835802286</v>
      </c>
      <c r="CC57" s="59">
        <f t="shared" si="11"/>
        <v>685.35556169135612</v>
      </c>
      <c r="CD57" s="59">
        <f ca="1">AVERAGE(OFFSET($CC$3,0,0,'Données projet'!$E$12+1,1))-AVERAGE(OFFSET($H$3,0,0,'Données projet'!$E$12+1,1))</f>
        <v>225.2323446080772</v>
      </c>
      <c r="CE57" s="59">
        <f t="shared" si="40"/>
        <v>222.29030402759292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16.055448410037133</v>
      </c>
      <c r="CL57" s="21">
        <f>EXP(-LN(2)/25)*CL56+(1-EXP(-LN(2)/25))/(LN(2)/25)*Calculateur!CG57*Calculateur!CI57*VLOOKUP('Données projet'!$B$12,Paramètres!$A$1:$I$89,3,0)*0.475*44/12</f>
        <v>12.50604622088014</v>
      </c>
      <c r="CM57" s="21">
        <f>EXP(-LN(2)/2)*CM56+(1-EXP(-LN(2)/2))/(LN(2)/2)*CG57*CJ57*VLOOKUP('Données projet'!$B$12,Paramètres!$A$1:$I$89,3,0)*0.475*44/12</f>
        <v>0</v>
      </c>
      <c r="CN57" s="22">
        <f t="shared" si="12"/>
        <v>28.561494630917274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5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26.455000000000034</v>
      </c>
      <c r="D58" s="11">
        <f t="shared" si="32"/>
        <v>8.3268343824014242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268.49135312730948</v>
      </c>
      <c r="H58" s="67">
        <f t="shared" si="1"/>
        <v>353.91169488268253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>
        <f>VLOOKUP(A58,'Données projet'!$A$35:$I$55,2,0)</f>
        <v>447.71538461538455</v>
      </c>
      <c r="L58" s="12">
        <f>VLOOKUP(A58,'Données projet'!$A$35:$I$55,9,0)</f>
        <v>17.046153846153839</v>
      </c>
      <c r="M58" s="12">
        <f t="array" ref="M58">INDEX(L:L,MIN(IF(ISNUMBER(L58:L254),ROW(L58:L254),"")))</f>
        <v>17.046153846153839</v>
      </c>
      <c r="N58" s="13">
        <f>IF('Données projet'!$A$36&gt;35,N57+M58-V57,IF(A58&lt;'Données projet'!$A$36,$K$205^A58,IF(A58='Données projet'!$A$36,'Données projet'!$B$36,N57+M58-V57)))</f>
        <v>447.71538461538461</v>
      </c>
      <c r="O58" s="13">
        <f>N58*VLOOKUP('Données projet'!$B$9,Paramètres!$A$1:$I$89,3,0)*VLOOKUP('Données projet'!$B$9,Paramètres!$A$1:$I$89,5,0)</f>
        <v>215.3511</v>
      </c>
      <c r="P58" s="13">
        <f t="shared" si="33"/>
        <v>53.10321773759641</v>
      </c>
      <c r="Q58" s="20">
        <f t="shared" si="53"/>
        <v>467.5579367263137</v>
      </c>
      <c r="R58" s="59">
        <f t="shared" si="0"/>
        <v>760.89127005964701</v>
      </c>
      <c r="S58" s="59">
        <f ca="1">AVERAGE(OFFSET($R$3,0,0,'Données projet'!$E$9+1,1))-AVERAGE(OFFSET($H$3,0,0,'Données projet'!$E$9+1,1))</f>
        <v>234.10156575337737</v>
      </c>
      <c r="T58" s="59">
        <f t="shared" si="34"/>
        <v>285.68635263076646</v>
      </c>
      <c r="U58" s="15">
        <f>IF(ISNA(VLOOKUP(A58,'Données projet'!$A$35:$I$55,3,0)),0,VLOOKUP(A58,'Données projet'!$A$35:$I$55,3,0))</f>
        <v>6</v>
      </c>
      <c r="V58" s="15">
        <f>IF(ISNA(VLOOKUP(A58,'Données projet'!$A$35:$I$55,4,0)),0,VLOOKUP(A58,'Données projet'!$A$35:$I$55,4,0))</f>
        <v>83.638461538461542</v>
      </c>
      <c r="W58" s="16">
        <f>IF(ISNA(VLOOKUP(A58,'Données projet'!$A$35:$I$55,5,0)),0%,VLOOKUP(A58,'Données projet'!$A$35:$I$55,5,0)*VLOOKUP('Données projet'!$B$9,Paramètres!$A$1:$I$89,7,0))</f>
        <v>0.33</v>
      </c>
      <c r="X58" s="16">
        <f>IF(ISNA(VLOOKUP(A58,'Données projet'!$A$35:$I$55,6,0)),0%,VLOOKUP(A58,'Données projet'!$A$35:$I$55,6,0)*VLOOKUP('Données projet'!$B$9,Paramètres!$A$1:$I$89,7,0))</f>
        <v>0.22000000000000003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48.552193615344976</v>
      </c>
      <c r="AA58" s="21">
        <f>EXP(-LN(2)/25)*AA57+(1-EXP(-LN(2)/25))/(LN(2)/25)*Calculateur!V58*Calculateur!X58*VLOOKUP('Données projet'!$B$9,Paramètres!$A$1:$I$89,3,0)*0.475*44/12</f>
        <v>66.181536697106509</v>
      </c>
      <c r="AB58" s="21">
        <f>EXP(-LN(2)/2)*AB57+(1-EXP(-LN(2)/2))/(LN(2)/2)*V58*Y58*VLOOKUP('Données projet'!$B$9,Paramètres!$A$1:$I$89,3,0)*0.475*44/12</f>
        <v>7.4935038008821274E-3</v>
      </c>
      <c r="AC58" s="22">
        <f t="shared" si="3"/>
        <v>114.74122381625237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9.75</v>
      </c>
      <c r="AI58" s="13">
        <f>IF('Données projet'!$A$62&gt;35,AI57+AH58-AQ57,IF(A58&lt;'Données projet'!$A$62,$AF$205^A58,IF(A58='Données projet'!$A$62,'Données projet'!$B$62,AI57+AH58-AQ57)))</f>
        <v>255.25</v>
      </c>
      <c r="AJ58" s="13">
        <f>AI58*VLOOKUP('Données projet'!$B$10,Paramètres!$A$1:$I$89,3,0)*VLOOKUP('Données projet'!$B$10,Paramètres!$A$1:$I$89,5,0)</f>
        <v>159.27600000000001</v>
      </c>
      <c r="AK58" s="13">
        <f t="shared" si="35"/>
        <v>40.679172107249002</v>
      </c>
      <c r="AL58" s="20">
        <f t="shared" si="4"/>
        <v>348.25525808679203</v>
      </c>
      <c r="AM58" s="59">
        <f t="shared" si="5"/>
        <v>641.58859142012534</v>
      </c>
      <c r="AN58" s="59">
        <f ca="1">AVERAGE(OFFSET($AM$3,0,0,'Données projet'!$E$10+1,1))-AVERAGE(OFFSET($H$3,0,0,'Données projet'!$E$10+1,1))</f>
        <v>179.44051550872138</v>
      </c>
      <c r="AO58" s="59">
        <f t="shared" si="36"/>
        <v>272.9500808380069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25.299744659990942</v>
      </c>
      <c r="AV58" s="21">
        <f>EXP(-LN(2)/25)*AV57+(1-EXP(-LN(2)/25))/(LN(2)/25)*Calculateur!AQ58*Calculateur!AS58*VLOOKUP('Données projet'!$B$10,Paramètres!$A$1:$I$89,3,0)*0.475*44/12</f>
        <v>62.464708962060037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87.764453622050979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-1.1368683772161603E-13</v>
      </c>
      <c r="BE58" s="13">
        <f>BD58*VLOOKUP('Données projet'!$B$11,Paramètres!$A$1:$I$89,3,0)*VLOOKUP('Données projet'!$B$11,Paramètres!$A$1:$I$89,5,0)</f>
        <v>-6.3550942286383367E-14</v>
      </c>
      <c r="BF58" s="13" t="e">
        <f t="shared" si="37"/>
        <v>#NUM!</v>
      </c>
      <c r="BG58" s="20" t="e">
        <f t="shared" si="7"/>
        <v>#NUM!</v>
      </c>
      <c r="BH58" s="59" t="e">
        <f t="shared" si="8"/>
        <v>#NUM!</v>
      </c>
      <c r="BI58" s="59">
        <f ca="1">AVERAGE(OFFSET($BH$3,0,0,'Données projet'!$E$11+1,1))-AVERAGE(OFFSET($H$3,0,0,'Données projet'!$E$11+1,1))</f>
        <v>278.5296012747549</v>
      </c>
      <c r="BJ58" s="59">
        <f t="shared" si="38"/>
        <v>370.55343097937077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226.65708196256534</v>
      </c>
      <c r="BQ58" s="21">
        <f>EXP(-LN(2)/25)*BQ57+(1-EXP(-LN(2)/25))/(LN(2)/25)*Calculateur!BL58*Calculateur!BN58*VLOOKUP('Données projet'!$B$11,Paramètres!$A$1:$I$89,3,0)*0.475*44/12</f>
        <v>57.607680388239864</v>
      </c>
      <c r="BR58" s="21">
        <f>EXP(-LN(2)/2)*BR57+(1-EXP(-LN(2)/2))/(LN(2)/2)*BL58*BO58*VLOOKUP('Données projet'!$B$11,Paramètres!$A$1:$I$89,3,0)*0.475*44/12</f>
        <v>34.161304004112452</v>
      </c>
      <c r="BS58" s="22">
        <f t="shared" si="9"/>
        <v>318.42606635491768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>
        <f>VLOOKUP(A58,'Données projet'!$A$113:$I$133,2,0)</f>
        <v>232</v>
      </c>
      <c r="BW58" s="12">
        <f>VLOOKUP(A58,'Données projet'!$A$113:$I$133,9,0)</f>
        <v>6</v>
      </c>
      <c r="BX58" s="12">
        <f t="array" ref="BX58">INDEX(BW:BW,MIN(IF(ISNUMBER(BW58:BW254),ROW(BW58:BW254),"")))</f>
        <v>6</v>
      </c>
      <c r="BY58" s="12">
        <f>IF('Données projet'!$A$114&gt;35,BY57+BX58-CG57,IF(A58&lt;'Données projet'!$A$114,$BV$205^A58,IF(A58='Données projet'!$A$114,'Données projet'!$B$114,BY57+BX58-CG57)))</f>
        <v>231.99999999999989</v>
      </c>
      <c r="BZ58" s="13">
        <f>BY58*VLOOKUP('Données projet'!$B$12,Paramètres!$A$1:$I$89,3,0)*VLOOKUP('Données projet'!$B$12,Paramètres!$A$1:$I$89,5,0)</f>
        <v>184.57919999999993</v>
      </c>
      <c r="CA58" s="13">
        <f t="shared" si="39"/>
        <v>46.339479465836618</v>
      </c>
      <c r="CB58" s="20">
        <f t="shared" si="10"/>
        <v>402.18336673633195</v>
      </c>
      <c r="CC58" s="59">
        <f t="shared" si="11"/>
        <v>695.51670006966526</v>
      </c>
      <c r="CD58" s="59">
        <f ca="1">AVERAGE(OFFSET($CC$3,0,0,'Données projet'!$E$12+1,1))-AVERAGE(OFFSET($H$3,0,0,'Données projet'!$E$12+1,1))</f>
        <v>225.2323446080772</v>
      </c>
      <c r="CE58" s="59">
        <f t="shared" si="40"/>
        <v>222.29030402759292</v>
      </c>
      <c r="CF58" s="15">
        <f>IF(ISNA(VLOOKUP(A58,'Données projet'!$A$113:$I$133,3,0)),0,VLOOKUP(A58,'Données projet'!$A$113:$I$133,3,0))</f>
        <v>9</v>
      </c>
      <c r="CG58" s="15">
        <f>IF(ISNA(VLOOKUP(A58,'Données projet'!$A$113:$I$133,4,0)),0,VLOOKUP(A58,'Données projet'!$A$113:$I$133,4,0))</f>
        <v>13</v>
      </c>
      <c r="CH58" s="16">
        <f>IF(ISNA(VLOOKUP(A58,'Données projet'!$A$113:$I$133,5,0)),0%,VLOOKUP(A58,'Données projet'!$A$113:$I$133,5,0)*VLOOKUP('Données projet'!$B$12,Paramètres!$A$1:$I$89,7,0))</f>
        <v>0.40810000000000002</v>
      </c>
      <c r="CI58" s="16">
        <f>IF(ISNA(VLOOKUP(A58,'Données projet'!$A$113:$I$133,6,0)),0%,VLOOKUP(A58,'Données projet'!$A$113:$I$133,6,0)*VLOOKUP('Données projet'!$B$12,Paramètres!$A$1:$I$89,7,0))</f>
        <v>7.9500000000000001E-2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20.406687114381842</v>
      </c>
      <c r="CL58" s="21">
        <f>EXP(-LN(2)/25)*CL57+(1-EXP(-LN(2)/25))/(LN(2)/25)*Calculateur!CG58*Calculateur!CI58*VLOOKUP('Données projet'!$B$12,Paramètres!$A$1:$I$89,3,0)*0.475*44/12</f>
        <v>13.069464638658904</v>
      </c>
      <c r="CM58" s="21">
        <f>EXP(-LN(2)/2)*CM57+(1-EXP(-LN(2)/2))/(LN(2)/2)*CG58*CJ58*VLOOKUP('Données projet'!$B$12,Paramètres!$A$1:$I$89,3,0)*0.475*44/12</f>
        <v>0</v>
      </c>
      <c r="CN58" s="22">
        <f t="shared" si="12"/>
        <v>33.476151753040746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5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26.936000000000035</v>
      </c>
      <c r="D59" s="11">
        <f t="shared" si="32"/>
        <v>8.4604681527401535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273.23589451238041</v>
      </c>
      <c r="H59" s="67">
        <f t="shared" si="1"/>
        <v>354.98218203268914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15.286813186813204</v>
      </c>
      <c r="N59" s="13">
        <f>IF('Données projet'!$A$36&gt;35,N58+M59-V58,IF(A59&lt;'Données projet'!$A$36,$K$205^A59,IF(A59='Données projet'!$A$36,'Données projet'!$B$36,N58+M59-V58)))</f>
        <v>379.36373626373631</v>
      </c>
      <c r="O59" s="13">
        <f>N59*VLOOKUP('Données projet'!$B$9,Paramètres!$A$1:$I$89,3,0)*VLOOKUP('Données projet'!$B$9,Paramètres!$A$1:$I$89,5,0)</f>
        <v>182.47395714285716</v>
      </c>
      <c r="P59" s="13">
        <f t="shared" si="33"/>
        <v>45.872158006629768</v>
      </c>
      <c r="Q59" s="20">
        <f t="shared" si="53"/>
        <v>397.70281721868969</v>
      </c>
      <c r="R59" s="59">
        <f t="shared" si="0"/>
        <v>691.03615055202295</v>
      </c>
      <c r="S59" s="59">
        <f ca="1">AVERAGE(OFFSET($R$3,0,0,'Données projet'!$E$9+1,1))-AVERAGE(OFFSET($H$3,0,0,'Données projet'!$E$9+1,1))</f>
        <v>234.10156575337737</v>
      </c>
      <c r="T59" s="59">
        <f t="shared" si="34"/>
        <v>285.68635263076646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47.600114712462037</v>
      </c>
      <c r="AA59" s="21">
        <f>EXP(-LN(2)/25)*AA58+(1-EXP(-LN(2)/25))/(LN(2)/25)*Calculateur!V59*Calculateur!X59*VLOOKUP('Données projet'!$B$9,Paramètres!$A$1:$I$89,3,0)*0.475*44/12</f>
        <v>64.371799095788376</v>
      </c>
      <c r="AB59" s="21">
        <f>EXP(-LN(2)/2)*AB58+(1-EXP(-LN(2)/2))/(LN(2)/2)*V59*Y59*VLOOKUP('Données projet'!$B$9,Paramètres!$A$1:$I$89,3,0)*0.475*44/12</f>
        <v>5.2987073524509206E-3</v>
      </c>
      <c r="AC59" s="22">
        <f t="shared" si="3"/>
        <v>111.97721251560286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9.75</v>
      </c>
      <c r="AI59" s="13">
        <f>IF('Données projet'!$A$62&gt;35,AI58+AH59-AQ58,IF(A59&lt;'Données projet'!$A$62,$AF$205^A59,IF(A59='Données projet'!$A$62,'Données projet'!$B$62,AI58+AH59-AQ58)))</f>
        <v>265</v>
      </c>
      <c r="AJ59" s="13">
        <f>AI59*VLOOKUP('Données projet'!$B$10,Paramètres!$A$1:$I$89,3,0)*VLOOKUP('Données projet'!$B$10,Paramètres!$A$1:$I$89,5,0)</f>
        <v>165.35999999999999</v>
      </c>
      <c r="AK59" s="13">
        <f t="shared" si="35"/>
        <v>42.04915012784209</v>
      </c>
      <c r="AL59" s="20">
        <f t="shared" si="4"/>
        <v>361.2376031393249</v>
      </c>
      <c r="AM59" s="59">
        <f t="shared" si="5"/>
        <v>654.57093647265822</v>
      </c>
      <c r="AN59" s="59">
        <f ca="1">AVERAGE(OFFSET($AM$3,0,0,'Données projet'!$E$10+1,1))-AVERAGE(OFFSET($H$3,0,0,'Données projet'!$E$10+1,1))</f>
        <v>179.44051550872138</v>
      </c>
      <c r="AO59" s="59">
        <f t="shared" si="36"/>
        <v>272.9500808380069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24.803632098529047</v>
      </c>
      <c r="AV59" s="21">
        <f>EXP(-LN(2)/25)*AV58+(1-EXP(-LN(2)/25))/(LN(2)/25)*Calculateur!AQ59*Calculateur!AS59*VLOOKUP('Données projet'!$B$10,Paramètres!$A$1:$I$89,3,0)*0.475*44/12</f>
        <v>60.756608210616228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85.560240309145271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-1.1368683772161603E-13</v>
      </c>
      <c r="BE59" s="13">
        <f>BD59*VLOOKUP('Données projet'!$B$11,Paramètres!$A$1:$I$89,3,0)*VLOOKUP('Données projet'!$B$11,Paramètres!$A$1:$I$89,5,0)</f>
        <v>-6.3550942286383367E-14</v>
      </c>
      <c r="BF59" s="13" t="e">
        <f t="shared" si="37"/>
        <v>#NUM!</v>
      </c>
      <c r="BG59" s="20" t="e">
        <f t="shared" si="7"/>
        <v>#NUM!</v>
      </c>
      <c r="BH59" s="59" t="e">
        <f t="shared" si="8"/>
        <v>#NUM!</v>
      </c>
      <c r="BI59" s="59">
        <f ca="1">AVERAGE(OFFSET($BH$3,0,0,'Données projet'!$E$11+1,1))-AVERAGE(OFFSET($H$3,0,0,'Données projet'!$E$11+1,1))</f>
        <v>278.5296012747549</v>
      </c>
      <c r="BJ59" s="59">
        <f t="shared" si="38"/>
        <v>370.55343097937077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222.21247483244866</v>
      </c>
      <c r="BQ59" s="21">
        <f>EXP(-LN(2)/25)*BQ58+(1-EXP(-LN(2)/25))/(LN(2)/25)*Calculateur!BL59*Calculateur!BN59*VLOOKUP('Données projet'!$B$11,Paramètres!$A$1:$I$89,3,0)*0.475*44/12</f>
        <v>56.032395338567198</v>
      </c>
      <c r="BR59" s="21">
        <f>EXP(-LN(2)/2)*BR58+(1-EXP(-LN(2)/2))/(LN(2)/2)*BL59*BO59*VLOOKUP('Données projet'!$B$11,Paramètres!$A$1:$I$89,3,0)*0.475*44/12</f>
        <v>24.155689715483074</v>
      </c>
      <c r="BS59" s="22">
        <f t="shared" si="9"/>
        <v>302.40055988649891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5.2</v>
      </c>
      <c r="BY59" s="12">
        <f>IF('Données projet'!$A$114&gt;35,BY58+BX59-CG58,IF(A59&lt;'Données projet'!$A$114,$BV$205^A59,IF(A59='Données projet'!$A$114,'Données projet'!$B$114,BY58+BX59-CG58)))</f>
        <v>224.19999999999987</v>
      </c>
      <c r="BZ59" s="13">
        <f>BY59*VLOOKUP('Données projet'!$B$12,Paramètres!$A$1:$I$89,3,0)*VLOOKUP('Données projet'!$B$12,Paramètres!$A$1:$I$89,5,0)</f>
        <v>178.37351999999993</v>
      </c>
      <c r="CA59" s="13">
        <f t="shared" si="39"/>
        <v>44.960133388294842</v>
      </c>
      <c r="CB59" s="20">
        <f t="shared" si="10"/>
        <v>388.97277965128006</v>
      </c>
      <c r="CC59" s="59">
        <f t="shared" si="11"/>
        <v>682.30611298461338</v>
      </c>
      <c r="CD59" s="59">
        <f ca="1">AVERAGE(OFFSET($CC$3,0,0,'Données projet'!$E$12+1,1))-AVERAGE(OFFSET($H$3,0,0,'Données projet'!$E$12+1,1))</f>
        <v>225.2323446080772</v>
      </c>
      <c r="CE59" s="59">
        <f t="shared" si="40"/>
        <v>222.29030402759292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20.006524426918929</v>
      </c>
      <c r="CL59" s="21">
        <f>EXP(-LN(2)/25)*CL58+(1-EXP(-LN(2)/25))/(LN(2)/25)*Calculateur!CG59*Calculateur!CI59*VLOOKUP('Données projet'!$B$12,Paramètres!$A$1:$I$89,3,0)*0.475*44/12</f>
        <v>12.712079440821501</v>
      </c>
      <c r="CM59" s="21">
        <f>EXP(-LN(2)/2)*CM58+(1-EXP(-LN(2)/2))/(LN(2)/2)*CG59*CJ59*VLOOKUP('Données projet'!$B$12,Paramètres!$A$1:$I$89,3,0)*0.475*44/12</f>
        <v>0</v>
      </c>
      <c r="CN59" s="22">
        <f t="shared" si="12"/>
        <v>32.718603867740427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5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27.417000000000037</v>
      </c>
      <c r="D60" s="11">
        <f t="shared" si="32"/>
        <v>8.5938244286305778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277.97829383504336</v>
      </c>
      <c r="H60" s="67">
        <f t="shared" si="1"/>
        <v>356.05218587986496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15.286813186813204</v>
      </c>
      <c r="N60" s="13">
        <f>IF('Données projet'!$A$36&gt;35,N59+M60-V59,IF(A60&lt;'Données projet'!$A$36,$K$205^A60,IF(A60='Données projet'!$A$36,'Données projet'!$B$36,N59+M60-V59)))</f>
        <v>394.65054945054953</v>
      </c>
      <c r="O60" s="13">
        <f>N60*VLOOKUP('Données projet'!$B$9,Paramètres!$A$1:$I$89,3,0)*VLOOKUP('Données projet'!$B$9,Paramètres!$A$1:$I$89,5,0)</f>
        <v>189.82691428571431</v>
      </c>
      <c r="P60" s="13">
        <f t="shared" si="33"/>
        <v>47.501684027756518</v>
      </c>
      <c r="Q60" s="20">
        <f t="shared" si="53"/>
        <v>413.34730872929498</v>
      </c>
      <c r="R60" s="59">
        <f t="shared" si="0"/>
        <v>706.68064206262829</v>
      </c>
      <c r="S60" s="59">
        <f ca="1">AVERAGE(OFFSET($R$3,0,0,'Données projet'!$E$9+1,1))-AVERAGE(OFFSET($H$3,0,0,'Données projet'!$E$9+1,1))</f>
        <v>234.10156575337737</v>
      </c>
      <c r="T60" s="59">
        <f t="shared" si="34"/>
        <v>285.68635263076646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46.666705496153838</v>
      </c>
      <c r="AA60" s="21">
        <f>EXP(-LN(2)/25)*AA59+(1-EXP(-LN(2)/25))/(LN(2)/25)*Calculateur!V60*Calculateur!X60*VLOOKUP('Données projet'!$B$9,Paramètres!$A$1:$I$89,3,0)*0.475*44/12</f>
        <v>62.611548864348251</v>
      </c>
      <c r="AB60" s="21">
        <f>EXP(-LN(2)/2)*AB59+(1-EXP(-LN(2)/2))/(LN(2)/2)*V60*Y60*VLOOKUP('Données projet'!$B$9,Paramètres!$A$1:$I$89,3,0)*0.475*44/12</f>
        <v>3.7467519004410637E-3</v>
      </c>
      <c r="AC60" s="22">
        <f t="shared" si="3"/>
        <v>109.28200111240253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9.75</v>
      </c>
      <c r="AI60" s="13">
        <f>IF('Données projet'!$A$62&gt;35,AI59+AH60-AQ59,IF(A60&lt;'Données projet'!$A$62,$AF$205^A60,IF(A60='Données projet'!$A$62,'Données projet'!$B$62,AI59+AH60-AQ59)))</f>
        <v>274.75</v>
      </c>
      <c r="AJ60" s="13">
        <f>AI60*VLOOKUP('Données projet'!$B$10,Paramètres!$A$1:$I$89,3,0)*VLOOKUP('Données projet'!$B$10,Paramètres!$A$1:$I$89,5,0)</f>
        <v>171.44399999999999</v>
      </c>
      <c r="AK60" s="13">
        <f t="shared" si="35"/>
        <v>43.413272173627242</v>
      </c>
      <c r="AL60" s="20">
        <f t="shared" si="4"/>
        <v>374.20974903573409</v>
      </c>
      <c r="AM60" s="59">
        <f t="shared" si="5"/>
        <v>667.54308236906741</v>
      </c>
      <c r="AN60" s="59">
        <f ca="1">AVERAGE(OFFSET($AM$3,0,0,'Données projet'!$E$10+1,1))-AVERAGE(OFFSET($H$3,0,0,'Données projet'!$E$10+1,1))</f>
        <v>179.44051550872138</v>
      </c>
      <c r="AO60" s="59">
        <f t="shared" si="36"/>
        <v>272.9500808380069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24.317248001798635</v>
      </c>
      <c r="AV60" s="21">
        <f>EXP(-LN(2)/25)*AV59+(1-EXP(-LN(2)/25))/(LN(2)/25)*Calculateur!AQ60*Calculateur!AS60*VLOOKUP('Données projet'!$B$10,Paramètres!$A$1:$I$89,3,0)*0.475*44/12</f>
        <v>59.095215564045766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83.412463565844405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-1.1368683772161603E-13</v>
      </c>
      <c r="BE60" s="13">
        <f>BD60*VLOOKUP('Données projet'!$B$11,Paramètres!$A$1:$I$89,3,0)*VLOOKUP('Données projet'!$B$11,Paramètres!$A$1:$I$89,5,0)</f>
        <v>-6.3550942286383367E-14</v>
      </c>
      <c r="BF60" s="13" t="e">
        <f t="shared" si="37"/>
        <v>#NUM!</v>
      </c>
      <c r="BG60" s="20" t="e">
        <f t="shared" si="7"/>
        <v>#NUM!</v>
      </c>
      <c r="BH60" s="59" t="e">
        <f t="shared" si="8"/>
        <v>#NUM!</v>
      </c>
      <c r="BI60" s="59">
        <f ca="1">AVERAGE(OFFSET($BH$3,0,0,'Données projet'!$E$11+1,1))-AVERAGE(OFFSET($H$3,0,0,'Données projet'!$E$11+1,1))</f>
        <v>278.5296012747549</v>
      </c>
      <c r="BJ60" s="59">
        <f t="shared" si="38"/>
        <v>370.55343097937077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217.8550237372109</v>
      </c>
      <c r="BQ60" s="21">
        <f>EXP(-LN(2)/25)*BQ59+(1-EXP(-LN(2)/25))/(LN(2)/25)*Calculateur!BL60*Calculateur!BN60*VLOOKUP('Données projet'!$B$11,Paramètres!$A$1:$I$89,3,0)*0.475*44/12</f>
        <v>54.500186541418472</v>
      </c>
      <c r="BR60" s="21">
        <f>EXP(-LN(2)/2)*BR59+(1-EXP(-LN(2)/2))/(LN(2)/2)*BL60*BO60*VLOOKUP('Données projet'!$B$11,Paramètres!$A$1:$I$89,3,0)*0.475*44/12</f>
        <v>17.08065200205623</v>
      </c>
      <c r="BS60" s="22">
        <f t="shared" si="9"/>
        <v>289.43586228068563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5.2</v>
      </c>
      <c r="BY60" s="12">
        <f>IF('Données projet'!$A$114&gt;35,BY59+BX60-CG59,IF(A60&lt;'Données projet'!$A$114,$BV$205^A60,IF(A60='Données projet'!$A$114,'Données projet'!$B$114,BY59+BX60-CG59)))</f>
        <v>229.39999999999986</v>
      </c>
      <c r="BZ60" s="13">
        <f>BY60*VLOOKUP('Données projet'!$B$12,Paramètres!$A$1:$I$89,3,0)*VLOOKUP('Données projet'!$B$12,Paramètres!$A$1:$I$89,5,0)</f>
        <v>182.51063999999988</v>
      </c>
      <c r="CA60" s="13">
        <f t="shared" si="39"/>
        <v>45.880306213791371</v>
      </c>
      <c r="CB60" s="20">
        <f t="shared" si="10"/>
        <v>397.78089798901971</v>
      </c>
      <c r="CC60" s="59">
        <f t="shared" si="11"/>
        <v>691.11423132235302</v>
      </c>
      <c r="CD60" s="59">
        <f ca="1">AVERAGE(OFFSET($CC$3,0,0,'Données projet'!$E$12+1,1))-AVERAGE(OFFSET($H$3,0,0,'Données projet'!$E$12+1,1))</f>
        <v>225.2323446080772</v>
      </c>
      <c r="CE60" s="59">
        <f t="shared" si="40"/>
        <v>222.29030402759292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19.614208685682026</v>
      </c>
      <c r="CL60" s="21">
        <f>EXP(-LN(2)/25)*CL59+(1-EXP(-LN(2)/25))/(LN(2)/25)*Calculateur!CG60*Calculateur!CI60*VLOOKUP('Données projet'!$B$12,Paramètres!$A$1:$I$89,3,0)*0.475*44/12</f>
        <v>12.364466960013033</v>
      </c>
      <c r="CM60" s="21">
        <f>EXP(-LN(2)/2)*CM59+(1-EXP(-LN(2)/2))/(LN(2)/2)*CG60*CJ60*VLOOKUP('Données projet'!$B$12,Paramètres!$A$1:$I$89,3,0)*0.475*44/12</f>
        <v>0</v>
      </c>
      <c r="CN60" s="22">
        <f t="shared" si="12"/>
        <v>31.978675645695059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5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27.898000000000039</v>
      </c>
      <c r="D61" s="11">
        <f t="shared" si="32"/>
        <v>8.7269086400851155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282.71859301118366</v>
      </c>
      <c r="H61" s="67">
        <f t="shared" si="1"/>
        <v>357.12171588148163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15.286813186813204</v>
      </c>
      <c r="N61" s="13">
        <f>IF('Données projet'!$A$36&gt;35,N60+M61-V60,IF(A61&lt;'Données projet'!$A$36,$K$205^A61,IF(A61='Données projet'!$A$36,'Données projet'!$B$36,N60+M61-V60)))</f>
        <v>409.93736263736275</v>
      </c>
      <c r="O61" s="13">
        <f>N61*VLOOKUP('Données projet'!$B$9,Paramètres!$A$1:$I$89,3,0)*VLOOKUP('Données projet'!$B$9,Paramètres!$A$1:$I$89,5,0)</f>
        <v>197.17987142857149</v>
      </c>
      <c r="P61" s="13">
        <f t="shared" si="33"/>
        <v>49.123877507019834</v>
      </c>
      <c r="Q61" s="20">
        <f t="shared" si="53"/>
        <v>428.97902939615483</v>
      </c>
      <c r="R61" s="59">
        <f t="shared" si="0"/>
        <v>722.31236272948809</v>
      </c>
      <c r="S61" s="59">
        <f ca="1">AVERAGE(OFFSET($R$3,0,0,'Données projet'!$E$9+1,1))-AVERAGE(OFFSET($H$3,0,0,'Données projet'!$E$9+1,1))</f>
        <v>234.10156575337737</v>
      </c>
      <c r="T61" s="59">
        <f t="shared" si="34"/>
        <v>285.68635263076646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45.751599865254036</v>
      </c>
      <c r="AA61" s="21">
        <f>EXP(-LN(2)/25)*AA60+(1-EXP(-LN(2)/25))/(LN(2)/25)*Calculateur!V61*Calculateur!X61*VLOOKUP('Données projet'!$B$9,Paramètres!$A$1:$I$89,3,0)*0.475*44/12</f>
        <v>60.899432768054396</v>
      </c>
      <c r="AB61" s="21">
        <f>EXP(-LN(2)/2)*AB60+(1-EXP(-LN(2)/2))/(LN(2)/2)*V61*Y61*VLOOKUP('Données projet'!$B$9,Paramètres!$A$1:$I$89,3,0)*0.475*44/12</f>
        <v>2.6493536762254603E-3</v>
      </c>
      <c r="AC61" s="22">
        <f t="shared" si="3"/>
        <v>106.65368198698465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9.75</v>
      </c>
      <c r="AI61" s="13">
        <f>IF('Données projet'!$A$62&gt;35,AI60+AH61-AQ60,IF(A61&lt;'Données projet'!$A$62,$AF$205^A61,IF(A61='Données projet'!$A$62,'Données projet'!$B$62,AI60+AH61-AQ60)))</f>
        <v>284.5</v>
      </c>
      <c r="AJ61" s="13">
        <f>AI61*VLOOKUP('Données projet'!$B$10,Paramètres!$A$1:$I$89,3,0)*VLOOKUP('Données projet'!$B$10,Paramètres!$A$1:$I$89,5,0)</f>
        <v>177.52800000000002</v>
      </c>
      <c r="AK61" s="13">
        <f t="shared" si="35"/>
        <v>44.771769863863661</v>
      </c>
      <c r="AL61" s="20">
        <f t="shared" si="4"/>
        <v>387.17209917956257</v>
      </c>
      <c r="AM61" s="59">
        <f t="shared" si="5"/>
        <v>680.50543251289582</v>
      </c>
      <c r="AN61" s="59">
        <f ca="1">AVERAGE(OFFSET($AM$3,0,0,'Données projet'!$E$10+1,1))-AVERAGE(OFFSET($H$3,0,0,'Données projet'!$E$10+1,1))</f>
        <v>179.44051550872138</v>
      </c>
      <c r="AO61" s="59">
        <f t="shared" si="36"/>
        <v>272.9500808380069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23.840401600540101</v>
      </c>
      <c r="AV61" s="21">
        <f>EXP(-LN(2)/25)*AV60+(1-EXP(-LN(2)/25))/(LN(2)/25)*Calculateur!AQ61*Calculateur!AS61*VLOOKUP('Données projet'!$B$10,Paramètres!$A$1:$I$89,3,0)*0.475*44/12</f>
        <v>57.479253786764609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81.319655387304707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-1.1368683772161603E-13</v>
      </c>
      <c r="BE61" s="13">
        <f>BD61*VLOOKUP('Données projet'!$B$11,Paramètres!$A$1:$I$89,3,0)*VLOOKUP('Données projet'!$B$11,Paramètres!$A$1:$I$89,5,0)</f>
        <v>-6.3550942286383367E-14</v>
      </c>
      <c r="BF61" s="13" t="e">
        <f t="shared" si="37"/>
        <v>#NUM!</v>
      </c>
      <c r="BG61" s="20" t="e">
        <f t="shared" si="7"/>
        <v>#NUM!</v>
      </c>
      <c r="BH61" s="59" t="e">
        <f t="shared" si="8"/>
        <v>#NUM!</v>
      </c>
      <c r="BI61" s="59">
        <f ca="1">AVERAGE(OFFSET($BH$3,0,0,'Données projet'!$E$11+1,1))-AVERAGE(OFFSET($H$3,0,0,'Données projet'!$E$11+1,1))</f>
        <v>278.5296012747549</v>
      </c>
      <c r="BJ61" s="59">
        <f t="shared" si="38"/>
        <v>370.55343097937077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213.58301960016803</v>
      </c>
      <c r="BQ61" s="21">
        <f>EXP(-LN(2)/25)*BQ60+(1-EXP(-LN(2)/25))/(LN(2)/25)*Calculateur!BL61*Calculateur!BN61*VLOOKUP('Données projet'!$B$11,Paramètres!$A$1:$I$89,3,0)*0.475*44/12</f>
        <v>53.009876074403138</v>
      </c>
      <c r="BR61" s="21">
        <f>EXP(-LN(2)/2)*BR60+(1-EXP(-LN(2)/2))/(LN(2)/2)*BL61*BO61*VLOOKUP('Données projet'!$B$11,Paramètres!$A$1:$I$89,3,0)*0.475*44/12</f>
        <v>12.077844857741541</v>
      </c>
      <c r="BS61" s="22">
        <f t="shared" si="9"/>
        <v>278.67074053231272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5.2</v>
      </c>
      <c r="BY61" s="12">
        <f>IF('Données projet'!$A$114&gt;35,BY60+BX61-CG60,IF(A61&lt;'Données projet'!$A$114,$BV$205^A61,IF(A61='Données projet'!$A$114,'Données projet'!$B$114,BY60+BX61-CG60)))</f>
        <v>234.59999999999985</v>
      </c>
      <c r="BZ61" s="13">
        <f>BY61*VLOOKUP('Données projet'!$B$12,Paramètres!$A$1:$I$89,3,0)*VLOOKUP('Données projet'!$B$12,Paramètres!$A$1:$I$89,5,0)</f>
        <v>186.64775999999989</v>
      </c>
      <c r="CA61" s="13">
        <f t="shared" si="39"/>
        <v>46.79805411155214</v>
      </c>
      <c r="CB61" s="20">
        <f t="shared" si="10"/>
        <v>406.58479291095313</v>
      </c>
      <c r="CC61" s="59">
        <f t="shared" si="11"/>
        <v>699.91812624428644</v>
      </c>
      <c r="CD61" s="59">
        <f ca="1">AVERAGE(OFFSET($CC$3,0,0,'Données projet'!$E$12+1,1))-AVERAGE(OFFSET($H$3,0,0,'Données projet'!$E$12+1,1))</f>
        <v>225.2323446080772</v>
      </c>
      <c r="CE61" s="59">
        <f t="shared" si="40"/>
        <v>222.29030402759292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19.229586016841804</v>
      </c>
      <c r="CL61" s="21">
        <f>EXP(-LN(2)/25)*CL60+(1-EXP(-LN(2)/25))/(LN(2)/25)*Calculateur!CG61*Calculateur!CI61*VLOOKUP('Données projet'!$B$12,Paramètres!$A$1:$I$89,3,0)*0.475*44/12</f>
        <v>12.026359960772419</v>
      </c>
      <c r="CM61" s="21">
        <f>EXP(-LN(2)/2)*CM60+(1-EXP(-LN(2)/2))/(LN(2)/2)*CG61*CJ61*VLOOKUP('Données projet'!$B$12,Paramètres!$A$1:$I$89,3,0)*0.475*44/12</f>
        <v>0</v>
      </c>
      <c r="CN61" s="22">
        <f t="shared" si="12"/>
        <v>31.255945977614225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5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28.37900000000004</v>
      </c>
      <c r="D62" s="11">
        <f t="shared" si="32"/>
        <v>8.8597260191462528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287.45683242849771</v>
      </c>
      <c r="H62" s="67">
        <f t="shared" si="1"/>
        <v>358.19078115001309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15.286813186813204</v>
      </c>
      <c r="N62" s="13">
        <f>IF('Données projet'!$A$36&gt;35,N61+M62-V61,IF(A62&lt;'Données projet'!$A$36,$K$205^A62,IF(A62='Données projet'!$A$36,'Données projet'!$B$36,N61+M62-V61)))</f>
        <v>425.22417582417597</v>
      </c>
      <c r="O62" s="13">
        <f>N62*VLOOKUP('Données projet'!$B$9,Paramètres!$A$1:$I$89,3,0)*VLOOKUP('Données projet'!$B$9,Paramètres!$A$1:$I$89,5,0)</f>
        <v>204.53282857142864</v>
      </c>
      <c r="P62" s="13">
        <f t="shared" si="33"/>
        <v>50.739043189365226</v>
      </c>
      <c r="Q62" s="20">
        <f t="shared" si="53"/>
        <v>444.59850998338266</v>
      </c>
      <c r="R62" s="59">
        <f t="shared" si="0"/>
        <v>737.93184331671591</v>
      </c>
      <c r="S62" s="59">
        <f ca="1">AVERAGE(OFFSET($R$3,0,0,'Données projet'!$E$9+1,1))-AVERAGE(OFFSET($H$3,0,0,'Données projet'!$E$9+1,1))</f>
        <v>234.10156575337737</v>
      </c>
      <c r="T62" s="59">
        <f t="shared" si="34"/>
        <v>285.68635263076646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44.854438897616859</v>
      </c>
      <c r="AA62" s="21">
        <f>EXP(-LN(2)/25)*AA61+(1-EXP(-LN(2)/25))/(LN(2)/25)*Calculateur!V62*Calculateur!X62*VLOOKUP('Données projet'!$B$9,Paramètres!$A$1:$I$89,3,0)*0.475*44/12</f>
        <v>59.234134576449968</v>
      </c>
      <c r="AB62" s="21">
        <f>EXP(-LN(2)/2)*AB61+(1-EXP(-LN(2)/2))/(LN(2)/2)*V62*Y62*VLOOKUP('Données projet'!$B$9,Paramètres!$A$1:$I$89,3,0)*0.475*44/12</f>
        <v>1.8733759502205319E-3</v>
      </c>
      <c r="AC62" s="22">
        <f t="shared" si="3"/>
        <v>104.09044685001706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9.75</v>
      </c>
      <c r="AI62" s="13">
        <f>IF('Données projet'!$A$62&gt;35,AI61+AH62-AQ61,IF(A62&lt;'Données projet'!$A$62,$AF$205^A62,IF(A62='Données projet'!$A$62,'Données projet'!$B$62,AI61+AH62-AQ61)))</f>
        <v>294.25</v>
      </c>
      <c r="AJ62" s="13">
        <f>AI62*VLOOKUP('Données projet'!$B$10,Paramètres!$A$1:$I$89,3,0)*VLOOKUP('Données projet'!$B$10,Paramètres!$A$1:$I$89,5,0)</f>
        <v>183.61199999999999</v>
      </c>
      <c r="AK62" s="13">
        <f t="shared" si="35"/>
        <v>46.124858041839339</v>
      </c>
      <c r="AL62" s="20">
        <f t="shared" si="4"/>
        <v>400.12502775620351</v>
      </c>
      <c r="AM62" s="59">
        <f t="shared" si="5"/>
        <v>693.45836108953677</v>
      </c>
      <c r="AN62" s="59">
        <f ca="1">AVERAGE(OFFSET($AM$3,0,0,'Données projet'!$E$10+1,1))-AVERAGE(OFFSET($H$3,0,0,'Données projet'!$E$10+1,1))</f>
        <v>179.44051550872138</v>
      </c>
      <c r="AO62" s="59">
        <f t="shared" si="36"/>
        <v>272.9500808380069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23.372905866362661</v>
      </c>
      <c r="AV62" s="21">
        <f>EXP(-LN(2)/25)*AV61+(1-EXP(-LN(2)/25))/(LN(2)/25)*Calculateur!AQ62*Calculateur!AS62*VLOOKUP('Données projet'!$B$10,Paramètres!$A$1:$I$89,3,0)*0.475*44/12</f>
        <v>55.907480569262944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79.280386435625601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-1.1368683772161603E-13</v>
      </c>
      <c r="BE62" s="13">
        <f>BD62*VLOOKUP('Données projet'!$B$11,Paramètres!$A$1:$I$89,3,0)*VLOOKUP('Données projet'!$B$11,Paramètres!$A$1:$I$89,5,0)</f>
        <v>-6.3550942286383367E-14</v>
      </c>
      <c r="BF62" s="13" t="e">
        <f t="shared" si="37"/>
        <v>#NUM!</v>
      </c>
      <c r="BG62" s="20" t="e">
        <f t="shared" si="7"/>
        <v>#NUM!</v>
      </c>
      <c r="BH62" s="59" t="e">
        <f t="shared" si="8"/>
        <v>#NUM!</v>
      </c>
      <c r="BI62" s="59">
        <f ca="1">AVERAGE(OFFSET($BH$3,0,0,'Données projet'!$E$11+1,1))-AVERAGE(OFFSET($H$3,0,0,'Données projet'!$E$11+1,1))</f>
        <v>278.5296012747549</v>
      </c>
      <c r="BJ62" s="59">
        <f t="shared" si="38"/>
        <v>370.55343097937077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209.39478685858731</v>
      </c>
      <c r="BQ62" s="21">
        <f>EXP(-LN(2)/25)*BQ61+(1-EXP(-LN(2)/25))/(LN(2)/25)*Calculateur!BL62*Calculateur!BN62*VLOOKUP('Données projet'!$B$11,Paramètres!$A$1:$I$89,3,0)*0.475*44/12</f>
        <v>51.560318225480358</v>
      </c>
      <c r="BR62" s="21">
        <f>EXP(-LN(2)/2)*BR61+(1-EXP(-LN(2)/2))/(LN(2)/2)*BL62*BO62*VLOOKUP('Données projet'!$B$11,Paramètres!$A$1:$I$89,3,0)*0.475*44/12</f>
        <v>8.5403260010281166</v>
      </c>
      <c r="BS62" s="22">
        <f t="shared" si="9"/>
        <v>269.49543108509579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5.2</v>
      </c>
      <c r="BY62" s="12">
        <f>IF('Données projet'!$A$114&gt;35,BY61+BX62-CG61,IF(A62&lt;'Données projet'!$A$114,$BV$205^A62,IF(A62='Données projet'!$A$114,'Données projet'!$B$114,BY61+BX62-CG61)))</f>
        <v>239.79999999999984</v>
      </c>
      <c r="BZ62" s="13">
        <f>BY62*VLOOKUP('Données projet'!$B$12,Paramètres!$A$1:$I$89,3,0)*VLOOKUP('Données projet'!$B$12,Paramètres!$A$1:$I$89,5,0)</f>
        <v>190.78487999999987</v>
      </c>
      <c r="CA62" s="13">
        <f t="shared" si="39"/>
        <v>47.713437020051622</v>
      </c>
      <c r="CB62" s="20">
        <f t="shared" si="10"/>
        <v>415.384568809923</v>
      </c>
      <c r="CC62" s="59">
        <f t="shared" si="11"/>
        <v>708.71790214325631</v>
      </c>
      <c r="CD62" s="59">
        <f ca="1">AVERAGE(OFFSET($CC$3,0,0,'Données projet'!$E$12+1,1))-AVERAGE(OFFSET($H$3,0,0,'Données projet'!$E$12+1,1))</f>
        <v>225.2323446080772</v>
      </c>
      <c r="CE62" s="59">
        <f t="shared" si="40"/>
        <v>222.29030402759292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18.852505563940873</v>
      </c>
      <c r="CL62" s="21">
        <f>EXP(-LN(2)/25)*CL61+(1-EXP(-LN(2)/25))/(LN(2)/25)*Calculateur!CG62*Calculateur!CI62*VLOOKUP('Données projet'!$B$12,Paramètres!$A$1:$I$89,3,0)*0.475*44/12</f>
        <v>11.697498515206314</v>
      </c>
      <c r="CM62" s="21">
        <f>EXP(-LN(2)/2)*CM61+(1-EXP(-LN(2)/2))/(LN(2)/2)*CG62*CJ62*VLOOKUP('Données projet'!$B$12,Paramètres!$A$1:$I$89,3,0)*0.475*44/12</f>
        <v>0</v>
      </c>
      <c r="CN62" s="22">
        <f t="shared" si="12"/>
        <v>30.550004079147186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5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28.860000000000042</v>
      </c>
      <c r="D63" s="11">
        <f t="shared" si="32"/>
        <v>8.9922816103350858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292.19305102714833</v>
      </c>
      <c r="H63" s="67">
        <f t="shared" si="1"/>
        <v>359.25939047133363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15.286813186813204</v>
      </c>
      <c r="N63" s="13">
        <f>IF('Données projet'!$A$36&gt;35,N62+M63-V62,IF(A63&lt;'Données projet'!$A$36,$K$205^A63,IF(A63='Données projet'!$A$36,'Données projet'!$B$36,N62+M63-V62)))</f>
        <v>440.51098901098919</v>
      </c>
      <c r="O63" s="13">
        <f>N63*VLOOKUP('Données projet'!$B$9,Paramètres!$A$1:$I$89,3,0)*VLOOKUP('Données projet'!$B$9,Paramètres!$A$1:$I$89,5,0)</f>
        <v>211.88578571428579</v>
      </c>
      <c r="P63" s="13">
        <f t="shared" si="33"/>
        <v>52.347462666578998</v>
      </c>
      <c r="Q63" s="20">
        <f t="shared" si="53"/>
        <v>460.20624093000612</v>
      </c>
      <c r="R63" s="59">
        <f t="shared" si="0"/>
        <v>753.53957426333943</v>
      </c>
      <c r="S63" s="59">
        <f ca="1">AVERAGE(OFFSET($R$3,0,0,'Données projet'!$E$9+1,1))-AVERAGE(OFFSET($H$3,0,0,'Données projet'!$E$9+1,1))</f>
        <v>234.10156575337737</v>
      </c>
      <c r="T63" s="59">
        <f t="shared" si="34"/>
        <v>285.68635263076646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43.974870709340891</v>
      </c>
      <c r="AA63" s="21">
        <f>EXP(-LN(2)/25)*AA62+(1-EXP(-LN(2)/25))/(LN(2)/25)*Calculateur!V63*Calculateur!X63*VLOOKUP('Données projet'!$B$9,Paramètres!$A$1:$I$89,3,0)*0.475*44/12</f>
        <v>57.614374051469184</v>
      </c>
      <c r="AB63" s="21">
        <f>EXP(-LN(2)/2)*AB62+(1-EXP(-LN(2)/2))/(LN(2)/2)*V63*Y63*VLOOKUP('Données projet'!$B$9,Paramètres!$A$1:$I$89,3,0)*0.475*44/12</f>
        <v>1.3246768381127302E-3</v>
      </c>
      <c r="AC63" s="22">
        <f t="shared" si="3"/>
        <v>101.59056943764818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304</v>
      </c>
      <c r="AG63" s="12">
        <f>VLOOKUP(A63,'Données projet'!$A$61:$I$81,9,0)</f>
        <v>9.75</v>
      </c>
      <c r="AH63" s="12">
        <f t="array" ref="AH63">INDEX(AG:AG,MIN(IF(ISNUMBER(AG63:AG259),ROW(AG63:AG259),"")))</f>
        <v>9.75</v>
      </c>
      <c r="AI63" s="13">
        <f>IF('Données projet'!$A$62&gt;35,AI62+AH63-AQ62,IF(A63&lt;'Données projet'!$A$62,$AF$205^A63,IF(A63='Données projet'!$A$62,'Données projet'!$B$62,AI62+AH63-AQ62)))</f>
        <v>304</v>
      </c>
      <c r="AJ63" s="13">
        <f>AI63*VLOOKUP('Données projet'!$B$10,Paramètres!$A$1:$I$89,3,0)*VLOOKUP('Données projet'!$B$10,Paramètres!$A$1:$I$89,5,0)</f>
        <v>189.696</v>
      </c>
      <c r="AK63" s="13">
        <f t="shared" si="35"/>
        <v>47.472736505152469</v>
      </c>
      <c r="AL63" s="20">
        <f t="shared" si="4"/>
        <v>413.06888274647389</v>
      </c>
      <c r="AM63" s="59">
        <f t="shared" si="5"/>
        <v>706.4022160798072</v>
      </c>
      <c r="AN63" s="59">
        <f ca="1">AVERAGE(OFFSET($AM$3,0,0,'Données projet'!$E$10+1,1))-AVERAGE(OFFSET($H$3,0,0,'Données projet'!$E$10+1,1))</f>
        <v>179.44051550872138</v>
      </c>
      <c r="AO63" s="59">
        <f t="shared" si="36"/>
        <v>272.9500808380069</v>
      </c>
      <c r="AP63" s="15" t="str">
        <f>IF(ISNA(VLOOKUP(A63,'Données projet'!$A$61:$I$81,3,0)),0,VLOOKUP(A63,'Données projet'!$A$61:$I$81,3,0))</f>
        <v>CR</v>
      </c>
      <c r="AQ63" s="15">
        <f>IF(ISNA(VLOOKUP(A63,'Données projet'!$A$61:$I$81,4,0)),0,VLOOKUP(A63,'Données projet'!$A$61:$I$81,4,0))</f>
        <v>304</v>
      </c>
      <c r="AR63" s="16">
        <f>IF(ISNA(VLOOKUP(A63,'Données projet'!$A$61:$I$81,5,0)),0%,VLOOKUP(A63,'Données projet'!$A$61:$I$81,5,0)*VLOOKUP('Données projet'!$B$10,Paramètres!$A$1:$I$89,7,0))</f>
        <v>0.24</v>
      </c>
      <c r="AS63" s="16">
        <f>IF(ISNA(VLOOKUP(A63,'Données projet'!$A$61:$I$81,6,0)),0%,VLOOKUP(A63,'Données projet'!$A$61:$I$81,6,0)*VLOOKUP('Données projet'!$B$10,Paramètres!$A$1:$I$89,7,0))</f>
        <v>0.36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83.309130463762358</v>
      </c>
      <c r="AV63" s="21">
        <f>EXP(-LN(2)/25)*AV62+(1-EXP(-LN(2)/25))/(LN(2)/25)*Calculateur!AQ63*Calculateur!AS63*VLOOKUP('Données projet'!$B$10,Paramètres!$A$1:$I$89,3,0)*0.475*44/12</f>
        <v>144.61382256002648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227.92295302378884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-1.1368683772161603E-13</v>
      </c>
      <c r="BE63" s="13">
        <f>BD63*VLOOKUP('Données projet'!$B$11,Paramètres!$A$1:$I$89,3,0)*VLOOKUP('Données projet'!$B$11,Paramètres!$A$1:$I$89,5,0)</f>
        <v>-6.3550942286383367E-14</v>
      </c>
      <c r="BF63" s="13" t="e">
        <f t="shared" si="37"/>
        <v>#NUM!</v>
      </c>
      <c r="BG63" s="20" t="e">
        <f t="shared" si="7"/>
        <v>#NUM!</v>
      </c>
      <c r="BH63" s="59" t="e">
        <f t="shared" si="8"/>
        <v>#NUM!</v>
      </c>
      <c r="BI63" s="59">
        <f ca="1">AVERAGE(OFFSET($BH$3,0,0,'Données projet'!$E$11+1,1))-AVERAGE(OFFSET($H$3,0,0,'Données projet'!$E$11+1,1))</f>
        <v>278.5296012747549</v>
      </c>
      <c r="BJ63" s="59">
        <f t="shared" si="38"/>
        <v>370.55343097937077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205.28868280649928</v>
      </c>
      <c r="BQ63" s="21">
        <f>EXP(-LN(2)/25)*BQ62+(1-EXP(-LN(2)/25))/(LN(2)/25)*Calculateur!BL63*Calculateur!BN63*VLOOKUP('Données projet'!$B$11,Paramètres!$A$1:$I$89,3,0)*0.475*44/12</f>
        <v>50.150398612165304</v>
      </c>
      <c r="BR63" s="21">
        <f>EXP(-LN(2)/2)*BR62+(1-EXP(-LN(2)/2))/(LN(2)/2)*BL63*BO63*VLOOKUP('Données projet'!$B$11,Paramètres!$A$1:$I$89,3,0)*0.475*44/12</f>
        <v>6.0389224288707712</v>
      </c>
      <c r="BS63" s="22">
        <f t="shared" si="9"/>
        <v>261.47800384753538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>
        <f>VLOOKUP(A63,'Données projet'!$A$113:$I$133,2,0)</f>
        <v>245</v>
      </c>
      <c r="BW63" s="12">
        <f>VLOOKUP(A63,'Données projet'!$A$113:$I$133,9,0)</f>
        <v>5.2</v>
      </c>
      <c r="BX63" s="12">
        <f t="array" ref="BX63">INDEX(BW:BW,MIN(IF(ISNUMBER(BW63:BW259),ROW(BW63:BW259),"")))</f>
        <v>5.2</v>
      </c>
      <c r="BY63" s="12">
        <f>IF('Données projet'!$A$114&gt;35,BY62+BX63-CG62,IF(A63&lt;'Données projet'!$A$114,$BV$205^A63,IF(A63='Données projet'!$A$114,'Données projet'!$B$114,BY62+BX63-CG62)))</f>
        <v>244.99999999999983</v>
      </c>
      <c r="BZ63" s="13">
        <f>BY63*VLOOKUP('Données projet'!$B$12,Paramètres!$A$1:$I$89,3,0)*VLOOKUP('Données projet'!$B$12,Paramètres!$A$1:$I$89,5,0)</f>
        <v>194.92199999999988</v>
      </c>
      <c r="CA63" s="13">
        <f t="shared" si="39"/>
        <v>48.626512129794925</v>
      </c>
      <c r="CB63" s="20">
        <f t="shared" si="10"/>
        <v>424.18032529272591</v>
      </c>
      <c r="CC63" s="59">
        <f t="shared" si="11"/>
        <v>717.51365862605917</v>
      </c>
      <c r="CD63" s="59">
        <f ca="1">AVERAGE(OFFSET($CC$3,0,0,'Données projet'!$E$12+1,1))-AVERAGE(OFFSET($H$3,0,0,'Données projet'!$E$12+1,1))</f>
        <v>225.2323446080772</v>
      </c>
      <c r="CE63" s="59">
        <f t="shared" si="40"/>
        <v>222.29030402759292</v>
      </c>
      <c r="CF63" s="15">
        <f>IF(ISNA(VLOOKUP(A63,'Données projet'!$A$113:$I$133,3,0)),0,VLOOKUP(A63,'Données projet'!$A$113:$I$133,3,0))</f>
        <v>10</v>
      </c>
      <c r="CG63" s="15">
        <f>IF(ISNA(VLOOKUP(A63,'Données projet'!$A$113:$I$133,4,0)),0,VLOOKUP(A63,'Données projet'!$A$113:$I$133,4,0))</f>
        <v>12</v>
      </c>
      <c r="CH63" s="16">
        <f>IF(ISNA(VLOOKUP(A63,'Données projet'!$A$113:$I$133,5,0)),0%,VLOOKUP(A63,'Données projet'!$A$113:$I$133,5,0)*VLOOKUP('Données projet'!$B$12,Paramètres!$A$1:$I$89,7,0))</f>
        <v>0.43990000000000001</v>
      </c>
      <c r="CI63" s="16">
        <f>IF(ISNA(VLOOKUP(A63,'Données projet'!$A$113:$I$133,6,0)),0%,VLOOKUP(A63,'Données projet'!$A$113:$I$133,6,0)*VLOOKUP('Données projet'!$B$12,Paramètres!$A$1:$I$89,7,0))</f>
        <v>4.24E-2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23.125588609334091</v>
      </c>
      <c r="CL63" s="21">
        <f>EXP(-LN(2)/25)*CL62+(1-EXP(-LN(2)/25))/(LN(2)/25)*Calculateur!CG63*Calculateur!CI63*VLOOKUP('Données projet'!$B$12,Paramètres!$A$1:$I$89,3,0)*0.475*44/12</f>
        <v>11.823363666229437</v>
      </c>
      <c r="CM63" s="21">
        <f>EXP(-LN(2)/2)*CM62+(1-EXP(-LN(2)/2))/(LN(2)/2)*CG63*CJ63*VLOOKUP('Données projet'!$B$12,Paramètres!$A$1:$I$89,3,0)*0.475*44/12</f>
        <v>0</v>
      </c>
      <c r="CN63" s="22">
        <f t="shared" si="12"/>
        <v>34.948952275563528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5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29.341000000000044</v>
      </c>
      <c r="D64" s="11">
        <f t="shared" si="32"/>
        <v>9.1245802803834923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296.92728637489046</v>
      </c>
      <c r="H64" s="67">
        <f t="shared" si="1"/>
        <v>360.32755232166795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15.286813186813204</v>
      </c>
      <c r="N64" s="13">
        <f>IF('Données projet'!$A$36&gt;35,N63+M64-V63,IF(A64&lt;'Données projet'!$A$36,$K$205^A64,IF(A64='Données projet'!$A$36,'Données projet'!$B$36,N63+M64-V63)))</f>
        <v>455.79780219780241</v>
      </c>
      <c r="O64" s="13">
        <f>N64*VLOOKUP('Données projet'!$B$9,Paramètres!$A$1:$I$89,3,0)*VLOOKUP('Données projet'!$B$9,Paramètres!$A$1:$I$89,5,0)</f>
        <v>219.23874285714297</v>
      </c>
      <c r="P64" s="13">
        <f t="shared" si="33"/>
        <v>53.949396878232989</v>
      </c>
      <c r="Q64" s="20">
        <f t="shared" si="53"/>
        <v>475.80267670577973</v>
      </c>
      <c r="R64" s="59">
        <f t="shared" si="0"/>
        <v>769.13601003911299</v>
      </c>
      <c r="S64" s="59">
        <f ca="1">AVERAGE(OFFSET($R$3,0,0,'Données projet'!$E$9+1,1))-AVERAGE(OFFSET($H$3,0,0,'Données projet'!$E$9+1,1))</f>
        <v>234.10156575337737</v>
      </c>
      <c r="T64" s="59">
        <f t="shared" si="34"/>
        <v>285.68635263076646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43.112550316753392</v>
      </c>
      <c r="AA64" s="21">
        <f>EXP(-LN(2)/25)*AA63+(1-EXP(-LN(2)/25))/(LN(2)/25)*Calculateur!V64*Calculateur!X64*VLOOKUP('Données projet'!$B$9,Paramètres!$A$1:$I$89,3,0)*0.475*44/12</f>
        <v>56.038905963223506</v>
      </c>
      <c r="AB64" s="21">
        <f>EXP(-LN(2)/2)*AB63+(1-EXP(-LN(2)/2))/(LN(2)/2)*V64*Y64*VLOOKUP('Données projet'!$B$9,Paramètres!$A$1:$I$89,3,0)*0.475*44/12</f>
        <v>9.3668797511026593E-4</v>
      </c>
      <c r="AC64" s="22">
        <f t="shared" si="3"/>
        <v>99.152392967952011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0</v>
      </c>
      <c r="AI64" s="13">
        <f>IF('Données projet'!$A$62&gt;35,AI63+AH64-AQ63,IF(A64&lt;'Données projet'!$A$62,$AF$205^A64,IF(A64='Données projet'!$A$62,'Données projet'!$B$62,AI63+AH64-AQ63)))</f>
        <v>0</v>
      </c>
      <c r="AJ64" s="13">
        <f>AI64*VLOOKUP('Données projet'!$B$10,Paramètres!$A$1:$I$89,3,0)*VLOOKUP('Données projet'!$B$10,Paramètres!$A$1:$I$89,5,0)</f>
        <v>0</v>
      </c>
      <c r="AK64" s="13" t="e">
        <f t="shared" si="35"/>
        <v>#NUM!</v>
      </c>
      <c r="AL64" s="20" t="e">
        <f t="shared" si="4"/>
        <v>#NUM!</v>
      </c>
      <c r="AM64" s="59" t="e">
        <f t="shared" si="5"/>
        <v>#NUM!</v>
      </c>
      <c r="AN64" s="59">
        <f ca="1">AVERAGE(OFFSET($AM$3,0,0,'Données projet'!$E$10+1,1))-AVERAGE(OFFSET($H$3,0,0,'Données projet'!$E$10+1,1))</f>
        <v>179.44051550872138</v>
      </c>
      <c r="AO64" s="59">
        <f t="shared" si="36"/>
        <v>272.9500808380069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81.675489228920142</v>
      </c>
      <c r="AV64" s="21">
        <f>EXP(-LN(2)/25)*AV63+(1-EXP(-LN(2)/25))/(LN(2)/25)*Calculateur!AQ64*Calculateur!AS64*VLOOKUP('Données projet'!$B$10,Paramètres!$A$1:$I$89,3,0)*0.475*44/12</f>
        <v>140.65934997721214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222.3348392061323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-1.1368683772161603E-13</v>
      </c>
      <c r="BE64" s="13">
        <f>BD64*VLOOKUP('Données projet'!$B$11,Paramètres!$A$1:$I$89,3,0)*VLOOKUP('Données projet'!$B$11,Paramètres!$A$1:$I$89,5,0)</f>
        <v>-6.3550942286383367E-14</v>
      </c>
      <c r="BF64" s="13" t="e">
        <f t="shared" si="37"/>
        <v>#NUM!</v>
      </c>
      <c r="BG64" s="20" t="e">
        <f t="shared" si="7"/>
        <v>#NUM!</v>
      </c>
      <c r="BH64" s="59" t="e">
        <f t="shared" si="8"/>
        <v>#NUM!</v>
      </c>
      <c r="BI64" s="59">
        <f ca="1">AVERAGE(OFFSET($BH$3,0,0,'Données projet'!$E$11+1,1))-AVERAGE(OFFSET($H$3,0,0,'Données projet'!$E$11+1,1))</f>
        <v>278.5296012747549</v>
      </c>
      <c r="BJ64" s="59">
        <f t="shared" si="38"/>
        <v>370.55343097937077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201.26309695039652</v>
      </c>
      <c r="BQ64" s="21">
        <f>EXP(-LN(2)/25)*BQ63+(1-EXP(-LN(2)/25))/(LN(2)/25)*Calculateur!BL64*Calculateur!BN64*VLOOKUP('Données projet'!$B$11,Paramètres!$A$1:$I$89,3,0)*0.475*44/12</f>
        <v>48.779033324820801</v>
      </c>
      <c r="BR64" s="21">
        <f>EXP(-LN(2)/2)*BR63+(1-EXP(-LN(2)/2))/(LN(2)/2)*BL64*BO64*VLOOKUP('Données projet'!$B$11,Paramètres!$A$1:$I$89,3,0)*0.475*44/12</f>
        <v>4.2701630005140592</v>
      </c>
      <c r="BS64" s="22">
        <f t="shared" si="9"/>
        <v>254.31229327573138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4.4000000000000004</v>
      </c>
      <c r="BY64" s="12">
        <f>IF('Données projet'!$A$114&gt;35,BY63+BX64-CG63,IF(A64&lt;'Données projet'!$A$114,$BV$205^A64,IF(A64='Données projet'!$A$114,'Données projet'!$B$114,BY63+BX64-CG63)))</f>
        <v>237.39999999999984</v>
      </c>
      <c r="BZ64" s="13">
        <f>BY64*VLOOKUP('Données projet'!$B$12,Paramètres!$A$1:$I$89,3,0)*VLOOKUP('Données projet'!$B$12,Paramètres!$A$1:$I$89,5,0)</f>
        <v>188.87543999999988</v>
      </c>
      <c r="CA64" s="13">
        <f t="shared" si="39"/>
        <v>47.291242769027726</v>
      </c>
      <c r="CB64" s="20">
        <f t="shared" si="10"/>
        <v>411.32363915605634</v>
      </c>
      <c r="CC64" s="59">
        <f t="shared" si="11"/>
        <v>704.65697248938966</v>
      </c>
      <c r="CD64" s="59">
        <f ca="1">AVERAGE(OFFSET($CC$3,0,0,'Données projet'!$E$12+1,1))-AVERAGE(OFFSET($H$3,0,0,'Données projet'!$E$12+1,1))</f>
        <v>225.2323446080772</v>
      </c>
      <c r="CE64" s="59">
        <f t="shared" si="40"/>
        <v>222.29030402759292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22.672109921921326</v>
      </c>
      <c r="CL64" s="21">
        <f>EXP(-LN(2)/25)*CL63+(1-EXP(-LN(2)/25))/(LN(2)/25)*Calculateur!CG64*Calculateur!CI64*VLOOKUP('Données projet'!$B$12,Paramètres!$A$1:$I$89,3,0)*0.475*44/12</f>
        <v>11.500053165012719</v>
      </c>
      <c r="CM64" s="21">
        <f>EXP(-LN(2)/2)*CM63+(1-EXP(-LN(2)/2))/(LN(2)/2)*CG64*CJ64*VLOOKUP('Données projet'!$B$12,Paramètres!$A$1:$I$89,3,0)*0.475*44/12</f>
        <v>0</v>
      </c>
      <c r="CN64" s="22">
        <f t="shared" si="12"/>
        <v>34.172163086934049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5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29.822000000000045</v>
      </c>
      <c r="D65" s="11">
        <f t="shared" si="32"/>
        <v>9.2566267273101186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301.65957473713115</v>
      </c>
      <c r="H65" s="67">
        <f t="shared" si="1"/>
        <v>361.39527488339854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>
        <f>VLOOKUP(A65,'Données projet'!$A$35:$I$55,2,0)</f>
        <v>471.0846153846154</v>
      </c>
      <c r="L65" s="12">
        <f>VLOOKUP(A65,'Données projet'!$A$35:$I$55,9,0)</f>
        <v>15.286813186813204</v>
      </c>
      <c r="M65" s="12">
        <f t="array" ref="M65">INDEX(L:L,MIN(IF(ISNUMBER(L65:L261),ROW(L65:L261),"")))</f>
        <v>15.286813186813204</v>
      </c>
      <c r="N65" s="13">
        <f>IF('Données projet'!$A$36&gt;35,N64+M65-V64,IF(A65&lt;'Données projet'!$A$36,$K$205^A65,IF(A65='Données projet'!$A$36,'Données projet'!$B$36,N64+M65-V64)))</f>
        <v>471.08461538461563</v>
      </c>
      <c r="O65" s="13">
        <f>N65*VLOOKUP('Données projet'!$B$9,Paramètres!$A$1:$I$89,3,0)*VLOOKUP('Données projet'!$B$9,Paramètres!$A$1:$I$89,5,0)</f>
        <v>226.59170000000012</v>
      </c>
      <c r="P65" s="13">
        <f t="shared" si="33"/>
        <v>55.54508826769149</v>
      </c>
      <c r="Q65" s="20">
        <f t="shared" si="53"/>
        <v>491.38823956622952</v>
      </c>
      <c r="R65" s="59">
        <f t="shared" si="0"/>
        <v>784.72157289956283</v>
      </c>
      <c r="S65" s="59">
        <f ca="1">AVERAGE(OFFSET($R$3,0,0,'Données projet'!$E$9+1,1))-AVERAGE(OFFSET($H$3,0,0,'Données projet'!$E$9+1,1))</f>
        <v>234.10156575337737</v>
      </c>
      <c r="T65" s="59">
        <f t="shared" si="34"/>
        <v>285.68635263076646</v>
      </c>
      <c r="U65" s="15">
        <f>IF(ISNA(VLOOKUP(A65,'Données projet'!$A$35:$I$55,3,0)),0,VLOOKUP(A65,'Données projet'!$A$35:$I$55,3,0))</f>
        <v>7</v>
      </c>
      <c r="V65" s="15">
        <f>IF(ISNA(VLOOKUP(A65,'Données projet'!$A$35:$I$55,4,0)),0,VLOOKUP(A65,'Données projet'!$A$35:$I$55,4,0))</f>
        <v>101.43076923076924</v>
      </c>
      <c r="W65" s="16">
        <f>IF(ISNA(VLOOKUP(A65,'Données projet'!$A$35:$I$55,5,0)),0%,VLOOKUP(A65,'Données projet'!$A$35:$I$55,5,0)*VLOOKUP('Données projet'!$B$9,Paramètres!$A$1:$I$89,7,0))</f>
        <v>0.33</v>
      </c>
      <c r="X65" s="16">
        <f>IF(ISNA(VLOOKUP(A65,'Données projet'!$A$35:$I$55,6,0)),0%,VLOOKUP(A65,'Données projet'!$A$35:$I$55,6,0)*VLOOKUP('Données projet'!$B$9,Paramètres!$A$1:$I$89,7,0))</f>
        <v>0.22000000000000003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63.6249678495099</v>
      </c>
      <c r="AA65" s="21">
        <f>EXP(-LN(2)/25)*AA64+(1-EXP(-LN(2)/25))/(LN(2)/25)*Calculateur!V65*Calculateur!X65*VLOOKUP('Données projet'!$B$9,Paramètres!$A$1:$I$89,3,0)*0.475*44/12</f>
        <v>68.689008759521556</v>
      </c>
      <c r="AB65" s="21">
        <f>EXP(-LN(2)/2)*AB64+(1-EXP(-LN(2)/2))/(LN(2)/2)*V65*Y65*VLOOKUP('Données projet'!$B$9,Paramètres!$A$1:$I$89,3,0)*0.475*44/12</f>
        <v>6.6233841905636508E-4</v>
      </c>
      <c r="AC65" s="22">
        <f t="shared" si="3"/>
        <v>132.3146389474505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0</v>
      </c>
      <c r="AI65" s="13">
        <f>IF('Données projet'!$A$62&gt;35,AI64+AH65-AQ64,IF(A65&lt;'Données projet'!$A$62,$AF$205^A65,IF(A65='Données projet'!$A$62,'Données projet'!$B$62,AI64+AH65-AQ64)))</f>
        <v>0</v>
      </c>
      <c r="AJ65" s="13">
        <f>AI65*VLOOKUP('Données projet'!$B$10,Paramètres!$A$1:$I$89,3,0)*VLOOKUP('Données projet'!$B$10,Paramètres!$A$1:$I$89,5,0)</f>
        <v>0</v>
      </c>
      <c r="AK65" s="13" t="e">
        <f t="shared" si="35"/>
        <v>#NUM!</v>
      </c>
      <c r="AL65" s="20" t="e">
        <f t="shared" si="4"/>
        <v>#NUM!</v>
      </c>
      <c r="AM65" s="59" t="e">
        <f t="shared" si="5"/>
        <v>#NUM!</v>
      </c>
      <c r="AN65" s="59">
        <f ca="1">AVERAGE(OFFSET($AM$3,0,0,'Données projet'!$E$10+1,1))-AVERAGE(OFFSET($H$3,0,0,'Données projet'!$E$10+1,1))</f>
        <v>179.44051550872138</v>
      </c>
      <c r="AO65" s="59">
        <f t="shared" si="36"/>
        <v>272.9500808380069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80.07388270227041</v>
      </c>
      <c r="AV65" s="21">
        <f>EXP(-LN(2)/25)*AV64+(1-EXP(-LN(2)/25))/(LN(2)/25)*Calculateur!AQ65*Calculateur!AS65*VLOOKUP('Données projet'!$B$10,Paramètres!$A$1:$I$89,3,0)*0.475*44/12</f>
        <v>136.81301265513156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216.88689535740195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-1.1368683772161603E-13</v>
      </c>
      <c r="BE65" s="13">
        <f>BD65*VLOOKUP('Données projet'!$B$11,Paramètres!$A$1:$I$89,3,0)*VLOOKUP('Données projet'!$B$11,Paramètres!$A$1:$I$89,5,0)</f>
        <v>-6.3550942286383367E-14</v>
      </c>
      <c r="BF65" s="13" t="e">
        <f t="shared" si="37"/>
        <v>#NUM!</v>
      </c>
      <c r="BG65" s="20" t="e">
        <f t="shared" si="7"/>
        <v>#NUM!</v>
      </c>
      <c r="BH65" s="59" t="e">
        <f t="shared" si="8"/>
        <v>#NUM!</v>
      </c>
      <c r="BI65" s="59">
        <f ca="1">AVERAGE(OFFSET($BH$3,0,0,'Données projet'!$E$11+1,1))-AVERAGE(OFFSET($H$3,0,0,'Données projet'!$E$11+1,1))</f>
        <v>278.5296012747549</v>
      </c>
      <c r="BJ65" s="59">
        <f t="shared" si="38"/>
        <v>370.55343097937077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197.31645037756701</v>
      </c>
      <c r="BQ65" s="21">
        <f>EXP(-LN(2)/25)*BQ64+(1-EXP(-LN(2)/25))/(LN(2)/25)*Calculateur!BL65*Calculateur!BN65*VLOOKUP('Données projet'!$B$11,Paramètres!$A$1:$I$89,3,0)*0.475*44/12</f>
        <v>47.445168093375699</v>
      </c>
      <c r="BR65" s="21">
        <f>EXP(-LN(2)/2)*BR64+(1-EXP(-LN(2)/2))/(LN(2)/2)*BL65*BO65*VLOOKUP('Données projet'!$B$11,Paramètres!$A$1:$I$89,3,0)*0.475*44/12</f>
        <v>3.0194612144353861</v>
      </c>
      <c r="BS65" s="22">
        <f t="shared" si="9"/>
        <v>247.7810796853781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4.4000000000000004</v>
      </c>
      <c r="BY65" s="12">
        <f>IF('Données projet'!$A$114&gt;35,BY64+BX65-CG64,IF(A65&lt;'Données projet'!$A$114,$BV$205^A65,IF(A65='Données projet'!$A$114,'Données projet'!$B$114,BY64+BX65-CG64)))</f>
        <v>241.79999999999984</v>
      </c>
      <c r="BZ65" s="13">
        <f>BY65*VLOOKUP('Données projet'!$B$12,Paramètres!$A$1:$I$89,3,0)*VLOOKUP('Données projet'!$B$12,Paramètres!$A$1:$I$89,5,0)</f>
        <v>192.37607999999989</v>
      </c>
      <c r="CA65" s="13">
        <f t="shared" si="39"/>
        <v>48.064889828485896</v>
      </c>
      <c r="CB65" s="20">
        <f t="shared" si="10"/>
        <v>418.76802245127936</v>
      </c>
      <c r="CC65" s="59">
        <f t="shared" si="11"/>
        <v>712.10135578461268</v>
      </c>
      <c r="CD65" s="59">
        <f ca="1">AVERAGE(OFFSET($CC$3,0,0,'Données projet'!$E$12+1,1))-AVERAGE(OFFSET($H$3,0,0,'Données projet'!$E$12+1,1))</f>
        <v>225.2323446080772</v>
      </c>
      <c r="CE65" s="59">
        <f t="shared" si="40"/>
        <v>222.29030402759292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22.227523674974037</v>
      </c>
      <c r="CL65" s="21">
        <f>EXP(-LN(2)/25)*CL64+(1-EXP(-LN(2)/25))/(LN(2)/25)*Calculateur!CG65*Calculateur!CI65*VLOOKUP('Données projet'!$B$12,Paramètres!$A$1:$I$89,3,0)*0.475*44/12</f>
        <v>11.185583606453934</v>
      </c>
      <c r="CM65" s="21">
        <f>EXP(-LN(2)/2)*CM64+(1-EXP(-LN(2)/2))/(LN(2)/2)*CG65*CJ65*VLOOKUP('Données projet'!$B$12,Paramètres!$A$1:$I$89,3,0)*0.475*44/12</f>
        <v>0</v>
      </c>
      <c r="CN65" s="22">
        <f t="shared" si="12"/>
        <v>33.413107281427969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5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30.303000000000047</v>
      </c>
      <c r="D66" s="11">
        <f t="shared" si="32"/>
        <v>9.3884254888941534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306.3899511423412</v>
      </c>
      <c r="H66" s="67">
        <f t="shared" si="1"/>
        <v>362.46256605982404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13.179120879120871</v>
      </c>
      <c r="N66" s="13">
        <f>IF('Données projet'!$A$36&gt;35,N65+M66-V65,IF(A66&lt;'Données projet'!$A$36,$K$205^A66,IF(A66='Données projet'!$A$36,'Données projet'!$B$36,N65+M66-V65)))</f>
        <v>382.8329670329673</v>
      </c>
      <c r="O66" s="13">
        <f>N66*VLOOKUP('Données projet'!$B$9,Paramètres!$A$1:$I$89,3,0)*VLOOKUP('Données projet'!$B$9,Paramètres!$A$1:$I$89,5,0)</f>
        <v>184.14265714285727</v>
      </c>
      <c r="P66" s="13">
        <f t="shared" si="33"/>
        <v>46.242626970750891</v>
      </c>
      <c r="Q66" s="20">
        <f t="shared" si="53"/>
        <v>401.25436983120085</v>
      </c>
      <c r="R66" s="59">
        <f t="shared" si="0"/>
        <v>694.5877031645341</v>
      </c>
      <c r="S66" s="59">
        <f ca="1">AVERAGE(OFFSET($R$3,0,0,'Données projet'!$E$9+1,1))-AVERAGE(OFFSET($H$3,0,0,'Données projet'!$E$9+1,1))</f>
        <v>234.10156575337737</v>
      </c>
      <c r="T66" s="59">
        <f t="shared" si="34"/>
        <v>285.68635263076646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62.377321037379488</v>
      </c>
      <c r="AA66" s="21">
        <f>EXP(-LN(2)/25)*AA65+(1-EXP(-LN(2)/25))/(LN(2)/25)*Calculateur!V66*Calculateur!X66*VLOOKUP('Données projet'!$B$9,Paramètres!$A$1:$I$89,3,0)*0.475*44/12</f>
        <v>66.810704202794454</v>
      </c>
      <c r="AB66" s="21">
        <f>EXP(-LN(2)/2)*AB65+(1-EXP(-LN(2)/2))/(LN(2)/2)*V66*Y66*VLOOKUP('Données projet'!$B$9,Paramètres!$A$1:$I$89,3,0)*0.475*44/12</f>
        <v>4.6834398755513296E-4</v>
      </c>
      <c r="AC66" s="22">
        <f t="shared" si="3"/>
        <v>129.18849358416151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0</v>
      </c>
      <c r="AI66" s="13">
        <f>IF('Données projet'!$A$62&gt;35,AI65+AH66-AQ65,IF(A66&lt;'Données projet'!$A$62,$AF$205^A66,IF(A66='Données projet'!$A$62,'Données projet'!$B$62,AI65+AH66-AQ65)))</f>
        <v>0</v>
      </c>
      <c r="AJ66" s="13">
        <f>AI66*VLOOKUP('Données projet'!$B$10,Paramètres!$A$1:$I$89,3,0)*VLOOKUP('Données projet'!$B$10,Paramètres!$A$1:$I$89,5,0)</f>
        <v>0</v>
      </c>
      <c r="AK66" s="13" t="e">
        <f t="shared" si="35"/>
        <v>#NUM!</v>
      </c>
      <c r="AL66" s="20" t="e">
        <f t="shared" si="4"/>
        <v>#NUM!</v>
      </c>
      <c r="AM66" s="59" t="e">
        <f t="shared" si="5"/>
        <v>#NUM!</v>
      </c>
      <c r="AN66" s="59">
        <f ca="1">AVERAGE(OFFSET($AM$3,0,0,'Données projet'!$E$10+1,1))-AVERAGE(OFFSET($H$3,0,0,'Données projet'!$E$10+1,1))</f>
        <v>179.44051550872138</v>
      </c>
      <c r="AO66" s="59">
        <f t="shared" si="36"/>
        <v>272.9500808380069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78.50368270272476</v>
      </c>
      <c r="AV66" s="21">
        <f>EXP(-LN(2)/25)*AV65+(1-EXP(-LN(2)/25))/(LN(2)/25)*Calculateur!AQ66*Calculateur!AS66*VLOOKUP('Données projet'!$B$10,Paramètres!$A$1:$I$89,3,0)*0.475*44/12</f>
        <v>133.07185362939333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211.57553633211808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-1.1368683772161603E-13</v>
      </c>
      <c r="BE66" s="13">
        <f>BD66*VLOOKUP('Données projet'!$B$11,Paramètres!$A$1:$I$89,3,0)*VLOOKUP('Données projet'!$B$11,Paramètres!$A$1:$I$89,5,0)</f>
        <v>-6.3550942286383367E-14</v>
      </c>
      <c r="BF66" s="13" t="e">
        <f t="shared" si="37"/>
        <v>#NUM!</v>
      </c>
      <c r="BG66" s="20" t="e">
        <f t="shared" si="7"/>
        <v>#NUM!</v>
      </c>
      <c r="BH66" s="59" t="e">
        <f t="shared" si="8"/>
        <v>#NUM!</v>
      </c>
      <c r="BI66" s="59">
        <f ca="1">AVERAGE(OFFSET($BH$3,0,0,'Données projet'!$E$11+1,1))-AVERAGE(OFFSET($H$3,0,0,'Données projet'!$E$11+1,1))</f>
        <v>278.5296012747549</v>
      </c>
      <c r="BJ66" s="59">
        <f t="shared" si="38"/>
        <v>370.55343097937077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193.44719513681397</v>
      </c>
      <c r="BQ66" s="21">
        <f>EXP(-LN(2)/25)*BQ65+(1-EXP(-LN(2)/25))/(LN(2)/25)*Calculateur!BL66*Calculateur!BN66*VLOOKUP('Données projet'!$B$11,Paramètres!$A$1:$I$89,3,0)*0.475*44/12</f>
        <v>46.14777747682939</v>
      </c>
      <c r="BR66" s="21">
        <f>EXP(-LN(2)/2)*BR65+(1-EXP(-LN(2)/2))/(LN(2)/2)*BL66*BO66*VLOOKUP('Données projet'!$B$11,Paramètres!$A$1:$I$89,3,0)*0.475*44/12</f>
        <v>2.1350815002570296</v>
      </c>
      <c r="BS66" s="22">
        <f t="shared" si="9"/>
        <v>241.73005411390039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4.4000000000000004</v>
      </c>
      <c r="BY66" s="12">
        <f>IF('Données projet'!$A$114&gt;35,BY65+BX66-CG65,IF(A66&lt;'Données projet'!$A$114,$BV$205^A66,IF(A66='Données projet'!$A$114,'Données projet'!$B$114,BY65+BX66-CG65)))</f>
        <v>246.19999999999985</v>
      </c>
      <c r="BZ66" s="13">
        <f>BY66*VLOOKUP('Données projet'!$B$12,Paramètres!$A$1:$I$89,3,0)*VLOOKUP('Données projet'!$B$12,Paramètres!$A$1:$I$89,5,0)</f>
        <v>195.87671999999989</v>
      </c>
      <c r="CA66" s="13">
        <f t="shared" si="39"/>
        <v>48.836899853879942</v>
      </c>
      <c r="CB66" s="20">
        <f t="shared" si="10"/>
        <v>426.20955457884071</v>
      </c>
      <c r="CC66" s="59">
        <f t="shared" si="11"/>
        <v>719.54288791217402</v>
      </c>
      <c r="CD66" s="59">
        <f ca="1">AVERAGE(OFFSET($CC$3,0,0,'Données projet'!$E$12+1,1))-AVERAGE(OFFSET($H$3,0,0,'Données projet'!$E$12+1,1))</f>
        <v>225.2323446080772</v>
      </c>
      <c r="CE66" s="59">
        <f t="shared" si="40"/>
        <v>222.29030402759292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21.791655493158551</v>
      </c>
      <c r="CL66" s="21">
        <f>EXP(-LN(2)/25)*CL65+(1-EXP(-LN(2)/25))/(LN(2)/25)*Calculateur!CG66*Calculateur!CI66*VLOOKUP('Données projet'!$B$12,Paramètres!$A$1:$I$89,3,0)*0.475*44/12</f>
        <v>10.879713234511174</v>
      </c>
      <c r="CM66" s="21">
        <f>EXP(-LN(2)/2)*CM65+(1-EXP(-LN(2)/2))/(LN(2)/2)*CG66*CJ66*VLOOKUP('Données projet'!$B$12,Paramètres!$A$1:$I$89,3,0)*0.475*44/12</f>
        <v>0</v>
      </c>
      <c r="CN66" s="22">
        <f t="shared" si="12"/>
        <v>32.671368727669723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5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30.784000000000049</v>
      </c>
      <c r="D67" s="11">
        <f t="shared" si="32"/>
        <v>9.5199809505958548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311.11844944319643</v>
      </c>
      <c r="H67" s="67">
        <f t="shared" si="1"/>
        <v>363.52943348895451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13.179120879120871</v>
      </c>
      <c r="N67" s="13">
        <f>IF('Données projet'!$A$36&gt;35,N66+M67-V66,IF(A67&lt;'Données projet'!$A$36,$K$205^A67,IF(A67='Données projet'!$A$36,'Données projet'!$B$36,N66+M67-V66)))</f>
        <v>396.01208791208819</v>
      </c>
      <c r="O67" s="13">
        <f>N67*VLOOKUP('Données projet'!$B$9,Paramètres!$A$1:$I$89,3,0)*VLOOKUP('Données projet'!$B$9,Paramètres!$A$1:$I$89,5,0)</f>
        <v>190.48181428571442</v>
      </c>
      <c r="P67" s="13">
        <f t="shared" si="33"/>
        <v>47.646459442372418</v>
      </c>
      <c r="Q67" s="20">
        <f t="shared" ref="Q67:Q98" si="54">(O67+P67)*0.475*44/12</f>
        <v>414.7400767430845</v>
      </c>
      <c r="R67" s="59">
        <f t="shared" ref="R67:R130" si="55">Q67+(I67+J67)*44/12</f>
        <v>708.07341007641776</v>
      </c>
      <c r="S67" s="59">
        <f ca="1">AVERAGE(OFFSET($R$3,0,0,'Données projet'!$E$9+1,1))-AVERAGE(OFFSET($H$3,0,0,'Données projet'!$E$9+1,1))</f>
        <v>234.10156575337737</v>
      </c>
      <c r="T67" s="59">
        <f t="shared" si="34"/>
        <v>285.68635263076646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61.15413981824554</v>
      </c>
      <c r="AA67" s="21">
        <f>EXP(-LN(2)/25)*AA66+(1-EXP(-LN(2)/25))/(LN(2)/25)*Calculateur!V67*Calculateur!X67*VLOOKUP('Données projet'!$B$9,Paramètres!$A$1:$I$89,3,0)*0.475*44/12</f>
        <v>64.983761982946803</v>
      </c>
      <c r="AB67" s="21">
        <f>EXP(-LN(2)/2)*AB66+(1-EXP(-LN(2)/2))/(LN(2)/2)*V67*Y67*VLOOKUP('Données projet'!$B$9,Paramètres!$A$1:$I$89,3,0)*0.475*44/12</f>
        <v>3.3116920952818254E-4</v>
      </c>
      <c r="AC67" s="22">
        <f t="shared" si="3"/>
        <v>126.13823297040187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0</v>
      </c>
      <c r="AI67" s="13">
        <f>IF('Données projet'!$A$62&gt;35,AI66+AH67-AQ66,IF(A67&lt;'Données projet'!$A$62,$AF$205^A67,IF(A67='Données projet'!$A$62,'Données projet'!$B$62,AI66+AH67-AQ66)))</f>
        <v>0</v>
      </c>
      <c r="AJ67" s="13">
        <f>AI67*VLOOKUP('Données projet'!$B$10,Paramètres!$A$1:$I$89,3,0)*VLOOKUP('Données projet'!$B$10,Paramètres!$A$1:$I$89,5,0)</f>
        <v>0</v>
      </c>
      <c r="AK67" s="13" t="e">
        <f t="shared" si="35"/>
        <v>#NUM!</v>
      </c>
      <c r="AL67" s="20" t="e">
        <f t="shared" si="4"/>
        <v>#NUM!</v>
      </c>
      <c r="AM67" s="59" t="e">
        <f t="shared" si="5"/>
        <v>#NUM!</v>
      </c>
      <c r="AN67" s="59">
        <f ca="1">AVERAGE(OFFSET($AM$3,0,0,'Données projet'!$E$10+1,1))-AVERAGE(OFFSET($H$3,0,0,'Données projet'!$E$10+1,1))</f>
        <v>179.44051550872138</v>
      </c>
      <c r="AO67" s="59">
        <f t="shared" si="36"/>
        <v>272.9500808380069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76.964273367442772</v>
      </c>
      <c r="AV67" s="21">
        <f>EXP(-LN(2)/25)*AV66+(1-EXP(-LN(2)/25))/(LN(2)/25)*Calculateur!AQ67*Calculateur!AS67*VLOOKUP('Données projet'!$B$10,Paramètres!$A$1:$I$89,3,0)*0.475*44/12</f>
        <v>129.43299679395292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206.39727016139568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-1.1368683772161603E-13</v>
      </c>
      <c r="BE67" s="13">
        <f>BD67*VLOOKUP('Données projet'!$B$11,Paramètres!$A$1:$I$89,3,0)*VLOOKUP('Données projet'!$B$11,Paramètres!$A$1:$I$89,5,0)</f>
        <v>-6.3550942286383367E-14</v>
      </c>
      <c r="BF67" s="13" t="e">
        <f t="shared" si="37"/>
        <v>#NUM!</v>
      </c>
      <c r="BG67" s="20" t="e">
        <f t="shared" si="7"/>
        <v>#NUM!</v>
      </c>
      <c r="BH67" s="59" t="e">
        <f t="shared" si="8"/>
        <v>#NUM!</v>
      </c>
      <c r="BI67" s="59">
        <f ca="1">AVERAGE(OFFSET($BH$3,0,0,'Données projet'!$E$11+1,1))-AVERAGE(OFFSET($H$3,0,0,'Données projet'!$E$11+1,1))</f>
        <v>278.5296012747549</v>
      </c>
      <c r="BJ67" s="59">
        <f t="shared" si="38"/>
        <v>370.55343097937077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189.65381363131942</v>
      </c>
      <c r="BQ67" s="21">
        <f>EXP(-LN(2)/25)*BQ66+(1-EXP(-LN(2)/25))/(LN(2)/25)*Calculateur!BL67*Calculateur!BN67*VLOOKUP('Données projet'!$B$11,Paramètres!$A$1:$I$89,3,0)*0.475*44/12</f>
        <v>44.885864074919347</v>
      </c>
      <c r="BR67" s="21">
        <f>EXP(-LN(2)/2)*BR66+(1-EXP(-LN(2)/2))/(LN(2)/2)*BL67*BO67*VLOOKUP('Données projet'!$B$11,Paramètres!$A$1:$I$89,3,0)*0.475*44/12</f>
        <v>1.509730607217693</v>
      </c>
      <c r="BS67" s="22">
        <f t="shared" si="9"/>
        <v>236.04940831345647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4.4000000000000004</v>
      </c>
      <c r="BY67" s="12">
        <f>IF('Données projet'!$A$114&gt;35,BY66+BX67-CG66,IF(A67&lt;'Données projet'!$A$114,$BV$205^A67,IF(A67='Données projet'!$A$114,'Données projet'!$B$114,BY66+BX67-CG66)))</f>
        <v>250.59999999999985</v>
      </c>
      <c r="BZ67" s="13">
        <f>BY67*VLOOKUP('Données projet'!$B$12,Paramètres!$A$1:$I$89,3,0)*VLOOKUP('Données projet'!$B$12,Paramètres!$A$1:$I$89,5,0)</f>
        <v>199.3773599999999</v>
      </c>
      <c r="CA67" s="13">
        <f t="shared" si="39"/>
        <v>49.607305476717762</v>
      </c>
      <c r="CB67" s="20">
        <f t="shared" si="10"/>
        <v>433.64829237194994</v>
      </c>
      <c r="CC67" s="59">
        <f t="shared" si="11"/>
        <v>726.98162570528325</v>
      </c>
      <c r="CD67" s="59">
        <f ca="1">AVERAGE(OFFSET($CC$3,0,0,'Données projet'!$E$12+1,1))-AVERAGE(OFFSET($H$3,0,0,'Données projet'!$E$12+1,1))</f>
        <v>225.2323446080772</v>
      </c>
      <c r="CE67" s="59">
        <f t="shared" si="40"/>
        <v>222.29030402759292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21.364334420535126</v>
      </c>
      <c r="CL67" s="21">
        <f>EXP(-LN(2)/25)*CL66+(1-EXP(-LN(2)/25))/(LN(2)/25)*Calculateur!CG67*Calculateur!CI67*VLOOKUP('Données projet'!$B$12,Paramètres!$A$1:$I$89,3,0)*0.475*44/12</f>
        <v>10.582206903974212</v>
      </c>
      <c r="CM67" s="21">
        <f>EXP(-LN(2)/2)*CM66+(1-EXP(-LN(2)/2))/(LN(2)/2)*CG67*CJ67*VLOOKUP('Données projet'!$B$12,Paramètres!$A$1:$I$89,3,0)*0.475*44/12</f>
        <v>0</v>
      </c>
      <c r="CN67" s="22">
        <f t="shared" si="12"/>
        <v>31.94654132450934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5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31.26500000000005</v>
      </c>
      <c r="D68" s="11">
        <f t="shared" si="32"/>
        <v>9.6512973529679762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315.84510237378828</v>
      </c>
      <c r="H68" s="67">
        <f t="shared" ref="H68:H131" si="56">(B68+E68+F68)*44/12+(C68+D68)*0.475*44/12</f>
        <v>364.59588455641932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13.179120879120871</v>
      </c>
      <c r="N68" s="13">
        <f>IF('Données projet'!$A$36&gt;35,N67+M68-V67,IF(A68&lt;'Données projet'!$A$36,$K$205^A68,IF(A68='Données projet'!$A$36,'Données projet'!$B$36,N67+M68-V67)))</f>
        <v>409.19120879120908</v>
      </c>
      <c r="O68" s="13">
        <f>N68*VLOOKUP('Données projet'!$B$9,Paramètres!$A$1:$I$89,3,0)*VLOOKUP('Données projet'!$B$9,Paramètres!$A$1:$I$89,5,0)</f>
        <v>196.82097142857157</v>
      </c>
      <c r="P68" s="13">
        <f t="shared" si="33"/>
        <v>49.044863286278073</v>
      </c>
      <c r="Q68" s="20">
        <f t="shared" si="54"/>
        <v>428.21632879502982</v>
      </c>
      <c r="R68" s="59">
        <f t="shared" si="55"/>
        <v>721.54966212836314</v>
      </c>
      <c r="S68" s="59">
        <f ca="1">AVERAGE(OFFSET($R$3,0,0,'Données projet'!$E$9+1,1))-AVERAGE(OFFSET($H$3,0,0,'Données projet'!$E$9+1,1))</f>
        <v>234.10156575337737</v>
      </c>
      <c r="T68" s="59">
        <f t="shared" si="34"/>
        <v>285.68635263076646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59.95494443675193</v>
      </c>
      <c r="AA68" s="21">
        <f>EXP(-LN(2)/25)*AA67+(1-EXP(-LN(2)/25))/(LN(2)/25)*Calculateur!V68*Calculateur!X68*VLOOKUP('Données projet'!$B$9,Paramètres!$A$1:$I$89,3,0)*0.475*44/12</f>
        <v>63.206777594175605</v>
      </c>
      <c r="AB68" s="21">
        <f>EXP(-LN(2)/2)*AB67+(1-EXP(-LN(2)/2))/(LN(2)/2)*V68*Y68*VLOOKUP('Données projet'!$B$9,Paramètres!$A$1:$I$89,3,0)*0.475*44/12</f>
        <v>2.3417199377756648E-4</v>
      </c>
      <c r="AC68" s="22">
        <f t="shared" ref="AC68:AC131" si="57">SUM(Z68:AB68)</f>
        <v>123.16195620292132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0</v>
      </c>
      <c r="AI68" s="13">
        <f>IF('Données projet'!$A$62&gt;35,AI67+AH68-AQ67,IF(A68&lt;'Données projet'!$A$62,$AF$205^A68,IF(A68='Données projet'!$A$62,'Données projet'!$B$62,AI67+AH68-AQ67)))</f>
        <v>0</v>
      </c>
      <c r="AJ68" s="13">
        <f>AI68*VLOOKUP('Données projet'!$B$10,Paramètres!$A$1:$I$89,3,0)*VLOOKUP('Données projet'!$B$10,Paramètres!$A$1:$I$89,5,0)</f>
        <v>0</v>
      </c>
      <c r="AK68" s="13" t="e">
        <f t="shared" si="35"/>
        <v>#NUM!</v>
      </c>
      <c r="AL68" s="20" t="e">
        <f t="shared" ref="AL68:AL131" si="58">(AJ68+AK68)*0.475*44/12</f>
        <v>#NUM!</v>
      </c>
      <c r="AM68" s="59" t="e">
        <f t="shared" ref="AM68:AM131" si="59">AL68+(AD68+AE68)*44/12</f>
        <v>#NUM!</v>
      </c>
      <c r="AN68" s="59">
        <f ca="1">AVERAGE(OFFSET($AM$3,0,0,'Données projet'!$E$10+1,1))-AVERAGE(OFFSET($H$3,0,0,'Données projet'!$E$10+1,1))</f>
        <v>179.44051550872138</v>
      </c>
      <c r="AO68" s="59">
        <f t="shared" si="36"/>
        <v>272.9500808380069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75.455050910278686</v>
      </c>
      <c r="AV68" s="21">
        <f>EXP(-LN(2)/25)*AV67+(1-EXP(-LN(2)/25))/(LN(2)/25)*Calculateur!AQ68*Calculateur!AS68*VLOOKUP('Données projet'!$B$10,Paramètres!$A$1:$I$89,3,0)*0.475*44/12</f>
        <v>125.89364469003681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201.34869560031549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-1.1368683772161603E-13</v>
      </c>
      <c r="BE68" s="13">
        <f>BD68*VLOOKUP('Données projet'!$B$11,Paramètres!$A$1:$I$89,3,0)*VLOOKUP('Données projet'!$B$11,Paramètres!$A$1:$I$89,5,0)</f>
        <v>-6.3550942286383367E-14</v>
      </c>
      <c r="BF68" s="13" t="e">
        <f t="shared" si="37"/>
        <v>#NUM!</v>
      </c>
      <c r="BG68" s="20" t="e">
        <f t="shared" ref="BG68:BG131" si="61">(BE68+BF68)*0.475*44/12</f>
        <v>#NUM!</v>
      </c>
      <c r="BH68" s="59" t="e">
        <f t="shared" ref="BH68:BH131" si="62">BG68+(AY68+AZ68)*44/12</f>
        <v>#NUM!</v>
      </c>
      <c r="BI68" s="59">
        <f ca="1">AVERAGE(OFFSET($BH$3,0,0,'Données projet'!$E$11+1,1))-AVERAGE(OFFSET($H$3,0,0,'Données projet'!$E$11+1,1))</f>
        <v>278.5296012747549</v>
      </c>
      <c r="BJ68" s="59">
        <f t="shared" si="38"/>
        <v>370.55343097937077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185.93481802341336</v>
      </c>
      <c r="BQ68" s="21">
        <f>EXP(-LN(2)/25)*BQ67+(1-EXP(-LN(2)/25))/(LN(2)/25)*Calculateur!BL68*Calculateur!BN68*VLOOKUP('Données projet'!$B$11,Paramètres!$A$1:$I$89,3,0)*0.475*44/12</f>
        <v>43.658457761345673</v>
      </c>
      <c r="BR68" s="21">
        <f>EXP(-LN(2)/2)*BR67+(1-EXP(-LN(2)/2))/(LN(2)/2)*BL68*BO68*VLOOKUP('Données projet'!$B$11,Paramètres!$A$1:$I$89,3,0)*0.475*44/12</f>
        <v>1.0675407501285148</v>
      </c>
      <c r="BS68" s="22">
        <f t="shared" ref="BS68:BS131" si="63">SUM(BP68:BR68)</f>
        <v>230.66081653488754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>
        <f>VLOOKUP(A68,'Données projet'!$A$113:$I$133,2,0)</f>
        <v>255</v>
      </c>
      <c r="BW68" s="12">
        <f>VLOOKUP(A68,'Données projet'!$A$113:$I$133,9,0)</f>
        <v>4.4000000000000004</v>
      </c>
      <c r="BX68" s="12">
        <f t="array" ref="BX68">INDEX(BW:BW,MIN(IF(ISNUMBER(BW68:BW264),ROW(BW68:BW264),"")))</f>
        <v>4.4000000000000004</v>
      </c>
      <c r="BY68" s="12">
        <f>IF('Données projet'!$A$114&gt;35,BY67+BX68-CG67,IF(A68&lt;'Données projet'!$A$114,$BV$205^A68,IF(A68='Données projet'!$A$114,'Données projet'!$B$114,BY67+BX68-CG67)))</f>
        <v>254.99999999999986</v>
      </c>
      <c r="BZ68" s="13">
        <f>BY68*VLOOKUP('Données projet'!$B$12,Paramètres!$A$1:$I$89,3,0)*VLOOKUP('Données projet'!$B$12,Paramètres!$A$1:$I$89,5,0)</f>
        <v>202.8779999999999</v>
      </c>
      <c r="CA68" s="13">
        <f t="shared" si="39"/>
        <v>50.376138116990084</v>
      </c>
      <c r="CB68" s="20">
        <f t="shared" ref="CB68:CB131" si="64">(BZ68+CA68)*0.475*44/12</f>
        <v>441.08429055375751</v>
      </c>
      <c r="CC68" s="59">
        <f t="shared" ref="CC68:CC131" si="65">CB68+(BT68+BU68)*44/12</f>
        <v>734.41762388709083</v>
      </c>
      <c r="CD68" s="59">
        <f ca="1">AVERAGE(OFFSET($CC$3,0,0,'Données projet'!$E$12+1,1))-AVERAGE(OFFSET($H$3,0,0,'Données projet'!$E$12+1,1))</f>
        <v>225.2323446080772</v>
      </c>
      <c r="CE68" s="59">
        <f t="shared" si="40"/>
        <v>222.29030402759292</v>
      </c>
      <c r="CF68" s="15">
        <f>IF(ISNA(VLOOKUP(A68,'Données projet'!$A$113:$I$133,3,0)),0,VLOOKUP(A68,'Données projet'!$A$113:$I$133,3,0))</f>
        <v>11</v>
      </c>
      <c r="CG68" s="15">
        <f>IF(ISNA(VLOOKUP(A68,'Données projet'!$A$113:$I$133,4,0)),0,VLOOKUP(A68,'Données projet'!$A$113:$I$133,4,0))</f>
        <v>11</v>
      </c>
      <c r="CH68" s="16">
        <f>IF(ISNA(VLOOKUP(A68,'Données projet'!$A$113:$I$133,5,0)),0%,VLOOKUP(A68,'Données projet'!$A$113:$I$133,5,0)*VLOOKUP('Données projet'!$B$12,Paramètres!$A$1:$I$89,7,0))</f>
        <v>0.43459999999999999</v>
      </c>
      <c r="CI68" s="16">
        <f>IF(ISNA(VLOOKUP(A68,'Données projet'!$A$113:$I$133,6,0)),0%,VLOOKUP(A68,'Données projet'!$A$113:$I$133,6,0)*VLOOKUP('Données projet'!$B$12,Paramètres!$A$1:$I$89,7,0))</f>
        <v>4.7699999999999999E-2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25.149989039157767</v>
      </c>
      <c r="CL68" s="21">
        <f>EXP(-LN(2)/25)*CL67+(1-EXP(-LN(2)/25))/(LN(2)/25)*Calculateur!CG68*Calculateur!CI68*VLOOKUP('Données projet'!$B$12,Paramètres!$A$1:$I$89,3,0)*0.475*44/12</f>
        <v>10.75249894597793</v>
      </c>
      <c r="CM68" s="21">
        <f>EXP(-LN(2)/2)*CM67+(1-EXP(-LN(2)/2))/(LN(2)/2)*CG68*CJ68*VLOOKUP('Données projet'!$B$12,Paramètres!$A$1:$I$89,3,0)*0.475*44/12</f>
        <v>0</v>
      </c>
      <c r="CN68" s="22">
        <f t="shared" ref="CN68:CN131" si="66">SUM(CK68:CM68)</f>
        <v>35.902487985135693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5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31.746000000000052</v>
      </c>
      <c r="D69" s="11">
        <f t="shared" ref="D69:D132" si="86">IFERROR(EXP(-1.0587+0.8836*LN(C69)+0.284),0)</f>
        <v>9.7823787985981756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320.56994160321437</v>
      </c>
      <c r="H69" s="67">
        <f t="shared" si="56"/>
        <v>365.66192640755855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13.179120879120871</v>
      </c>
      <c r="N69" s="13">
        <f>IF('Données projet'!$A$36&gt;35,N68+M69-V68,IF(A69&lt;'Données projet'!$A$36,$K$205^A69,IF(A69='Données projet'!$A$36,'Données projet'!$B$36,N68+M69-V68)))</f>
        <v>422.37032967032997</v>
      </c>
      <c r="O69" s="13">
        <f>N69*VLOOKUP('Données projet'!$B$9,Paramètres!$A$1:$I$89,3,0)*VLOOKUP('Données projet'!$B$9,Paramètres!$A$1:$I$89,5,0)</f>
        <v>203.16012857142871</v>
      </c>
      <c r="P69" s="13">
        <f t="shared" ref="P69:P132" si="87">EXP(-1.0587+0.8836*LN(O69)+0.284)</f>
        <v>50.438033401041395</v>
      </c>
      <c r="Q69" s="20">
        <f t="shared" si="54"/>
        <v>441.68346543538541</v>
      </c>
      <c r="R69" s="59">
        <f t="shared" si="55"/>
        <v>735.01679876871867</v>
      </c>
      <c r="S69" s="59">
        <f ca="1">AVERAGE(OFFSET($R$3,0,0,'Données projet'!$E$9+1,1))-AVERAGE(OFFSET($H$3,0,0,'Données projet'!$E$9+1,1))</f>
        <v>234.10156575337737</v>
      </c>
      <c r="T69" s="59">
        <f t="shared" ref="T69:T132" si="88">$T$3</f>
        <v>285.68635263076646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58.779264545252452</v>
      </c>
      <c r="AA69" s="21">
        <f>EXP(-LN(2)/25)*AA68+(1-EXP(-LN(2)/25))/(LN(2)/25)*Calculateur!V69*Calculateur!X69*VLOOKUP('Données projet'!$B$9,Paramètres!$A$1:$I$89,3,0)*0.475*44/12</f>
        <v>61.478384936962904</v>
      </c>
      <c r="AB69" s="21">
        <f>EXP(-LN(2)/2)*AB68+(1-EXP(-LN(2)/2))/(LN(2)/2)*V69*Y69*VLOOKUP('Données projet'!$B$9,Paramètres!$A$1:$I$89,3,0)*0.475*44/12</f>
        <v>1.6558460476409127E-4</v>
      </c>
      <c r="AC69" s="22">
        <f t="shared" si="57"/>
        <v>120.25781506682011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0</v>
      </c>
      <c r="AJ69" s="13">
        <f>AI69*VLOOKUP('Données projet'!$B$10,Paramètres!$A$1:$I$89,3,0)*VLOOKUP('Données projet'!$B$10,Paramètres!$A$1:$I$89,5,0)</f>
        <v>0</v>
      </c>
      <c r="AK69" s="13" t="e">
        <f t="shared" ref="AK69:AK132" si="89">EXP(-1.0587+0.8836*LN(AJ69)+0.284)</f>
        <v>#NUM!</v>
      </c>
      <c r="AL69" s="20" t="e">
        <f t="shared" si="58"/>
        <v>#NUM!</v>
      </c>
      <c r="AM69" s="59" t="e">
        <f t="shared" si="59"/>
        <v>#NUM!</v>
      </c>
      <c r="AN69" s="59">
        <f ca="1">AVERAGE(OFFSET($AM$3,0,0,'Données projet'!$E$10+1,1))-AVERAGE(OFFSET($H$3,0,0,'Données projet'!$E$10+1,1))</f>
        <v>179.44051550872138</v>
      </c>
      <c r="AO69" s="59">
        <f t="shared" ref="AO69:AO132" si="90">$AO$3</f>
        <v>272.9500808380069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73.975423384964785</v>
      </c>
      <c r="AV69" s="21">
        <f>EXP(-LN(2)/25)*AV68+(1-EXP(-LN(2)/25))/(LN(2)/25)*Calculateur!AQ69*Calculateur!AS69*VLOOKUP('Données projet'!$B$10,Paramètres!$A$1:$I$89,3,0)*0.475*44/12</f>
        <v>122.45107635552871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196.42649974049351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-1.1368683772161603E-13</v>
      </c>
      <c r="BE69" s="13">
        <f>BD69*VLOOKUP('Données projet'!$B$11,Paramètres!$A$1:$I$89,3,0)*VLOOKUP('Données projet'!$B$11,Paramètres!$A$1:$I$89,5,0)</f>
        <v>-6.3550942286383367E-14</v>
      </c>
      <c r="BF69" s="13" t="e">
        <f t="shared" ref="BF69:BF132" si="91">EXP(-1.0587+0.8836*LN(BE69)+0.284)</f>
        <v>#NUM!</v>
      </c>
      <c r="BG69" s="20" t="e">
        <f t="shared" si="61"/>
        <v>#NUM!</v>
      </c>
      <c r="BH69" s="59" t="e">
        <f t="shared" si="62"/>
        <v>#NUM!</v>
      </c>
      <c r="BI69" s="59">
        <f ca="1">AVERAGE(OFFSET($BH$3,0,0,'Données projet'!$E$11+1,1))-AVERAGE(OFFSET($H$3,0,0,'Données projet'!$E$11+1,1))</f>
        <v>278.5296012747549</v>
      </c>
      <c r="BJ69" s="59">
        <f t="shared" ref="BJ69:BJ132" si="92">$BJ$3</f>
        <v>370.55343097937077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182.288749651015</v>
      </c>
      <c r="BQ69" s="21">
        <f>EXP(-LN(2)/25)*BQ68+(1-EXP(-LN(2)/25))/(LN(2)/25)*Calculateur!BL69*Calculateur!BN69*VLOOKUP('Données projet'!$B$11,Paramètres!$A$1:$I$89,3,0)*0.475*44/12</f>
        <v>42.464614937963162</v>
      </c>
      <c r="BR69" s="21">
        <f>EXP(-LN(2)/2)*BR68+(1-EXP(-LN(2)/2))/(LN(2)/2)*BL69*BO69*VLOOKUP('Données projet'!$B$11,Paramètres!$A$1:$I$89,3,0)*0.475*44/12</f>
        <v>0.75486530360884652</v>
      </c>
      <c r="BS69" s="22">
        <f t="shared" si="63"/>
        <v>225.50822989258702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3.8</v>
      </c>
      <c r="BY69" s="12">
        <f>IF('Données projet'!$A$114&gt;35,BY68+BX69-CG68,IF(A69&lt;'Données projet'!$A$114,$BV$205^A69,IF(A69='Données projet'!$A$114,'Données projet'!$B$114,BY68+BX69-CG68)))</f>
        <v>247.79999999999984</v>
      </c>
      <c r="BZ69" s="13">
        <f>BY69*VLOOKUP('Données projet'!$B$12,Paramètres!$A$1:$I$89,3,0)*VLOOKUP('Données projet'!$B$12,Paramètres!$A$1:$I$89,5,0)</f>
        <v>197.14967999999988</v>
      </c>
      <c r="CA69" s="13">
        <f t="shared" ref="CA69:CA132" si="93">EXP(-1.0587+0.8836*LN(BZ69)+0.284)</f>
        <v>49.11723130862363</v>
      </c>
      <c r="CB69" s="20">
        <f t="shared" si="64"/>
        <v>428.91487052918592</v>
      </c>
      <c r="CC69" s="59">
        <f t="shared" si="65"/>
        <v>722.24820386251918</v>
      </c>
      <c r="CD69" s="59">
        <f ca="1">AVERAGE(OFFSET($CC$3,0,0,'Données projet'!$E$12+1,1))-AVERAGE(OFFSET($H$3,0,0,'Données projet'!$E$12+1,1))</f>
        <v>225.2323446080772</v>
      </c>
      <c r="CE69" s="59">
        <f t="shared" ref="CE69:CE132" si="94">$CE$3</f>
        <v>222.29030402759292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24.656813094078501</v>
      </c>
      <c r="CL69" s="21">
        <f>EXP(-LN(2)/25)*CL68+(1-EXP(-LN(2)/25))/(LN(2)/25)*Calculateur!CG69*Calculateur!CI69*VLOOKUP('Données projet'!$B$12,Paramètres!$A$1:$I$89,3,0)*0.475*44/12</f>
        <v>10.458471296850819</v>
      </c>
      <c r="CM69" s="21">
        <f>EXP(-LN(2)/2)*CM68+(1-EXP(-LN(2)/2))/(LN(2)/2)*CG69*CJ69*VLOOKUP('Données projet'!$B$12,Paramètres!$A$1:$I$89,3,0)*0.475*44/12</f>
        <v>0</v>
      </c>
      <c r="CN69" s="22">
        <f t="shared" si="66"/>
        <v>35.115284390929318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5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32.227000000000054</v>
      </c>
      <c r="D70" s="11">
        <f t="shared" si="86"/>
        <v>9.9132292586187312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325.29299778582924</v>
      </c>
      <c r="H70" s="67">
        <f t="shared" si="56"/>
        <v>366.72756595876103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13.179120879120871</v>
      </c>
      <c r="N70" s="13">
        <f>IF('Données projet'!$A$36&gt;35,N69+M70-V69,IF(A70&lt;'Données projet'!$A$36,$K$205^A70,IF(A70='Données projet'!$A$36,'Données projet'!$B$36,N69+M70-V69)))</f>
        <v>435.54945054945085</v>
      </c>
      <c r="O70" s="13">
        <f>N70*VLOOKUP('Données projet'!$B$9,Paramètres!$A$1:$I$89,3,0)*VLOOKUP('Données projet'!$B$9,Paramètres!$A$1:$I$89,5,0)</f>
        <v>209.49928571428586</v>
      </c>
      <c r="P70" s="13">
        <f t="shared" si="87"/>
        <v>51.826151831633076</v>
      </c>
      <c r="Q70" s="20">
        <f t="shared" si="54"/>
        <v>455.14180372580881</v>
      </c>
      <c r="R70" s="59">
        <f t="shared" si="55"/>
        <v>748.47513705914207</v>
      </c>
      <c r="S70" s="59">
        <f ca="1">AVERAGE(OFFSET($R$3,0,0,'Données projet'!$E$9+1,1))-AVERAGE(OFFSET($H$3,0,0,'Données projet'!$E$9+1,1))</f>
        <v>234.10156575337737</v>
      </c>
      <c r="T70" s="59">
        <f t="shared" si="88"/>
        <v>285.68635263076646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57.62663901933135</v>
      </c>
      <c r="AA70" s="21">
        <f>EXP(-LN(2)/25)*AA69+(1-EXP(-LN(2)/25))/(LN(2)/25)*Calculateur!V70*Calculateur!X70*VLOOKUP('Données projet'!$B$9,Paramètres!$A$1:$I$89,3,0)*0.475*44/12</f>
        <v>59.797255267853899</v>
      </c>
      <c r="AB70" s="21">
        <f>EXP(-LN(2)/2)*AB69+(1-EXP(-LN(2)/2))/(LN(2)/2)*V70*Y70*VLOOKUP('Données projet'!$B$9,Paramètres!$A$1:$I$89,3,0)*0.475*44/12</f>
        <v>1.1708599688878324E-4</v>
      </c>
      <c r="AC70" s="22">
        <f t="shared" si="57"/>
        <v>117.42401137318214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0</v>
      </c>
      <c r="AJ70" s="13">
        <f>AI70*VLOOKUP('Données projet'!$B$10,Paramètres!$A$1:$I$89,3,0)*VLOOKUP('Données projet'!$B$10,Paramètres!$A$1:$I$89,5,0)</f>
        <v>0</v>
      </c>
      <c r="AK70" s="13" t="e">
        <f t="shared" si="89"/>
        <v>#NUM!</v>
      </c>
      <c r="AL70" s="20" t="e">
        <f t="shared" si="58"/>
        <v>#NUM!</v>
      </c>
      <c r="AM70" s="59" t="e">
        <f t="shared" si="59"/>
        <v>#NUM!</v>
      </c>
      <c r="AN70" s="59">
        <f ca="1">AVERAGE(OFFSET($AM$3,0,0,'Données projet'!$E$10+1,1))-AVERAGE(OFFSET($H$3,0,0,'Données projet'!$E$10+1,1))</f>
        <v>179.44051550872138</v>
      </c>
      <c r="AO70" s="59">
        <f t="shared" si="90"/>
        <v>272.9500808380069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72.52481045293861</v>
      </c>
      <c r="AV70" s="21">
        <f>EXP(-LN(2)/25)*AV69+(1-EXP(-LN(2)/25))/(LN(2)/25)*Calculateur!AQ70*Calculateur!AS70*VLOOKUP('Données projet'!$B$10,Paramètres!$A$1:$I$89,3,0)*0.475*44/12</f>
        <v>119.10264523316454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191.62745568610313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-1.1368683772161603E-13</v>
      </c>
      <c r="BE70" s="13">
        <f>BD70*VLOOKUP('Données projet'!$B$11,Paramètres!$A$1:$I$89,3,0)*VLOOKUP('Données projet'!$B$11,Paramètres!$A$1:$I$89,5,0)</f>
        <v>-6.3550942286383367E-14</v>
      </c>
      <c r="BF70" s="13" t="e">
        <f t="shared" si="91"/>
        <v>#NUM!</v>
      </c>
      <c r="BG70" s="20" t="e">
        <f t="shared" si="61"/>
        <v>#NUM!</v>
      </c>
      <c r="BH70" s="59" t="e">
        <f t="shared" si="62"/>
        <v>#NUM!</v>
      </c>
      <c r="BI70" s="59">
        <f ca="1">AVERAGE(OFFSET($BH$3,0,0,'Données projet'!$E$11+1,1))-AVERAGE(OFFSET($H$3,0,0,'Données projet'!$E$11+1,1))</f>
        <v>278.5296012747549</v>
      </c>
      <c r="BJ70" s="59">
        <f t="shared" si="92"/>
        <v>370.55343097937077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178.71417845551724</v>
      </c>
      <c r="BQ70" s="21">
        <f>EXP(-LN(2)/25)*BQ69+(1-EXP(-LN(2)/25))/(LN(2)/25)*Calculateur!BL70*Calculateur!BN70*VLOOKUP('Données projet'!$B$11,Paramètres!$A$1:$I$89,3,0)*0.475*44/12</f>
        <v>41.303417809367517</v>
      </c>
      <c r="BR70" s="21">
        <f>EXP(-LN(2)/2)*BR69+(1-EXP(-LN(2)/2))/(LN(2)/2)*BL70*BO70*VLOOKUP('Données projet'!$B$11,Paramètres!$A$1:$I$89,3,0)*0.475*44/12</f>
        <v>0.5337703750642574</v>
      </c>
      <c r="BS70" s="22">
        <f t="shared" si="63"/>
        <v>220.55136663994901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3.8</v>
      </c>
      <c r="BY70" s="12">
        <f>IF('Données projet'!$A$114&gt;35,BY69+BX70-CG69,IF(A70&lt;'Données projet'!$A$114,$BV$205^A70,IF(A70='Données projet'!$A$114,'Données projet'!$B$114,BY69+BX70-CG69)))</f>
        <v>251.59999999999985</v>
      </c>
      <c r="BZ70" s="13">
        <f>BY70*VLOOKUP('Données projet'!$B$12,Paramètres!$A$1:$I$89,3,0)*VLOOKUP('Données projet'!$B$12,Paramètres!$A$1:$I$89,5,0)</f>
        <v>200.17295999999988</v>
      </c>
      <c r="CA70" s="13">
        <f t="shared" si="93"/>
        <v>49.782177185855986</v>
      </c>
      <c r="CB70" s="20">
        <f t="shared" si="64"/>
        <v>435.33853059869892</v>
      </c>
      <c r="CC70" s="59">
        <f t="shared" si="65"/>
        <v>728.67186393203224</v>
      </c>
      <c r="CD70" s="59">
        <f ca="1">AVERAGE(OFFSET($CC$3,0,0,'Données projet'!$E$12+1,1))-AVERAGE(OFFSET($H$3,0,0,'Données projet'!$E$12+1,1))</f>
        <v>225.2323446080772</v>
      </c>
      <c r="CE70" s="59">
        <f t="shared" si="94"/>
        <v>222.29030402759292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24.173308028474615</v>
      </c>
      <c r="CL70" s="21">
        <f>EXP(-LN(2)/25)*CL69+(1-EXP(-LN(2)/25))/(LN(2)/25)*Calculateur!CG70*Calculateur!CI70*VLOOKUP('Données projet'!$B$12,Paramètres!$A$1:$I$89,3,0)*0.475*44/12</f>
        <v>10.17248384925133</v>
      </c>
      <c r="CM70" s="21">
        <f>EXP(-LN(2)/2)*CM69+(1-EXP(-LN(2)/2))/(LN(2)/2)*CG70*CJ70*VLOOKUP('Données projet'!$B$12,Paramètres!$A$1:$I$89,3,0)*0.475*44/12</f>
        <v>0</v>
      </c>
      <c r="CN70" s="22">
        <f t="shared" si="66"/>
        <v>34.345791877725944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5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32.708000000000055</v>
      </c>
      <c r="D71" s="11">
        <f t="shared" si="86"/>
        <v>10.043852578816578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330.01430060840909</v>
      </c>
      <c r="H71" s="67">
        <f t="shared" si="56"/>
        <v>367.7928099081056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13.179120879120871</v>
      </c>
      <c r="N71" s="13">
        <f>IF('Données projet'!$A$36&gt;35,N70+M71-V70,IF(A71&lt;'Données projet'!$A$36,$K$205^A71,IF(A71='Données projet'!$A$36,'Données projet'!$B$36,N70+M71-V70)))</f>
        <v>448.72857142857174</v>
      </c>
      <c r="O71" s="13">
        <f>N71*VLOOKUP('Données projet'!$B$9,Paramètres!$A$1:$I$89,3,0)*VLOOKUP('Données projet'!$B$9,Paramètres!$A$1:$I$89,5,0)</f>
        <v>215.83844285714301</v>
      </c>
      <c r="P71" s="13">
        <f t="shared" si="87"/>
        <v>53.209388980108393</v>
      </c>
      <c r="Q71" s="20">
        <f t="shared" si="54"/>
        <v>468.59164044987955</v>
      </c>
      <c r="R71" s="59">
        <f t="shared" si="55"/>
        <v>761.92497378321286</v>
      </c>
      <c r="S71" s="59">
        <f ca="1">AVERAGE(OFFSET($R$3,0,0,'Données projet'!$E$9+1,1))-AVERAGE(OFFSET($H$3,0,0,'Données projet'!$E$9+1,1))</f>
        <v>234.10156575337737</v>
      </c>
      <c r="T71" s="59">
        <f t="shared" si="88"/>
        <v>285.68635263076646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56.496615776941411</v>
      </c>
      <c r="AA71" s="21">
        <f>EXP(-LN(2)/25)*AA70+(1-EXP(-LN(2)/25))/(LN(2)/25)*Calculateur!V71*Calculateur!X71*VLOOKUP('Données projet'!$B$9,Paramètres!$A$1:$I$89,3,0)*0.475*44/12</f>
        <v>58.162096177953451</v>
      </c>
      <c r="AB71" s="21">
        <f>EXP(-LN(2)/2)*AB70+(1-EXP(-LN(2)/2))/(LN(2)/2)*V71*Y71*VLOOKUP('Données projet'!$B$9,Paramètres!$A$1:$I$89,3,0)*0.475*44/12</f>
        <v>8.2792302382045634E-5</v>
      </c>
      <c r="AC71" s="22">
        <f t="shared" si="57"/>
        <v>114.65879474719725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0</v>
      </c>
      <c r="AJ71" s="13">
        <f>AI71*VLOOKUP('Données projet'!$B$10,Paramètres!$A$1:$I$89,3,0)*VLOOKUP('Données projet'!$B$10,Paramètres!$A$1:$I$89,5,0)</f>
        <v>0</v>
      </c>
      <c r="AK71" s="13" t="e">
        <f t="shared" si="89"/>
        <v>#NUM!</v>
      </c>
      <c r="AL71" s="20" t="e">
        <f t="shared" si="58"/>
        <v>#NUM!</v>
      </c>
      <c r="AM71" s="59" t="e">
        <f t="shared" si="59"/>
        <v>#NUM!</v>
      </c>
      <c r="AN71" s="59">
        <f ca="1">AVERAGE(OFFSET($AM$3,0,0,'Données projet'!$E$10+1,1))-AVERAGE(OFFSET($H$3,0,0,'Données projet'!$E$10+1,1))</f>
        <v>179.44051550872138</v>
      </c>
      <c r="AO71" s="59">
        <f t="shared" si="90"/>
        <v>272.9500808380069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71.102643155722944</v>
      </c>
      <c r="AV71" s="21">
        <f>EXP(-LN(2)/25)*AV70+(1-EXP(-LN(2)/25))/(LN(2)/25)*Calculateur!AQ71*Calculateur!AS71*VLOOKUP('Données projet'!$B$10,Paramètres!$A$1:$I$89,3,0)*0.475*44/12</f>
        <v>115.84577713592775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186.94842029165068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-1.1368683772161603E-13</v>
      </c>
      <c r="BE71" s="13">
        <f>BD71*VLOOKUP('Données projet'!$B$11,Paramètres!$A$1:$I$89,3,0)*VLOOKUP('Données projet'!$B$11,Paramètres!$A$1:$I$89,5,0)</f>
        <v>-6.3550942286383367E-14</v>
      </c>
      <c r="BF71" s="13" t="e">
        <f t="shared" si="91"/>
        <v>#NUM!</v>
      </c>
      <c r="BG71" s="20" t="e">
        <f t="shared" si="61"/>
        <v>#NUM!</v>
      </c>
      <c r="BH71" s="59" t="e">
        <f t="shared" si="62"/>
        <v>#NUM!</v>
      </c>
      <c r="BI71" s="59">
        <f ca="1">AVERAGE(OFFSET($BH$3,0,0,'Données projet'!$E$11+1,1))-AVERAGE(OFFSET($H$3,0,0,'Données projet'!$E$11+1,1))</f>
        <v>278.5296012747549</v>
      </c>
      <c r="BJ71" s="59">
        <f t="shared" si="92"/>
        <v>370.55343097937077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175.20970242089007</v>
      </c>
      <c r="BQ71" s="21">
        <f>EXP(-LN(2)/25)*BQ70+(1-EXP(-LN(2)/25))/(LN(2)/25)*Calculateur!BL71*Calculateur!BN71*VLOOKUP('Données projet'!$B$11,Paramètres!$A$1:$I$89,3,0)*0.475*44/12</f>
        <v>40.173973677318017</v>
      </c>
      <c r="BR71" s="21">
        <f>EXP(-LN(2)/2)*BR70+(1-EXP(-LN(2)/2))/(LN(2)/2)*BL71*BO71*VLOOKUP('Données projet'!$B$11,Paramètres!$A$1:$I$89,3,0)*0.475*44/12</f>
        <v>0.37743265180442326</v>
      </c>
      <c r="BS71" s="22">
        <f t="shared" si="63"/>
        <v>215.76110875001248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3.8</v>
      </c>
      <c r="BY71" s="12">
        <f>IF('Données projet'!$A$114&gt;35,BY70+BX71-CG70,IF(A71&lt;'Données projet'!$A$114,$BV$205^A71,IF(A71='Données projet'!$A$114,'Données projet'!$B$114,BY70+BX71-CG70)))</f>
        <v>255.39999999999986</v>
      </c>
      <c r="BZ71" s="13">
        <f>BY71*VLOOKUP('Données projet'!$B$12,Paramètres!$A$1:$I$89,3,0)*VLOOKUP('Données projet'!$B$12,Paramètres!$A$1:$I$89,5,0)</f>
        <v>203.1962399999999</v>
      </c>
      <c r="CA71" s="13">
        <f t="shared" si="93"/>
        <v>50.445955049216174</v>
      </c>
      <c r="CB71" s="20">
        <f t="shared" si="64"/>
        <v>441.76015637738465</v>
      </c>
      <c r="CC71" s="59">
        <f t="shared" si="65"/>
        <v>735.0934897107179</v>
      </c>
      <c r="CD71" s="59">
        <f ca="1">AVERAGE(OFFSET($CC$3,0,0,'Données projet'!$E$12+1,1))-AVERAGE(OFFSET($H$3,0,0,'Données projet'!$E$12+1,1))</f>
        <v>225.2323446080772</v>
      </c>
      <c r="CE71" s="59">
        <f t="shared" si="94"/>
        <v>222.29030402759292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23.699284202298252</v>
      </c>
      <c r="CL71" s="21">
        <f>EXP(-LN(2)/25)*CL70+(1-EXP(-LN(2)/25))/(LN(2)/25)*Calculateur!CG71*Calculateur!CI71*VLOOKUP('Données projet'!$B$12,Paramètres!$A$1:$I$89,3,0)*0.475*44/12</f>
        <v>9.8943167434458772</v>
      </c>
      <c r="CM71" s="21">
        <f>EXP(-LN(2)/2)*CM70+(1-EXP(-LN(2)/2))/(LN(2)/2)*CG71*CJ71*VLOOKUP('Données projet'!$B$12,Paramètres!$A$1:$I$89,3,0)*0.475*44/12</f>
        <v>0</v>
      </c>
      <c r="CN71" s="22">
        <f t="shared" si="66"/>
        <v>33.593600945744129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5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33.189000000000057</v>
      </c>
      <c r="D72" s="11">
        <f t="shared" si="86"/>
        <v>10.174252485373691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334.73387883446406</v>
      </c>
      <c r="H72" s="67">
        <f t="shared" si="56"/>
        <v>368.85766474535927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>
        <f>VLOOKUP(A72,'Données projet'!$A$35:$I$55,2,0)</f>
        <v>461.90769230769229</v>
      </c>
      <c r="L72" s="12">
        <f>VLOOKUP(A72,'Données projet'!$A$35:$I$55,9,0)</f>
        <v>13.179120879120871</v>
      </c>
      <c r="M72" s="12">
        <f t="array" ref="M72">INDEX(L:L,MIN(IF(ISNUMBER(L72:L268),ROW(L72:L268),"")))</f>
        <v>13.179120879120871</v>
      </c>
      <c r="N72" s="13">
        <f>IF('Données projet'!$A$36&gt;35,N71+M72-V71,IF(A72&lt;'Données projet'!$A$36,$K$205^A72,IF(A72='Données projet'!$A$36,'Données projet'!$B$36,N71+M72-V71)))</f>
        <v>461.90769230769263</v>
      </c>
      <c r="O72" s="13">
        <f>N72*VLOOKUP('Données projet'!$B$9,Paramètres!$A$1:$I$89,3,0)*VLOOKUP('Données projet'!$B$9,Paramètres!$A$1:$I$89,5,0)</f>
        <v>222.17760000000018</v>
      </c>
      <c r="P72" s="13">
        <f t="shared" si="87"/>
        <v>54.587904670066862</v>
      </c>
      <c r="Q72" s="20">
        <f t="shared" si="54"/>
        <v>482.03325396703349</v>
      </c>
      <c r="R72" s="59">
        <f t="shared" si="55"/>
        <v>775.36658730036675</v>
      </c>
      <c r="S72" s="59">
        <f ca="1">AVERAGE(OFFSET($R$3,0,0,'Données projet'!$E$9+1,1))-AVERAGE(OFFSET($H$3,0,0,'Données projet'!$E$9+1,1))</f>
        <v>234.10156575337737</v>
      </c>
      <c r="T72" s="59">
        <f t="shared" si="88"/>
        <v>285.68635263076646</v>
      </c>
      <c r="U72" s="15">
        <f>IF(ISNA(VLOOKUP(A72,'Données projet'!$A$35:$I$55,3,0)),0,VLOOKUP(A72,'Données projet'!$A$35:$I$55,3,0))</f>
        <v>8</v>
      </c>
      <c r="V72" s="15">
        <f>IF(ISNA(VLOOKUP(A72,'Données projet'!$A$35:$I$55,4,0)),0,VLOOKUP(A72,'Données projet'!$A$35:$I$55,4,0))</f>
        <v>93.461538461538453</v>
      </c>
      <c r="W72" s="16">
        <f>IF(ISNA(VLOOKUP(A72,'Données projet'!$A$35:$I$55,5,0)),0%,VLOOKUP(A72,'Données projet'!$A$35:$I$55,5,0)*VLOOKUP('Données projet'!$B$9,Paramètres!$A$1:$I$89,7,0))</f>
        <v>0.38500000000000001</v>
      </c>
      <c r="X72" s="16">
        <f>IF(ISNA(VLOOKUP(A72,'Données projet'!$A$35:$I$55,6,0)),0%,VLOOKUP(A72,'Données projet'!$A$35:$I$55,6,0)*VLOOKUP('Données projet'!$B$9,Paramètres!$A$1:$I$89,7,0))</f>
        <v>0.16500000000000001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78.34849806238816</v>
      </c>
      <c r="AA72" s="21">
        <f>EXP(-LN(2)/25)*AA71+(1-EXP(-LN(2)/25))/(LN(2)/25)*Calculateur!V72*Calculateur!X72*VLOOKUP('Données projet'!$B$9,Paramètres!$A$1:$I$89,3,0)*0.475*44/12</f>
        <v>66.372798538412241</v>
      </c>
      <c r="AB72" s="21">
        <f>EXP(-LN(2)/2)*AB71+(1-EXP(-LN(2)/2))/(LN(2)/2)*V72*Y72*VLOOKUP('Données projet'!$B$9,Paramètres!$A$1:$I$89,3,0)*0.475*44/12</f>
        <v>5.8542998444391621E-5</v>
      </c>
      <c r="AC72" s="22">
        <f t="shared" si="57"/>
        <v>144.72135514379883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0</v>
      </c>
      <c r="AJ72" s="13">
        <f>AI72*VLOOKUP('Données projet'!$B$10,Paramètres!$A$1:$I$89,3,0)*VLOOKUP('Données projet'!$B$10,Paramètres!$A$1:$I$89,5,0)</f>
        <v>0</v>
      </c>
      <c r="AK72" s="13" t="e">
        <f t="shared" si="89"/>
        <v>#NUM!</v>
      </c>
      <c r="AL72" s="20" t="e">
        <f t="shared" si="58"/>
        <v>#NUM!</v>
      </c>
      <c r="AM72" s="59" t="e">
        <f t="shared" si="59"/>
        <v>#NUM!</v>
      </c>
      <c r="AN72" s="59">
        <f ca="1">AVERAGE(OFFSET($AM$3,0,0,'Données projet'!$E$10+1,1))-AVERAGE(OFFSET($H$3,0,0,'Données projet'!$E$10+1,1))</f>
        <v>179.44051550872138</v>
      </c>
      <c r="AO72" s="59">
        <f t="shared" si="90"/>
        <v>272.9500808380069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69.708363691769279</v>
      </c>
      <c r="AV72" s="21">
        <f>EXP(-LN(2)/25)*AV71+(1-EXP(-LN(2)/25))/(LN(2)/25)*Calculateur!AQ72*Calculateur!AS72*VLOOKUP('Données projet'!$B$10,Paramètres!$A$1:$I$89,3,0)*0.475*44/12</f>
        <v>112.67796826808116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182.38633195985045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-1.1368683772161603E-13</v>
      </c>
      <c r="BE72" s="13">
        <f>BD72*VLOOKUP('Données projet'!$B$11,Paramètres!$A$1:$I$89,3,0)*VLOOKUP('Données projet'!$B$11,Paramètres!$A$1:$I$89,5,0)</f>
        <v>-6.3550942286383367E-14</v>
      </c>
      <c r="BF72" s="13" t="e">
        <f t="shared" si="91"/>
        <v>#NUM!</v>
      </c>
      <c r="BG72" s="20" t="e">
        <f t="shared" si="61"/>
        <v>#NUM!</v>
      </c>
      <c r="BH72" s="59" t="e">
        <f t="shared" si="62"/>
        <v>#NUM!</v>
      </c>
      <c r="BI72" s="59">
        <f ca="1">AVERAGE(OFFSET($BH$3,0,0,'Données projet'!$E$11+1,1))-AVERAGE(OFFSET($H$3,0,0,'Données projet'!$E$11+1,1))</f>
        <v>278.5296012747549</v>
      </c>
      <c r="BJ72" s="59">
        <f t="shared" si="92"/>
        <v>370.55343097937077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171.77394702378263</v>
      </c>
      <c r="BQ72" s="21">
        <f>EXP(-LN(2)/25)*BQ71+(1-EXP(-LN(2)/25))/(LN(2)/25)*Calculateur!BL72*Calculateur!BN72*VLOOKUP('Données projet'!$B$11,Paramètres!$A$1:$I$89,3,0)*0.475*44/12</f>
        <v>39.075414254454301</v>
      </c>
      <c r="BR72" s="21">
        <f>EXP(-LN(2)/2)*BR71+(1-EXP(-LN(2)/2))/(LN(2)/2)*BL72*BO72*VLOOKUP('Données projet'!$B$11,Paramètres!$A$1:$I$89,3,0)*0.475*44/12</f>
        <v>0.2668851875321287</v>
      </c>
      <c r="BS72" s="22">
        <f t="shared" si="63"/>
        <v>211.11624646576905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3.8</v>
      </c>
      <c r="BY72" s="12">
        <f>IF('Données projet'!$A$114&gt;35,BY71+BX72-CG71,IF(A72&lt;'Données projet'!$A$114,$BV$205^A72,IF(A72='Données projet'!$A$114,'Données projet'!$B$114,BY71+BX72-CG71)))</f>
        <v>259.19999999999987</v>
      </c>
      <c r="BZ72" s="13">
        <f>BY72*VLOOKUP('Données projet'!$B$12,Paramètres!$A$1:$I$89,3,0)*VLOOKUP('Données projet'!$B$12,Paramètres!$A$1:$I$89,5,0)</f>
        <v>206.21951999999993</v>
      </c>
      <c r="CA72" s="13">
        <f t="shared" si="93"/>
        <v>51.10858428464028</v>
      </c>
      <c r="CB72" s="20">
        <f t="shared" si="64"/>
        <v>448.17978162908167</v>
      </c>
      <c r="CC72" s="59">
        <f t="shared" si="65"/>
        <v>741.51311496241499</v>
      </c>
      <c r="CD72" s="59">
        <f ca="1">AVERAGE(OFFSET($CC$3,0,0,'Données projet'!$E$12+1,1))-AVERAGE(OFFSET($H$3,0,0,'Données projet'!$E$12+1,1))</f>
        <v>225.2323446080772</v>
      </c>
      <c r="CE72" s="59">
        <f t="shared" si="94"/>
        <v>222.29030402759292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23.234555694227222</v>
      </c>
      <c r="CL72" s="21">
        <f>EXP(-LN(2)/25)*CL71+(1-EXP(-LN(2)/25))/(LN(2)/25)*Calculateur!CG72*Calculateur!CI72*VLOOKUP('Données projet'!$B$12,Paramètres!$A$1:$I$89,3,0)*0.475*44/12</f>
        <v>9.6237561317768456</v>
      </c>
      <c r="CM72" s="21">
        <f>EXP(-LN(2)/2)*CM71+(1-EXP(-LN(2)/2))/(LN(2)/2)*CG72*CJ72*VLOOKUP('Données projet'!$B$12,Paramètres!$A$1:$I$89,3,0)*0.475*44/12</f>
        <v>0</v>
      </c>
      <c r="CN72" s="22">
        <f t="shared" si="66"/>
        <v>32.858311826004069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5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33.670000000000059</v>
      </c>
      <c r="D73" s="11">
        <f t="shared" si="86"/>
        <v>10.304432590265302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339.45176034590804</v>
      </c>
      <c r="H73" s="67">
        <f t="shared" si="56"/>
        <v>369.92213676137879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11.330769230769235</v>
      </c>
      <c r="N73" s="13">
        <f>IF('Données projet'!$A$36&gt;35,N72+M73-V72,IF(A73&lt;'Données projet'!$A$36,$K$205^A73,IF(A73='Données projet'!$A$36,'Données projet'!$B$36,N72+M73-V72)))</f>
        <v>379.77692307692342</v>
      </c>
      <c r="O73" s="13">
        <f>N73*VLOOKUP('Données projet'!$B$9,Paramètres!$A$1:$I$89,3,0)*VLOOKUP('Données projet'!$B$9,Paramètres!$A$1:$I$89,5,0)</f>
        <v>182.67270000000019</v>
      </c>
      <c r="P73" s="13">
        <f t="shared" si="87"/>
        <v>45.916301632077406</v>
      </c>
      <c r="Q73" s="20">
        <f t="shared" si="54"/>
        <v>398.12584450920184</v>
      </c>
      <c r="R73" s="59">
        <f t="shared" si="55"/>
        <v>691.45917784253515</v>
      </c>
      <c r="S73" s="59">
        <f ca="1">AVERAGE(OFFSET($R$3,0,0,'Données projet'!$E$9+1,1))-AVERAGE(OFFSET($H$3,0,0,'Données projet'!$E$9+1,1))</f>
        <v>234.10156575337737</v>
      </c>
      <c r="T73" s="59">
        <f t="shared" si="88"/>
        <v>285.68635263076646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76.812131803249883</v>
      </c>
      <c r="AA73" s="21">
        <f>EXP(-LN(2)/25)*AA72+(1-EXP(-LN(2)/25))/(LN(2)/25)*Calculateur!V73*Calculateur!X73*VLOOKUP('Données projet'!$B$9,Paramètres!$A$1:$I$89,3,0)*0.475*44/12</f>
        <v>64.557830871985573</v>
      </c>
      <c r="AB73" s="21">
        <f>EXP(-LN(2)/2)*AB72+(1-EXP(-LN(2)/2))/(LN(2)/2)*V73*Y73*VLOOKUP('Données projet'!$B$9,Paramètres!$A$1:$I$89,3,0)*0.475*44/12</f>
        <v>4.1396151191022817E-5</v>
      </c>
      <c r="AC73" s="22">
        <f t="shared" si="57"/>
        <v>141.37000407138666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0</v>
      </c>
      <c r="AJ73" s="13">
        <f>AI73*VLOOKUP('Données projet'!$B$10,Paramètres!$A$1:$I$89,3,0)*VLOOKUP('Données projet'!$B$10,Paramètres!$A$1:$I$89,5,0)</f>
        <v>0</v>
      </c>
      <c r="AK73" s="13" t="e">
        <f t="shared" si="89"/>
        <v>#NUM!</v>
      </c>
      <c r="AL73" s="20" t="e">
        <f t="shared" si="58"/>
        <v>#NUM!</v>
      </c>
      <c r="AM73" s="59" t="e">
        <f t="shared" si="59"/>
        <v>#NUM!</v>
      </c>
      <c r="AN73" s="59">
        <f ca="1">AVERAGE(OFFSET($AM$3,0,0,'Données projet'!$E$10+1,1))-AVERAGE(OFFSET($H$3,0,0,'Données projet'!$E$10+1,1))</f>
        <v>179.44051550872138</v>
      </c>
      <c r="AO73" s="59">
        <f t="shared" si="90"/>
        <v>272.9500808380069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68.341425197677239</v>
      </c>
      <c r="AV73" s="21">
        <f>EXP(-LN(2)/25)*AV72+(1-EXP(-LN(2)/25))/(LN(2)/25)*Calculateur!AQ73*Calculateur!AS73*VLOOKUP('Données projet'!$B$10,Paramètres!$A$1:$I$89,3,0)*0.475*44/12</f>
        <v>109.59678330031366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177.9382084979909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-1.1368683772161603E-13</v>
      </c>
      <c r="BE73" s="13">
        <f>BD73*VLOOKUP('Données projet'!$B$11,Paramètres!$A$1:$I$89,3,0)*VLOOKUP('Données projet'!$B$11,Paramètres!$A$1:$I$89,5,0)</f>
        <v>-6.3550942286383367E-14</v>
      </c>
      <c r="BF73" s="13" t="e">
        <f t="shared" si="91"/>
        <v>#NUM!</v>
      </c>
      <c r="BG73" s="20" t="e">
        <f t="shared" si="61"/>
        <v>#NUM!</v>
      </c>
      <c r="BH73" s="59" t="e">
        <f t="shared" si="62"/>
        <v>#NUM!</v>
      </c>
      <c r="BI73" s="59">
        <f ca="1">AVERAGE(OFFSET($BH$3,0,0,'Données projet'!$E$11+1,1))-AVERAGE(OFFSET($H$3,0,0,'Données projet'!$E$11+1,1))</f>
        <v>278.5296012747549</v>
      </c>
      <c r="BJ73" s="59">
        <f t="shared" si="92"/>
        <v>370.55343097937077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168.40556469440858</v>
      </c>
      <c r="BQ73" s="21">
        <f>EXP(-LN(2)/25)*BQ72+(1-EXP(-LN(2)/25))/(LN(2)/25)*Calculateur!BL73*Calculateur!BN73*VLOOKUP('Données projet'!$B$11,Paramètres!$A$1:$I$89,3,0)*0.475*44/12</f>
        <v>38.006894996779522</v>
      </c>
      <c r="BR73" s="21">
        <f>EXP(-LN(2)/2)*BR72+(1-EXP(-LN(2)/2))/(LN(2)/2)*BL73*BO73*VLOOKUP('Données projet'!$B$11,Paramètres!$A$1:$I$89,3,0)*0.475*44/12</f>
        <v>0.18871632590221163</v>
      </c>
      <c r="BS73" s="22">
        <f t="shared" si="63"/>
        <v>206.60117601709032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>
        <f>VLOOKUP(A73,'Données projet'!$A$113:$I$133,2,0)</f>
        <v>263</v>
      </c>
      <c r="BW73" s="12">
        <f>VLOOKUP(A73,'Données projet'!$A$113:$I$133,9,0)</f>
        <v>3.8</v>
      </c>
      <c r="BX73" s="12">
        <f t="array" ref="BX73">INDEX(BW:BW,MIN(IF(ISNUMBER(BW73:BW269),ROW(BW73:BW269),"")))</f>
        <v>3.8</v>
      </c>
      <c r="BY73" s="12">
        <f>IF('Données projet'!$A$114&gt;35,BY72+BX73-CG72,IF(A73&lt;'Données projet'!$A$114,$BV$205^A73,IF(A73='Données projet'!$A$114,'Données projet'!$B$114,BY72+BX73-CG72)))</f>
        <v>262.99999999999989</v>
      </c>
      <c r="BZ73" s="13">
        <f>BY73*VLOOKUP('Données projet'!$B$12,Paramètres!$A$1:$I$89,3,0)*VLOOKUP('Données projet'!$B$12,Paramètres!$A$1:$I$89,5,0)</f>
        <v>209.2427999999999</v>
      </c>
      <c r="CA73" s="13">
        <f t="shared" si="93"/>
        <v>51.770083677016814</v>
      </c>
      <c r="CB73" s="20">
        <f t="shared" si="64"/>
        <v>454.59743907080406</v>
      </c>
      <c r="CC73" s="59">
        <f t="shared" si="65"/>
        <v>747.93077240413731</v>
      </c>
      <c r="CD73" s="59">
        <f ca="1">AVERAGE(OFFSET($CC$3,0,0,'Données projet'!$E$12+1,1))-AVERAGE(OFFSET($H$3,0,0,'Données projet'!$E$12+1,1))</f>
        <v>225.2323446080772</v>
      </c>
      <c r="CE73" s="59">
        <f t="shared" si="94"/>
        <v>222.29030402759292</v>
      </c>
      <c r="CF73" s="15">
        <f>IF(ISNA(VLOOKUP(A73,'Données projet'!$A$113:$I$133,3,0)),0,VLOOKUP(A73,'Données projet'!$A$113:$I$133,3,0))</f>
        <v>12</v>
      </c>
      <c r="CG73" s="15">
        <f>IF(ISNA(VLOOKUP(A73,'Données projet'!$A$113:$I$133,4,0)),0,VLOOKUP(A73,'Données projet'!$A$113:$I$133,4,0))</f>
        <v>10</v>
      </c>
      <c r="CH73" s="16">
        <f>IF(ISNA(VLOOKUP(A73,'Données projet'!$A$113:$I$133,5,0)),0%,VLOOKUP(A73,'Données projet'!$A$113:$I$133,5,0)*VLOOKUP('Données projet'!$B$12,Paramètres!$A$1:$I$89,7,0))</f>
        <v>0.47700000000000004</v>
      </c>
      <c r="CI73" s="16">
        <f>IF(ISNA(VLOOKUP(A73,'Données projet'!$A$113:$I$133,6,0)),0%,VLOOKUP(A73,'Données projet'!$A$113:$I$133,6,0)*VLOOKUP('Données projet'!$B$12,Paramètres!$A$1:$I$89,7,0))</f>
        <v>5.3000000000000005E-2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26.974213584715166</v>
      </c>
      <c r="CL73" s="21">
        <f>EXP(-LN(2)/25)*CL72+(1-EXP(-LN(2)/25))/(LN(2)/25)*Calculateur!CG73*Calculateur!CI73*VLOOKUP('Données projet'!$B$12,Paramètres!$A$1:$I$89,3,0)*0.475*44/12</f>
        <v>9.8249001216226421</v>
      </c>
      <c r="CM73" s="21">
        <f>EXP(-LN(2)/2)*CM72+(1-EXP(-LN(2)/2))/(LN(2)/2)*CG73*CJ73*VLOOKUP('Données projet'!$B$12,Paramètres!$A$1:$I$89,3,0)*0.475*44/12</f>
        <v>0</v>
      </c>
      <c r="CN73" s="22">
        <f t="shared" si="66"/>
        <v>36.799113706337806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5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34.15100000000006</v>
      </c>
      <c r="D74" s="11">
        <f t="shared" si="86"/>
        <v>10.434396396340826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344.16797218228049</v>
      </c>
      <c r="H74" s="67">
        <f t="shared" si="56"/>
        <v>370.98623205696038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11.330769230769235</v>
      </c>
      <c r="N74" s="13">
        <f>IF('Données projet'!$A$36&gt;35,N73+M74-V73,IF(A74&lt;'Données projet'!$A$36,$K$205^A74,IF(A74='Données projet'!$A$36,'Données projet'!$B$36,N73+M74-V73)))</f>
        <v>391.10769230769267</v>
      </c>
      <c r="O74" s="13">
        <f>N74*VLOOKUP('Données projet'!$B$9,Paramètres!$A$1:$I$89,3,0)*VLOOKUP('Données projet'!$B$9,Paramètres!$A$1:$I$89,5,0)</f>
        <v>188.12280000000018</v>
      </c>
      <c r="P74" s="13">
        <f t="shared" si="87"/>
        <v>47.124691057637619</v>
      </c>
      <c r="Q74" s="20">
        <f t="shared" si="54"/>
        <v>409.72271359205246</v>
      </c>
      <c r="R74" s="59">
        <f t="shared" si="55"/>
        <v>703.05604692538577</v>
      </c>
      <c r="S74" s="59">
        <f ca="1">AVERAGE(OFFSET($R$3,0,0,'Données projet'!$E$9+1,1))-AVERAGE(OFFSET($H$3,0,0,'Données projet'!$E$9+1,1))</f>
        <v>234.10156575337737</v>
      </c>
      <c r="T74" s="59">
        <f t="shared" si="88"/>
        <v>285.68635263076646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75.305892749362428</v>
      </c>
      <c r="AA74" s="21">
        <f>EXP(-LN(2)/25)*AA73+(1-EXP(-LN(2)/25))/(LN(2)/25)*Calculateur!V74*Calculateur!X74*VLOOKUP('Données projet'!$B$9,Paramètres!$A$1:$I$89,3,0)*0.475*44/12</f>
        <v>62.792493591842351</v>
      </c>
      <c r="AB74" s="21">
        <f>EXP(-LN(2)/2)*AB73+(1-EXP(-LN(2)/2))/(LN(2)/2)*V74*Y74*VLOOKUP('Données projet'!$B$9,Paramètres!$A$1:$I$89,3,0)*0.475*44/12</f>
        <v>2.927149922219581E-5</v>
      </c>
      <c r="AC74" s="22">
        <f t="shared" si="57"/>
        <v>138.098415612704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0</v>
      </c>
      <c r="AJ74" s="13">
        <f>AI74*VLOOKUP('Données projet'!$B$10,Paramètres!$A$1:$I$89,3,0)*VLOOKUP('Données projet'!$B$10,Paramètres!$A$1:$I$89,5,0)</f>
        <v>0</v>
      </c>
      <c r="AK74" s="13" t="e">
        <f t="shared" si="89"/>
        <v>#NUM!</v>
      </c>
      <c r="AL74" s="20" t="e">
        <f t="shared" si="58"/>
        <v>#NUM!</v>
      </c>
      <c r="AM74" s="59" t="e">
        <f t="shared" si="59"/>
        <v>#NUM!</v>
      </c>
      <c r="AN74" s="59">
        <f ca="1">AVERAGE(OFFSET($AM$3,0,0,'Données projet'!$E$10+1,1))-AVERAGE(OFFSET($H$3,0,0,'Données projet'!$E$10+1,1))</f>
        <v>179.44051550872138</v>
      </c>
      <c r="AO74" s="59">
        <f t="shared" si="90"/>
        <v>272.9500808380069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67.00129153370419</v>
      </c>
      <c r="AV74" s="21">
        <f>EXP(-LN(2)/25)*AV73+(1-EXP(-LN(2)/25))/(LN(2)/25)*Calculateur!AQ74*Calculateur!AS74*VLOOKUP('Données projet'!$B$10,Paramètres!$A$1:$I$89,3,0)*0.475*44/12</f>
        <v>106.59985349752223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173.60114503122642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-1.1368683772161603E-13</v>
      </c>
      <c r="BE74" s="13">
        <f>BD74*VLOOKUP('Données projet'!$B$11,Paramètres!$A$1:$I$89,3,0)*VLOOKUP('Données projet'!$B$11,Paramètres!$A$1:$I$89,5,0)</f>
        <v>-6.3550942286383367E-14</v>
      </c>
      <c r="BF74" s="13" t="e">
        <f t="shared" si="91"/>
        <v>#NUM!</v>
      </c>
      <c r="BG74" s="20" t="e">
        <f t="shared" si="61"/>
        <v>#NUM!</v>
      </c>
      <c r="BH74" s="59" t="e">
        <f t="shared" si="62"/>
        <v>#NUM!</v>
      </c>
      <c r="BI74" s="59">
        <f ca="1">AVERAGE(OFFSET($BH$3,0,0,'Données projet'!$E$11+1,1))-AVERAGE(OFFSET($H$3,0,0,'Données projet'!$E$11+1,1))</f>
        <v>278.5296012747549</v>
      </c>
      <c r="BJ74" s="59">
        <f t="shared" si="92"/>
        <v>370.55343097937077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165.10323428800319</v>
      </c>
      <c r="BQ74" s="21">
        <f>EXP(-LN(2)/25)*BQ73+(1-EXP(-LN(2)/25))/(LN(2)/25)*Calculateur!BL74*Calculateur!BN74*VLOOKUP('Données projet'!$B$11,Paramètres!$A$1:$I$89,3,0)*0.475*44/12</f>
        <v>36.967594454396846</v>
      </c>
      <c r="BR74" s="21">
        <f>EXP(-LN(2)/2)*BR73+(1-EXP(-LN(2)/2))/(LN(2)/2)*BL74*BO74*VLOOKUP('Données projet'!$B$11,Paramètres!$A$1:$I$89,3,0)*0.475*44/12</f>
        <v>0.13344259376606435</v>
      </c>
      <c r="BS74" s="22">
        <f t="shared" si="63"/>
        <v>202.2042713361661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3.4</v>
      </c>
      <c r="BY74" s="12">
        <f>IF('Données projet'!$A$114&gt;35,BY73+BX74-CG73,IF(A74&lt;'Données projet'!$A$114,$BV$205^A74,IF(A74='Données projet'!$A$114,'Données projet'!$B$114,BY73+BX74-CG73)))</f>
        <v>256.39999999999986</v>
      </c>
      <c r="BZ74" s="13">
        <f>BY74*VLOOKUP('Données projet'!$B$12,Paramètres!$A$1:$I$89,3,0)*VLOOKUP('Données projet'!$B$12,Paramètres!$A$1:$I$89,5,0)</f>
        <v>203.99183999999988</v>
      </c>
      <c r="CA74" s="13">
        <f t="shared" si="93"/>
        <v>50.620441749347997</v>
      </c>
      <c r="CB74" s="20">
        <f t="shared" si="64"/>
        <v>443.44972404678083</v>
      </c>
      <c r="CC74" s="59">
        <f t="shared" si="65"/>
        <v>736.78305738011409</v>
      </c>
      <c r="CD74" s="59">
        <f ca="1">AVERAGE(OFFSET($CC$3,0,0,'Données projet'!$E$12+1,1))-AVERAGE(OFFSET($H$3,0,0,'Données projet'!$E$12+1,1))</f>
        <v>225.2323446080772</v>
      </c>
      <c r="CE74" s="59">
        <f t="shared" si="94"/>
        <v>222.29030402759292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26.445265708964623</v>
      </c>
      <c r="CL74" s="21">
        <f>EXP(-LN(2)/25)*CL73+(1-EXP(-LN(2)/25))/(LN(2)/25)*Calculateur!CG74*Calculateur!CI74*VLOOKUP('Données projet'!$B$12,Paramètres!$A$1:$I$89,3,0)*0.475*44/12</f>
        <v>9.556237711127828</v>
      </c>
      <c r="CM74" s="21">
        <f>EXP(-LN(2)/2)*CM73+(1-EXP(-LN(2)/2))/(LN(2)/2)*CG74*CJ74*VLOOKUP('Données projet'!$B$12,Paramètres!$A$1:$I$89,3,0)*0.475*44/12</f>
        <v>0</v>
      </c>
      <c r="CN74" s="22">
        <f t="shared" si="66"/>
        <v>36.001503420092448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5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34.632000000000062</v>
      </c>
      <c r="D75" s="11">
        <f t="shared" si="86"/>
        <v>10.564147302110412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348.88254057769495</v>
      </c>
      <c r="H75" s="67">
        <f t="shared" si="56"/>
        <v>372.04995655117574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11.330769230769235</v>
      </c>
      <c r="N75" s="13">
        <f>IF('Données projet'!$A$36&gt;35,N74+M75-V74,IF(A75&lt;'Données projet'!$A$36,$K$205^A75,IF(A75='Données projet'!$A$36,'Données projet'!$B$36,N74+M75-V74)))</f>
        <v>402.43846153846192</v>
      </c>
      <c r="O75" s="13">
        <f>N75*VLOOKUP('Données projet'!$B$9,Paramètres!$A$1:$I$89,3,0)*VLOOKUP('Données projet'!$B$9,Paramètres!$A$1:$I$89,5,0)</f>
        <v>193.57290000000017</v>
      </c>
      <c r="P75" s="13">
        <f t="shared" si="87"/>
        <v>48.329011788831274</v>
      </c>
      <c r="Q75" s="20">
        <f t="shared" si="54"/>
        <v>421.31249636554816</v>
      </c>
      <c r="R75" s="59">
        <f t="shared" si="55"/>
        <v>714.64582969888147</v>
      </c>
      <c r="S75" s="59">
        <f ca="1">AVERAGE(OFFSET($R$3,0,0,'Données projet'!$E$9+1,1))-AVERAGE(OFFSET($H$3,0,0,'Données projet'!$E$9+1,1))</f>
        <v>234.10156575337737</v>
      </c>
      <c r="T75" s="59">
        <f t="shared" si="88"/>
        <v>285.68635263076646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73.829190124606598</v>
      </c>
      <c r="AA75" s="21">
        <f>EXP(-LN(2)/25)*AA74+(1-EXP(-LN(2)/25))/(LN(2)/25)*Calculateur!V75*Calculateur!X75*VLOOKUP('Données projet'!$B$9,Paramètres!$A$1:$I$89,3,0)*0.475*44/12</f>
        <v>61.075429552459696</v>
      </c>
      <c r="AB75" s="21">
        <f>EXP(-LN(2)/2)*AB74+(1-EXP(-LN(2)/2))/(LN(2)/2)*V75*Y75*VLOOKUP('Données projet'!$B$9,Paramètres!$A$1:$I$89,3,0)*0.475*44/12</f>
        <v>2.0698075595511409E-5</v>
      </c>
      <c r="AC75" s="22">
        <f t="shared" si="57"/>
        <v>134.90464037514189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0</v>
      </c>
      <c r="AJ75" s="13">
        <f>AI75*VLOOKUP('Données projet'!$B$10,Paramètres!$A$1:$I$89,3,0)*VLOOKUP('Données projet'!$B$10,Paramètres!$A$1:$I$89,5,0)</f>
        <v>0</v>
      </c>
      <c r="AK75" s="13" t="e">
        <f t="shared" si="89"/>
        <v>#NUM!</v>
      </c>
      <c r="AL75" s="20" t="e">
        <f t="shared" si="58"/>
        <v>#NUM!</v>
      </c>
      <c r="AM75" s="59" t="e">
        <f t="shared" si="59"/>
        <v>#NUM!</v>
      </c>
      <c r="AN75" s="59">
        <f ca="1">AVERAGE(OFFSET($AM$3,0,0,'Données projet'!$E$10+1,1))-AVERAGE(OFFSET($H$3,0,0,'Données projet'!$E$10+1,1))</f>
        <v>179.44051550872138</v>
      </c>
      <c r="AO75" s="59">
        <f t="shared" si="90"/>
        <v>272.9500808380069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65.687437073480837</v>
      </c>
      <c r="AV75" s="21">
        <f>EXP(-LN(2)/25)*AV74+(1-EXP(-LN(2)/25))/(LN(2)/25)*Calculateur!AQ75*Calculateur!AS75*VLOOKUP('Données projet'!$B$10,Paramètres!$A$1:$I$89,3,0)*0.475*44/12</f>
        <v>103.68487489778983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169.37231197127068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-1.1368683772161603E-13</v>
      </c>
      <c r="BE75" s="13">
        <f>BD75*VLOOKUP('Données projet'!$B$11,Paramètres!$A$1:$I$89,3,0)*VLOOKUP('Données projet'!$B$11,Paramètres!$A$1:$I$89,5,0)</f>
        <v>-6.3550942286383367E-14</v>
      </c>
      <c r="BF75" s="13" t="e">
        <f t="shared" si="91"/>
        <v>#NUM!</v>
      </c>
      <c r="BG75" s="20" t="e">
        <f t="shared" si="61"/>
        <v>#NUM!</v>
      </c>
      <c r="BH75" s="59" t="e">
        <f t="shared" si="62"/>
        <v>#NUM!</v>
      </c>
      <c r="BI75" s="59">
        <f ca="1">AVERAGE(OFFSET($BH$3,0,0,'Données projet'!$E$11+1,1))-AVERAGE(OFFSET($H$3,0,0,'Données projet'!$E$11+1,1))</f>
        <v>278.5296012747549</v>
      </c>
      <c r="BJ75" s="59">
        <f t="shared" si="92"/>
        <v>370.55343097937077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161.86566056664478</v>
      </c>
      <c r="BQ75" s="21">
        <f>EXP(-LN(2)/25)*BQ74+(1-EXP(-LN(2)/25))/(LN(2)/25)*Calculateur!BL75*Calculateur!BN75*VLOOKUP('Données projet'!$B$11,Paramètres!$A$1:$I$89,3,0)*0.475*44/12</f>
        <v>35.956713640000061</v>
      </c>
      <c r="BR75" s="21">
        <f>EXP(-LN(2)/2)*BR74+(1-EXP(-LN(2)/2))/(LN(2)/2)*BL75*BO75*VLOOKUP('Données projet'!$B$11,Paramètres!$A$1:$I$89,3,0)*0.475*44/12</f>
        <v>9.4358162951105815E-2</v>
      </c>
      <c r="BS75" s="22">
        <f t="shared" si="63"/>
        <v>197.91673236959593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3.4</v>
      </c>
      <c r="BY75" s="12">
        <f>IF('Données projet'!$A$114&gt;35,BY74+BX75-CG74,IF(A75&lt;'Données projet'!$A$114,$BV$205^A75,IF(A75='Données projet'!$A$114,'Données projet'!$B$114,BY74+BX75-CG74)))</f>
        <v>259.79999999999984</v>
      </c>
      <c r="BZ75" s="13">
        <f>BY75*VLOOKUP('Données projet'!$B$12,Paramètres!$A$1:$I$89,3,0)*VLOOKUP('Données projet'!$B$12,Paramètres!$A$1:$I$89,5,0)</f>
        <v>206.69687999999991</v>
      </c>
      <c r="CA75" s="13">
        <f t="shared" si="93"/>
        <v>51.213106197404436</v>
      </c>
      <c r="CB75" s="20">
        <f t="shared" si="64"/>
        <v>449.1932259604792</v>
      </c>
      <c r="CC75" s="59">
        <f t="shared" si="65"/>
        <v>742.52655929381251</v>
      </c>
      <c r="CD75" s="59">
        <f ca="1">AVERAGE(OFFSET($CC$3,0,0,'Données projet'!$E$12+1,1))-AVERAGE(OFFSET($H$3,0,0,'Données projet'!$E$12+1,1))</f>
        <v>225.2323446080772</v>
      </c>
      <c r="CE75" s="59">
        <f t="shared" si="94"/>
        <v>222.29030402759292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25.926690178431201</v>
      </c>
      <c r="CL75" s="21">
        <f>EXP(-LN(2)/25)*CL74+(1-EXP(-LN(2)/25))/(LN(2)/25)*Calculateur!CG75*Calculateur!CI75*VLOOKUP('Données projet'!$B$12,Paramètres!$A$1:$I$89,3,0)*0.475*44/12</f>
        <v>9.2949218883763383</v>
      </c>
      <c r="CM75" s="21">
        <f>EXP(-LN(2)/2)*CM74+(1-EXP(-LN(2)/2))/(LN(2)/2)*CG75*CJ75*VLOOKUP('Données projet'!$B$12,Paramètres!$A$1:$I$89,3,0)*0.475*44/12</f>
        <v>0</v>
      </c>
      <c r="CN75" s="22">
        <f t="shared" si="66"/>
        <v>35.221612066807538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5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35.113000000000063</v>
      </c>
      <c r="D76" s="11">
        <f t="shared" si="86"/>
        <v>10.693688606258034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353.59549099567658</v>
      </c>
      <c r="H76" s="67">
        <f t="shared" si="56"/>
        <v>373.11331598923283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11.330769230769235</v>
      </c>
      <c r="N76" s="13">
        <f>IF('Données projet'!$A$36&gt;35,N75+M76-V75,IF(A76&lt;'Données projet'!$A$36,$K$205^A76,IF(A76='Données projet'!$A$36,'Données projet'!$B$36,N75+M76-V75)))</f>
        <v>413.76923076923117</v>
      </c>
      <c r="O76" s="13">
        <f>N76*VLOOKUP('Données projet'!$B$9,Paramètres!$A$1:$I$89,3,0)*VLOOKUP('Données projet'!$B$9,Paramètres!$A$1:$I$89,5,0)</f>
        <v>199.0230000000002</v>
      </c>
      <c r="P76" s="13">
        <f t="shared" si="87"/>
        <v>49.529391539986307</v>
      </c>
      <c r="Q76" s="20">
        <f t="shared" si="54"/>
        <v>432.89541526547646</v>
      </c>
      <c r="R76" s="59">
        <f t="shared" si="55"/>
        <v>726.22874859880972</v>
      </c>
      <c r="S76" s="59">
        <f ca="1">AVERAGE(OFFSET($R$3,0,0,'Données projet'!$E$9+1,1))-AVERAGE(OFFSET($H$3,0,0,'Données projet'!$E$9+1,1))</f>
        <v>234.10156575337737</v>
      </c>
      <c r="T76" s="59">
        <f t="shared" si="88"/>
        <v>285.68635263076646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72.381444737622559</v>
      </c>
      <c r="AA76" s="21">
        <f>EXP(-LN(2)/25)*AA75+(1-EXP(-LN(2)/25))/(LN(2)/25)*Calculateur!V76*Calculateur!X76*VLOOKUP('Données projet'!$B$9,Paramètres!$A$1:$I$89,3,0)*0.475*44/12</f>
        <v>59.405318719530435</v>
      </c>
      <c r="AB76" s="21">
        <f>EXP(-LN(2)/2)*AB75+(1-EXP(-LN(2)/2))/(LN(2)/2)*V76*Y76*VLOOKUP('Données projet'!$B$9,Paramètres!$A$1:$I$89,3,0)*0.475*44/12</f>
        <v>1.4635749611097905E-5</v>
      </c>
      <c r="AC76" s="22">
        <f t="shared" si="57"/>
        <v>131.78677809290261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0</v>
      </c>
      <c r="AJ76" s="13">
        <f>AI76*VLOOKUP('Données projet'!$B$10,Paramètres!$A$1:$I$89,3,0)*VLOOKUP('Données projet'!$B$10,Paramètres!$A$1:$I$89,5,0)</f>
        <v>0</v>
      </c>
      <c r="AK76" s="13" t="e">
        <f t="shared" si="89"/>
        <v>#NUM!</v>
      </c>
      <c r="AL76" s="20" t="e">
        <f t="shared" si="58"/>
        <v>#NUM!</v>
      </c>
      <c r="AM76" s="59" t="e">
        <f t="shared" si="59"/>
        <v>#NUM!</v>
      </c>
      <c r="AN76" s="59">
        <f ca="1">AVERAGE(OFFSET($AM$3,0,0,'Données projet'!$E$10+1,1))-AVERAGE(OFFSET($H$3,0,0,'Données projet'!$E$10+1,1))</f>
        <v>179.44051550872138</v>
      </c>
      <c r="AO76" s="59">
        <f t="shared" si="90"/>
        <v>272.9500808380069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64.39934649785036</v>
      </c>
      <c r="AV76" s="21">
        <f>EXP(-LN(2)/25)*AV75+(1-EXP(-LN(2)/25))/(LN(2)/25)*Calculateur!AQ76*Calculateur!AS76*VLOOKUP('Données projet'!$B$10,Paramètres!$A$1:$I$89,3,0)*0.475*44/12</f>
        <v>100.84960654115916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165.24895303900951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-1.1368683772161603E-13</v>
      </c>
      <c r="BE76" s="13">
        <f>BD76*VLOOKUP('Données projet'!$B$11,Paramètres!$A$1:$I$89,3,0)*VLOOKUP('Données projet'!$B$11,Paramètres!$A$1:$I$89,5,0)</f>
        <v>-6.3550942286383367E-14</v>
      </c>
      <c r="BF76" s="13" t="e">
        <f t="shared" si="91"/>
        <v>#NUM!</v>
      </c>
      <c r="BG76" s="20" t="e">
        <f t="shared" si="61"/>
        <v>#NUM!</v>
      </c>
      <c r="BH76" s="59" t="e">
        <f t="shared" si="62"/>
        <v>#NUM!</v>
      </c>
      <c r="BI76" s="59">
        <f ca="1">AVERAGE(OFFSET($BH$3,0,0,'Données projet'!$E$11+1,1))-AVERAGE(OFFSET($H$3,0,0,'Données projet'!$E$11+1,1))</f>
        <v>278.5296012747549</v>
      </c>
      <c r="BJ76" s="59">
        <f t="shared" si="92"/>
        <v>370.55343097937077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158.69157369123721</v>
      </c>
      <c r="BQ76" s="21">
        <f>EXP(-LN(2)/25)*BQ75+(1-EXP(-LN(2)/25))/(LN(2)/25)*Calculateur!BL76*Calculateur!BN76*VLOOKUP('Données projet'!$B$11,Paramètres!$A$1:$I$89,3,0)*0.475*44/12</f>
        <v>34.973475414632865</v>
      </c>
      <c r="BR76" s="21">
        <f>EXP(-LN(2)/2)*BR75+(1-EXP(-LN(2)/2))/(LN(2)/2)*BL76*BO76*VLOOKUP('Données projet'!$B$11,Paramètres!$A$1:$I$89,3,0)*0.475*44/12</f>
        <v>6.6721296883032175E-2</v>
      </c>
      <c r="BS76" s="22">
        <f t="shared" si="63"/>
        <v>193.73177040275311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3.4</v>
      </c>
      <c r="BY76" s="12">
        <f>IF('Données projet'!$A$114&gt;35,BY75+BX76-CG75,IF(A76&lt;'Données projet'!$A$114,$BV$205^A76,IF(A76='Données projet'!$A$114,'Données projet'!$B$114,BY75+BX76-CG75)))</f>
        <v>263.19999999999982</v>
      </c>
      <c r="BZ76" s="13">
        <f>BY76*VLOOKUP('Données projet'!$B$12,Paramètres!$A$1:$I$89,3,0)*VLOOKUP('Données projet'!$B$12,Paramètres!$A$1:$I$89,5,0)</f>
        <v>209.40191999999988</v>
      </c>
      <c r="CA76" s="13">
        <f t="shared" si="93"/>
        <v>51.804868484579039</v>
      </c>
      <c r="CB76" s="20">
        <f t="shared" si="64"/>
        <v>454.93515661064157</v>
      </c>
      <c r="CC76" s="59">
        <f t="shared" si="65"/>
        <v>748.26848994397483</v>
      </c>
      <c r="CD76" s="59">
        <f ca="1">AVERAGE(OFFSET($CC$3,0,0,'Données projet'!$E$12+1,1))-AVERAGE(OFFSET($H$3,0,0,'Données projet'!$E$12+1,1))</f>
        <v>225.2323446080772</v>
      </c>
      <c r="CE76" s="59">
        <f t="shared" si="94"/>
        <v>222.29030402759292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25.418283597751699</v>
      </c>
      <c r="CL76" s="21">
        <f>EXP(-LN(2)/25)*CL75+(1-EXP(-LN(2)/25))/(LN(2)/25)*Calculateur!CG76*Calculateur!CI76*VLOOKUP('Données projet'!$B$12,Paramètres!$A$1:$I$89,3,0)*0.475*44/12</f>
        <v>9.0407517605399885</v>
      </c>
      <c r="CM76" s="21">
        <f>EXP(-LN(2)/2)*CM75+(1-EXP(-LN(2)/2))/(LN(2)/2)*CG76*CJ76*VLOOKUP('Données projet'!$B$12,Paramètres!$A$1:$I$89,3,0)*0.475*44/12</f>
        <v>0</v>
      </c>
      <c r="CN76" s="22">
        <f t="shared" si="66"/>
        <v>34.459035358291686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5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35.594000000000065</v>
      </c>
      <c r="D77" s="11">
        <f t="shared" si="86"/>
        <v>10.823023511900249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358.30684816203751</v>
      </c>
      <c r="H77" s="67">
        <f t="shared" si="56"/>
        <v>374.17631594989302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11.330769230769235</v>
      </c>
      <c r="N77" s="13">
        <f>IF('Données projet'!$A$36&gt;35,N76+M77-V76,IF(A77&lt;'Données projet'!$A$36,$K$205^A77,IF(A77='Données projet'!$A$36,'Données projet'!$B$36,N76+M77-V76)))</f>
        <v>425.10000000000042</v>
      </c>
      <c r="O77" s="13">
        <f>N77*VLOOKUP('Données projet'!$B$9,Paramètres!$A$1:$I$89,3,0)*VLOOKUP('Données projet'!$B$9,Paramètres!$A$1:$I$89,5,0)</f>
        <v>204.47310000000019</v>
      </c>
      <c r="P77" s="13">
        <f t="shared" si="87"/>
        <v>50.725950632601638</v>
      </c>
      <c r="Q77" s="20">
        <f t="shared" si="54"/>
        <v>444.47167985178152</v>
      </c>
      <c r="R77" s="59">
        <f t="shared" si="55"/>
        <v>737.80501318511483</v>
      </c>
      <c r="S77" s="59">
        <f ca="1">AVERAGE(OFFSET($R$3,0,0,'Données projet'!$E$9+1,1))-AVERAGE(OFFSET($H$3,0,0,'Données projet'!$E$9+1,1))</f>
        <v>234.10156575337737</v>
      </c>
      <c r="T77" s="59">
        <f t="shared" si="88"/>
        <v>285.68635263076646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70.96208875463978</v>
      </c>
      <c r="AA77" s="21">
        <f>EXP(-LN(2)/25)*AA76+(1-EXP(-LN(2)/25))/(LN(2)/25)*Calculateur!V77*Calculateur!X77*VLOOKUP('Données projet'!$B$9,Paramètres!$A$1:$I$89,3,0)*0.475*44/12</f>
        <v>57.780877155154933</v>
      </c>
      <c r="AB77" s="21">
        <f>EXP(-LN(2)/2)*AB76+(1-EXP(-LN(2)/2))/(LN(2)/2)*V77*Y77*VLOOKUP('Données projet'!$B$9,Paramètres!$A$1:$I$89,3,0)*0.475*44/12</f>
        <v>1.0349037797755704E-5</v>
      </c>
      <c r="AC77" s="22">
        <f t="shared" si="57"/>
        <v>128.74297625883253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0</v>
      </c>
      <c r="AJ77" s="13">
        <f>AI77*VLOOKUP('Données projet'!$B$10,Paramètres!$A$1:$I$89,3,0)*VLOOKUP('Données projet'!$B$10,Paramètres!$A$1:$I$89,5,0)</f>
        <v>0</v>
      </c>
      <c r="AK77" s="13" t="e">
        <f t="shared" si="89"/>
        <v>#NUM!</v>
      </c>
      <c r="AL77" s="20" t="e">
        <f t="shared" si="58"/>
        <v>#NUM!</v>
      </c>
      <c r="AM77" s="59" t="e">
        <f t="shared" si="59"/>
        <v>#NUM!</v>
      </c>
      <c r="AN77" s="59">
        <f ca="1">AVERAGE(OFFSET($AM$3,0,0,'Données projet'!$E$10+1,1))-AVERAGE(OFFSET($H$3,0,0,'Données projet'!$E$10+1,1))</f>
        <v>179.44051550872138</v>
      </c>
      <c r="AO77" s="59">
        <f t="shared" si="90"/>
        <v>272.9500808380069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63.136514592750331</v>
      </c>
      <c r="AV77" s="21">
        <f>EXP(-LN(2)/25)*AV76+(1-EXP(-LN(2)/25))/(LN(2)/25)*Calculateur!AQ77*Calculateur!AS77*VLOOKUP('Données projet'!$B$10,Paramètres!$A$1:$I$89,3,0)*0.475*44/12</f>
        <v>98.091868746840845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161.22838333959118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-1.1368683772161603E-13</v>
      </c>
      <c r="BE77" s="13">
        <f>BD77*VLOOKUP('Données projet'!$B$11,Paramètres!$A$1:$I$89,3,0)*VLOOKUP('Données projet'!$B$11,Paramètres!$A$1:$I$89,5,0)</f>
        <v>-6.3550942286383367E-14</v>
      </c>
      <c r="BF77" s="13" t="e">
        <f t="shared" si="91"/>
        <v>#NUM!</v>
      </c>
      <c r="BG77" s="20" t="e">
        <f t="shared" si="61"/>
        <v>#NUM!</v>
      </c>
      <c r="BH77" s="59" t="e">
        <f t="shared" si="62"/>
        <v>#NUM!</v>
      </c>
      <c r="BI77" s="59">
        <f ca="1">AVERAGE(OFFSET($BH$3,0,0,'Données projet'!$E$11+1,1))-AVERAGE(OFFSET($H$3,0,0,'Données projet'!$E$11+1,1))</f>
        <v>278.5296012747549</v>
      </c>
      <c r="BJ77" s="59">
        <f t="shared" si="92"/>
        <v>370.55343097937077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155.57972872345456</v>
      </c>
      <c r="BQ77" s="21">
        <f>EXP(-LN(2)/25)*BQ76+(1-EXP(-LN(2)/25))/(LN(2)/25)*Calculateur!BL77*Calculateur!BN77*VLOOKUP('Données projet'!$B$11,Paramètres!$A$1:$I$89,3,0)*0.475*44/12</f>
        <v>34.017123890244591</v>
      </c>
      <c r="BR77" s="21">
        <f>EXP(-LN(2)/2)*BR76+(1-EXP(-LN(2)/2))/(LN(2)/2)*BL77*BO77*VLOOKUP('Données projet'!$B$11,Paramètres!$A$1:$I$89,3,0)*0.475*44/12</f>
        <v>4.7179081475552907E-2</v>
      </c>
      <c r="BS77" s="22">
        <f t="shared" si="63"/>
        <v>189.6440316951747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3.4</v>
      </c>
      <c r="BY77" s="12">
        <f>IF('Données projet'!$A$114&gt;35,BY76+BX77-CG76,IF(A77&lt;'Données projet'!$A$114,$BV$205^A77,IF(A77='Données projet'!$A$114,'Données projet'!$B$114,BY76+BX77-CG76)))</f>
        <v>266.5999999999998</v>
      </c>
      <c r="BZ77" s="13">
        <f>BY77*VLOOKUP('Données projet'!$B$12,Paramètres!$A$1:$I$89,3,0)*VLOOKUP('Données projet'!$B$12,Paramètres!$A$1:$I$89,5,0)</f>
        <v>212.10695999999984</v>
      </c>
      <c r="CA77" s="13">
        <f t="shared" si="93"/>
        <v>52.395741612408194</v>
      </c>
      <c r="CB77" s="20">
        <f t="shared" si="64"/>
        <v>460.67553864161067</v>
      </c>
      <c r="CC77" s="59">
        <f t="shared" si="65"/>
        <v>754.00887197494399</v>
      </c>
      <c r="CD77" s="59">
        <f ca="1">AVERAGE(OFFSET($CC$3,0,0,'Données projet'!$E$12+1,1))-AVERAGE(OFFSET($H$3,0,0,'Données projet'!$E$12+1,1))</f>
        <v>225.2323446080772</v>
      </c>
      <c r="CE77" s="59">
        <f t="shared" si="94"/>
        <v>222.29030402759292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24.919846560021927</v>
      </c>
      <c r="CL77" s="21">
        <f>EXP(-LN(2)/25)*CL76+(1-EXP(-LN(2)/25))/(LN(2)/25)*Calculateur!CG77*Calculateur!CI77*VLOOKUP('Données projet'!$B$12,Paramètres!$A$1:$I$89,3,0)*0.475*44/12</f>
        <v>8.7935319282155504</v>
      </c>
      <c r="CM77" s="21">
        <f>EXP(-LN(2)/2)*CM76+(1-EXP(-LN(2)/2))/(LN(2)/2)*CG77*CJ77*VLOOKUP('Données projet'!$B$12,Paramètres!$A$1:$I$89,3,0)*0.475*44/12</f>
        <v>0</v>
      </c>
      <c r="CN77" s="22">
        <f t="shared" si="66"/>
        <v>33.713378488237481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5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36.075000000000067</v>
      </c>
      <c r="D78" s="11">
        <f t="shared" si="86"/>
        <v>10.952155130608178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363.01663609592327</v>
      </c>
      <c r="H78" s="67">
        <f t="shared" si="56"/>
        <v>375.238961852476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11.330769230769235</v>
      </c>
      <c r="N78" s="13">
        <f>IF('Données projet'!$A$36&gt;35,N77+M78-V77,IF(A78&lt;'Données projet'!$A$36,$K$205^A78,IF(A78='Données projet'!$A$36,'Données projet'!$B$36,N77+M78-V77)))</f>
        <v>436.43076923076967</v>
      </c>
      <c r="O78" s="13">
        <f>N78*VLOOKUP('Données projet'!$B$9,Paramètres!$A$1:$I$89,3,0)*VLOOKUP('Données projet'!$B$9,Paramètres!$A$1:$I$89,5,0)</f>
        <v>209.92320000000024</v>
      </c>
      <c r="P78" s="13">
        <f t="shared" si="87"/>
        <v>51.918802608779288</v>
      </c>
      <c r="Q78" s="20">
        <f t="shared" si="54"/>
        <v>456.04148787695766</v>
      </c>
      <c r="R78" s="59">
        <f t="shared" si="55"/>
        <v>749.37482121029097</v>
      </c>
      <c r="S78" s="59">
        <f ca="1">AVERAGE(OFFSET($R$3,0,0,'Données projet'!$E$9+1,1))-AVERAGE(OFFSET($H$3,0,0,'Données projet'!$E$9+1,1))</f>
        <v>234.10156575337737</v>
      </c>
      <c r="T78" s="59">
        <f t="shared" si="88"/>
        <v>285.68635263076646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69.570565476761629</v>
      </c>
      <c r="AA78" s="21">
        <f>EXP(-LN(2)/25)*AA77+(1-EXP(-LN(2)/25))/(LN(2)/25)*Calculateur!V78*Calculateur!X78*VLOOKUP('Données projet'!$B$9,Paramètres!$A$1:$I$89,3,0)*0.475*44/12</f>
        <v>56.200856030782951</v>
      </c>
      <c r="AB78" s="21">
        <f>EXP(-LN(2)/2)*AB77+(1-EXP(-LN(2)/2))/(LN(2)/2)*V78*Y78*VLOOKUP('Données projet'!$B$9,Paramètres!$A$1:$I$89,3,0)*0.475*44/12</f>
        <v>7.3178748055489526E-6</v>
      </c>
      <c r="AC78" s="22">
        <f t="shared" si="57"/>
        <v>125.77142882541938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0</v>
      </c>
      <c r="AJ78" s="13">
        <f>AI78*VLOOKUP('Données projet'!$B$10,Paramètres!$A$1:$I$89,3,0)*VLOOKUP('Données projet'!$B$10,Paramètres!$A$1:$I$89,5,0)</f>
        <v>0</v>
      </c>
      <c r="AK78" s="13" t="e">
        <f t="shared" si="89"/>
        <v>#NUM!</v>
      </c>
      <c r="AL78" s="20" t="e">
        <f t="shared" si="58"/>
        <v>#NUM!</v>
      </c>
      <c r="AM78" s="59" t="e">
        <f t="shared" si="59"/>
        <v>#NUM!</v>
      </c>
      <c r="AN78" s="59">
        <f ca="1">AVERAGE(OFFSET($AM$3,0,0,'Données projet'!$E$10+1,1))-AVERAGE(OFFSET($H$3,0,0,'Données projet'!$E$10+1,1))</f>
        <v>179.44051550872138</v>
      </c>
      <c r="AO78" s="59">
        <f t="shared" si="90"/>
        <v>272.9500808380069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61.898446051057903</v>
      </c>
      <c r="AV78" s="21">
        <f>EXP(-LN(2)/25)*AV77+(1-EXP(-LN(2)/25))/(LN(2)/25)*Calculateur!AQ78*Calculateur!AS78*VLOOKUP('Données projet'!$B$10,Paramètres!$A$1:$I$89,3,0)*0.475*44/12</f>
        <v>95.409541437531303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157.30798748858922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-1.1368683772161603E-13</v>
      </c>
      <c r="BE78" s="13">
        <f>BD78*VLOOKUP('Données projet'!$B$11,Paramètres!$A$1:$I$89,3,0)*VLOOKUP('Données projet'!$B$11,Paramètres!$A$1:$I$89,5,0)</f>
        <v>-6.3550942286383367E-14</v>
      </c>
      <c r="BF78" s="13" t="e">
        <f t="shared" si="91"/>
        <v>#NUM!</v>
      </c>
      <c r="BG78" s="20" t="e">
        <f t="shared" si="61"/>
        <v>#NUM!</v>
      </c>
      <c r="BH78" s="59" t="e">
        <f t="shared" si="62"/>
        <v>#NUM!</v>
      </c>
      <c r="BI78" s="59">
        <f ca="1">AVERAGE(OFFSET($BH$3,0,0,'Données projet'!$E$11+1,1))-AVERAGE(OFFSET($H$3,0,0,'Données projet'!$E$11+1,1))</f>
        <v>278.5296012747549</v>
      </c>
      <c r="BJ78" s="59">
        <f t="shared" si="92"/>
        <v>370.55343097937077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152.52890513745211</v>
      </c>
      <c r="BQ78" s="21">
        <f>EXP(-LN(2)/25)*BQ77+(1-EXP(-LN(2)/25))/(LN(2)/25)*Calculateur!BL78*Calculateur!BN78*VLOOKUP('Données projet'!$B$11,Paramètres!$A$1:$I$89,3,0)*0.475*44/12</f>
        <v>33.086923848583055</v>
      </c>
      <c r="BR78" s="21">
        <f>EXP(-LN(2)/2)*BR77+(1-EXP(-LN(2)/2))/(LN(2)/2)*BL78*BO78*VLOOKUP('Données projet'!$B$11,Paramètres!$A$1:$I$89,3,0)*0.475*44/12</f>
        <v>3.3360648441516087E-2</v>
      </c>
      <c r="BS78" s="22">
        <f t="shared" si="63"/>
        <v>185.6491896344767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>
        <f>VLOOKUP(A78,'Données projet'!$A$113:$I$133,2,0)</f>
        <v>270</v>
      </c>
      <c r="BW78" s="12">
        <f>VLOOKUP(A78,'Données projet'!$A$113:$I$133,9,0)</f>
        <v>3.4</v>
      </c>
      <c r="BX78" s="12">
        <f t="array" ref="BX78">INDEX(BW:BW,MIN(IF(ISNUMBER(BW78:BW274),ROW(BW78:BW274),"")))</f>
        <v>3.4</v>
      </c>
      <c r="BY78" s="12">
        <f>IF('Données projet'!$A$114&gt;35,BY77+BX78-CG77,IF(A78&lt;'Données projet'!$A$114,$BV$205^A78,IF(A78='Données projet'!$A$114,'Données projet'!$B$114,BY77+BX78-CG77)))</f>
        <v>269.99999999999977</v>
      </c>
      <c r="BZ78" s="13">
        <f>BY78*VLOOKUP('Données projet'!$B$12,Paramètres!$A$1:$I$89,3,0)*VLOOKUP('Données projet'!$B$12,Paramètres!$A$1:$I$89,5,0)</f>
        <v>214.81199999999981</v>
      </c>
      <c r="CA78" s="13">
        <f t="shared" si="93"/>
        <v>52.985738231738011</v>
      </c>
      <c r="CB78" s="20">
        <f t="shared" si="64"/>
        <v>466.41439408694333</v>
      </c>
      <c r="CC78" s="59">
        <f t="shared" si="65"/>
        <v>759.74772742027665</v>
      </c>
      <c r="CD78" s="59">
        <f ca="1">AVERAGE(OFFSET($CC$3,0,0,'Données projet'!$E$12+1,1))-AVERAGE(OFFSET($H$3,0,0,'Données projet'!$E$12+1,1))</f>
        <v>225.2323446080772</v>
      </c>
      <c r="CE78" s="59">
        <f t="shared" si="94"/>
        <v>222.29030402759292</v>
      </c>
      <c r="CF78" s="15">
        <f>IF(ISNA(VLOOKUP(A78,'Données projet'!$A$113:$I$133,3,0)),0,VLOOKUP(A78,'Données projet'!$A$113:$I$133,3,0))</f>
        <v>13</v>
      </c>
      <c r="CG78" s="15">
        <f>IF(ISNA(VLOOKUP(A78,'Données projet'!$A$113:$I$133,4,0)),0,VLOOKUP(A78,'Données projet'!$A$113:$I$133,4,0))</f>
        <v>9</v>
      </c>
      <c r="CH78" s="16">
        <f>IF(ISNA(VLOOKUP(A78,'Données projet'!$A$113:$I$133,5,0)),0%,VLOOKUP(A78,'Données projet'!$A$113:$I$133,5,0)*VLOOKUP('Données projet'!$B$12,Paramètres!$A$1:$I$89,7,0))</f>
        <v>0.47170000000000001</v>
      </c>
      <c r="CI78" s="16">
        <f>IF(ISNA(VLOOKUP(A78,'Données projet'!$A$113:$I$133,6,0)),0%,VLOOKUP(A78,'Données projet'!$A$113:$I$133,6,0)*VLOOKUP('Données projet'!$B$12,Paramètres!$A$1:$I$89,7,0))</f>
        <v>5.8300000000000005E-2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28.164976855400631</v>
      </c>
      <c r="CL78" s="21">
        <f>EXP(-LN(2)/25)*CL77+(1-EXP(-LN(2)/25))/(LN(2)/25)*Calculateur!CG78*Calculateur!CI78*VLOOKUP('Données projet'!$B$12,Paramètres!$A$1:$I$89,3,0)*0.475*44/12</f>
        <v>9.0127353814937177</v>
      </c>
      <c r="CM78" s="21">
        <f>EXP(-LN(2)/2)*CM77+(1-EXP(-LN(2)/2))/(LN(2)/2)*CG78*CJ78*VLOOKUP('Données projet'!$B$12,Paramètres!$A$1:$I$89,3,0)*0.475*44/12</f>
        <v>0</v>
      </c>
      <c r="CN78" s="22">
        <f t="shared" si="66"/>
        <v>37.177712236894351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5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36.556000000000068</v>
      </c>
      <c r="D79" s="11">
        <f t="shared" si="86"/>
        <v>11.081086486208905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367.724878139157</v>
      </c>
      <c r="H79" s="67">
        <f t="shared" si="56"/>
        <v>376.30125896348062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11.330769230769235</v>
      </c>
      <c r="N79" s="13">
        <f>IF('Données projet'!$A$36&gt;35,N78+M79-V78,IF(A79&lt;'Données projet'!$A$36,$K$205^A79,IF(A79='Données projet'!$A$36,'Données projet'!$B$36,N78+M79-V78)))</f>
        <v>447.76153846153892</v>
      </c>
      <c r="O79" s="13">
        <f>N79*VLOOKUP('Données projet'!$B$9,Paramètres!$A$1:$I$89,3,0)*VLOOKUP('Données projet'!$B$9,Paramètres!$A$1:$I$89,5,0)</f>
        <v>215.37330000000023</v>
      </c>
      <c r="P79" s="13">
        <f t="shared" si="87"/>
        <v>53.108054779159929</v>
      </c>
      <c r="Q79" s="20">
        <f t="shared" si="54"/>
        <v>467.60502624037053</v>
      </c>
      <c r="R79" s="59">
        <f t="shared" si="55"/>
        <v>760.93835957370379</v>
      </c>
      <c r="S79" s="59">
        <f ca="1">AVERAGE(OFFSET($R$3,0,0,'Données projet'!$E$9+1,1))-AVERAGE(OFFSET($H$3,0,0,'Données projet'!$E$9+1,1))</f>
        <v>234.10156575337737</v>
      </c>
      <c r="T79" s="59">
        <f t="shared" si="88"/>
        <v>285.68635263076646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68.206329121617273</v>
      </c>
      <c r="AA79" s="21">
        <f>EXP(-LN(2)/25)*AA78+(1-EXP(-LN(2)/25))/(LN(2)/25)*Calculateur!V79*Calculateur!X79*VLOOKUP('Données projet'!$B$9,Paramètres!$A$1:$I$89,3,0)*0.475*44/12</f>
        <v>54.664040667146622</v>
      </c>
      <c r="AB79" s="21">
        <f>EXP(-LN(2)/2)*AB78+(1-EXP(-LN(2)/2))/(LN(2)/2)*V79*Y79*VLOOKUP('Données projet'!$B$9,Paramètres!$A$1:$I$89,3,0)*0.475*44/12</f>
        <v>5.1745188988778522E-6</v>
      </c>
      <c r="AC79" s="22">
        <f t="shared" si="57"/>
        <v>122.8703749632828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0</v>
      </c>
      <c r="AJ79" s="13">
        <f>AI79*VLOOKUP('Données projet'!$B$10,Paramètres!$A$1:$I$89,3,0)*VLOOKUP('Données projet'!$B$10,Paramètres!$A$1:$I$89,5,0)</f>
        <v>0</v>
      </c>
      <c r="AK79" s="13" t="e">
        <f t="shared" si="89"/>
        <v>#NUM!</v>
      </c>
      <c r="AL79" s="20" t="e">
        <f t="shared" si="58"/>
        <v>#NUM!</v>
      </c>
      <c r="AM79" s="59" t="e">
        <f t="shared" si="59"/>
        <v>#NUM!</v>
      </c>
      <c r="AN79" s="59">
        <f ca="1">AVERAGE(OFFSET($AM$3,0,0,'Données projet'!$E$10+1,1))-AVERAGE(OFFSET($H$3,0,0,'Données projet'!$E$10+1,1))</f>
        <v>179.44051550872138</v>
      </c>
      <c r="AO79" s="59">
        <f t="shared" si="90"/>
        <v>272.9500808380069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60.684655278320818</v>
      </c>
      <c r="AV79" s="21">
        <f>EXP(-LN(2)/25)*AV78+(1-EXP(-LN(2)/25))/(LN(2)/25)*Calculateur!AQ79*Calculateur!AS79*VLOOKUP('Données projet'!$B$10,Paramètres!$A$1:$I$89,3,0)*0.475*44/12</f>
        <v>92.800562509552293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153.48521778787313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-1.1368683772161603E-13</v>
      </c>
      <c r="BE79" s="13">
        <f>BD79*VLOOKUP('Données projet'!$B$11,Paramètres!$A$1:$I$89,3,0)*VLOOKUP('Données projet'!$B$11,Paramètres!$A$1:$I$89,5,0)</f>
        <v>-6.3550942286383367E-14</v>
      </c>
      <c r="BF79" s="13" t="e">
        <f t="shared" si="91"/>
        <v>#NUM!</v>
      </c>
      <c r="BG79" s="20" t="e">
        <f t="shared" si="61"/>
        <v>#NUM!</v>
      </c>
      <c r="BH79" s="59" t="e">
        <f t="shared" si="62"/>
        <v>#NUM!</v>
      </c>
      <c r="BI79" s="59">
        <f ca="1">AVERAGE(OFFSET($BH$3,0,0,'Données projet'!$E$11+1,1))-AVERAGE(OFFSET($H$3,0,0,'Données projet'!$E$11+1,1))</f>
        <v>278.5296012747549</v>
      </c>
      <c r="BJ79" s="59">
        <f t="shared" si="92"/>
        <v>370.55343097937077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149.53790634115254</v>
      </c>
      <c r="BQ79" s="21">
        <f>EXP(-LN(2)/25)*BQ78+(1-EXP(-LN(2)/25))/(LN(2)/25)*Calculateur!BL79*Calculateur!BN79*VLOOKUP('Données projet'!$B$11,Paramètres!$A$1:$I$89,3,0)*0.475*44/12</f>
        <v>32.182160175977849</v>
      </c>
      <c r="BR79" s="21">
        <f>EXP(-LN(2)/2)*BR78+(1-EXP(-LN(2)/2))/(LN(2)/2)*BL79*BO79*VLOOKUP('Données projet'!$B$11,Paramètres!$A$1:$I$89,3,0)*0.475*44/12</f>
        <v>2.3589540737776454E-2</v>
      </c>
      <c r="BS79" s="22">
        <f t="shared" si="63"/>
        <v>181.74365605786818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2.8</v>
      </c>
      <c r="BY79" s="12">
        <f>IF('Données projet'!$A$114&gt;35,BY78+BX79-CG78,IF(A79&lt;'Données projet'!$A$114,$BV$205^A79,IF(A79='Données projet'!$A$114,'Données projet'!$B$114,BY78+BX79-CG78)))</f>
        <v>263.79999999999978</v>
      </c>
      <c r="BZ79" s="13">
        <f>BY79*VLOOKUP('Données projet'!$B$12,Paramètres!$A$1:$I$89,3,0)*VLOOKUP('Données projet'!$B$12,Paramètres!$A$1:$I$89,5,0)</f>
        <v>209.87927999999985</v>
      </c>
      <c r="CA79" s="13">
        <f t="shared" si="93"/>
        <v>51.909204458241767</v>
      </c>
      <c r="CB79" s="20">
        <f t="shared" si="64"/>
        <v>455.94827709810414</v>
      </c>
      <c r="CC79" s="59">
        <f t="shared" si="65"/>
        <v>749.28161043143746</v>
      </c>
      <c r="CD79" s="59">
        <f ca="1">AVERAGE(OFFSET($CC$3,0,0,'Données projet'!$E$12+1,1))-AVERAGE(OFFSET($H$3,0,0,'Données projet'!$E$12+1,1))</f>
        <v>225.2323446080772</v>
      </c>
      <c r="CE79" s="59">
        <f t="shared" si="94"/>
        <v>222.29030402759292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27.612678838205827</v>
      </c>
      <c r="CL79" s="21">
        <f>EXP(-LN(2)/25)*CL78+(1-EXP(-LN(2)/25))/(LN(2)/25)*Calculateur!CG79*Calculateur!CI79*VLOOKUP('Données projet'!$B$12,Paramètres!$A$1:$I$89,3,0)*0.475*44/12</f>
        <v>8.7662816585276175</v>
      </c>
      <c r="CM79" s="21">
        <f>EXP(-LN(2)/2)*CM78+(1-EXP(-LN(2)/2))/(LN(2)/2)*CG79*CJ79*VLOOKUP('Données projet'!$B$12,Paramètres!$A$1:$I$89,3,0)*0.475*44/12</f>
        <v>0</v>
      </c>
      <c r="CN79" s="22">
        <f t="shared" si="66"/>
        <v>36.378960496733441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5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37.03700000000007</v>
      </c>
      <c r="D80" s="11">
        <f t="shared" si="86"/>
        <v>11.209820518381111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372.43159698399512</v>
      </c>
      <c r="H80" s="67">
        <f t="shared" si="56"/>
        <v>377.36321240284718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>
        <f>VLOOKUP(A80,'Données projet'!$A$35:$I$55,2,0)</f>
        <v>459.09230769230771</v>
      </c>
      <c r="L80" s="12">
        <f>VLOOKUP(A80,'Données projet'!$A$35:$I$55,9,0)</f>
        <v>11.330769230769235</v>
      </c>
      <c r="M80" s="12">
        <f t="array" ref="M80">INDEX(L:L,MIN(IF(ISNUMBER(L80:L276),ROW(L80:L276),"")))</f>
        <v>11.330769230769235</v>
      </c>
      <c r="N80" s="13">
        <f>IF('Données projet'!$A$36&gt;35,N79+M80-V79,IF(A80&lt;'Données projet'!$A$36,$K$205^A80,IF(A80='Données projet'!$A$36,'Données projet'!$B$36,N79+M80-V79)))</f>
        <v>459.09230769230817</v>
      </c>
      <c r="O80" s="13">
        <f>N80*VLOOKUP('Données projet'!$B$9,Paramètres!$A$1:$I$89,3,0)*VLOOKUP('Données projet'!$B$9,Paramètres!$A$1:$I$89,5,0)</f>
        <v>220.82340000000022</v>
      </c>
      <c r="P80" s="13">
        <f t="shared" si="87"/>
        <v>54.293808713834402</v>
      </c>
      <c r="Q80" s="20">
        <f t="shared" si="54"/>
        <v>479.16247184326198</v>
      </c>
      <c r="R80" s="59">
        <f t="shared" si="55"/>
        <v>772.49580517659524</v>
      </c>
      <c r="S80" s="59">
        <f ca="1">AVERAGE(OFFSET($R$3,0,0,'Données projet'!$E$9+1,1))-AVERAGE(OFFSET($H$3,0,0,'Données projet'!$E$9+1,1))</f>
        <v>234.10156575337737</v>
      </c>
      <c r="T80" s="59">
        <f t="shared" si="88"/>
        <v>285.68635263076646</v>
      </c>
      <c r="U80" s="15">
        <f>IF(ISNA(VLOOKUP(A80,'Données projet'!$A$35:$I$55,3,0)),0,VLOOKUP(A80,'Données projet'!$A$35:$I$55,3,0))</f>
        <v>9</v>
      </c>
      <c r="V80" s="15">
        <f>IF(ISNA(VLOOKUP(A80,'Données projet'!$A$35:$I$55,4,0)),0,VLOOKUP(A80,'Données projet'!$A$35:$I$55,4,0))</f>
        <v>459.09230769230771</v>
      </c>
      <c r="W80" s="16">
        <f>IF(ISNA(VLOOKUP(A80,'Données projet'!$A$35:$I$55,5,0)),0%,VLOOKUP(A80,'Données projet'!$A$35:$I$55,5,0)*VLOOKUP('Données projet'!$B$9,Paramètres!$A$1:$I$89,7,0))</f>
        <v>0.38500000000000001</v>
      </c>
      <c r="X80" s="16">
        <f>IF(ISNA(VLOOKUP(A80,'Données projet'!$A$35:$I$55,6,0)),0%,VLOOKUP(A80,'Données projet'!$A$35:$I$55,6,0)*VLOOKUP('Données projet'!$B$9,Paramètres!$A$1:$I$89,7,0))</f>
        <v>0.16500000000000001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179.64938685647877</v>
      </c>
      <c r="AA80" s="21">
        <f>EXP(-LN(2)/25)*AA79+(1-EXP(-LN(2)/25))/(LN(2)/25)*Calculateur!V80*Calculateur!X80*VLOOKUP('Données projet'!$B$9,Paramètres!$A$1:$I$89,3,0)*0.475*44/12</f>
        <v>101.313456291704</v>
      </c>
      <c r="AB80" s="21">
        <f>EXP(-LN(2)/2)*AB79+(1-EXP(-LN(2)/2))/(LN(2)/2)*V80*Y80*VLOOKUP('Données projet'!$B$9,Paramètres!$A$1:$I$89,3,0)*0.475*44/12</f>
        <v>3.6589374027744763E-6</v>
      </c>
      <c r="AC80" s="22">
        <f t="shared" si="57"/>
        <v>280.96284680712017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0</v>
      </c>
      <c r="AJ80" s="13">
        <f>AI80*VLOOKUP('Données projet'!$B$10,Paramètres!$A$1:$I$89,3,0)*VLOOKUP('Données projet'!$B$10,Paramètres!$A$1:$I$89,5,0)</f>
        <v>0</v>
      </c>
      <c r="AK80" s="13" t="e">
        <f t="shared" si="89"/>
        <v>#NUM!</v>
      </c>
      <c r="AL80" s="20" t="e">
        <f t="shared" si="58"/>
        <v>#NUM!</v>
      </c>
      <c r="AM80" s="59" t="e">
        <f t="shared" si="59"/>
        <v>#NUM!</v>
      </c>
      <c r="AN80" s="59">
        <f ca="1">AVERAGE(OFFSET($AM$3,0,0,'Données projet'!$E$10+1,1))-AVERAGE(OFFSET($H$3,0,0,'Données projet'!$E$10+1,1))</f>
        <v>179.44051550872138</v>
      </c>
      <c r="AO80" s="59">
        <f t="shared" si="90"/>
        <v>272.9500808380069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59.494666202297836</v>
      </c>
      <c r="AV80" s="21">
        <f>EXP(-LN(2)/25)*AV79+(1-EXP(-LN(2)/25))/(LN(2)/25)*Calculateur!AQ80*Calculateur!AS80*VLOOKUP('Données projet'!$B$10,Paramètres!$A$1:$I$89,3,0)*0.475*44/12</f>
        <v>90.262926247559108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149.75759244985693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-1.1368683772161603E-13</v>
      </c>
      <c r="BE80" s="13">
        <f>BD80*VLOOKUP('Données projet'!$B$11,Paramètres!$A$1:$I$89,3,0)*VLOOKUP('Données projet'!$B$11,Paramètres!$A$1:$I$89,5,0)</f>
        <v>-6.3550942286383367E-14</v>
      </c>
      <c r="BF80" s="13" t="e">
        <f t="shared" si="91"/>
        <v>#NUM!</v>
      </c>
      <c r="BG80" s="20" t="e">
        <f t="shared" si="61"/>
        <v>#NUM!</v>
      </c>
      <c r="BH80" s="59" t="e">
        <f t="shared" si="62"/>
        <v>#NUM!</v>
      </c>
      <c r="BI80" s="59">
        <f ca="1">AVERAGE(OFFSET($BH$3,0,0,'Données projet'!$E$11+1,1))-AVERAGE(OFFSET($H$3,0,0,'Données projet'!$E$11+1,1))</f>
        <v>278.5296012747549</v>
      </c>
      <c r="BJ80" s="59">
        <f t="shared" si="92"/>
        <v>370.55343097937077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146.60555920691925</v>
      </c>
      <c r="BQ80" s="21">
        <f>EXP(-LN(2)/25)*BQ79+(1-EXP(-LN(2)/25))/(LN(2)/25)*Calculateur!BL80*Calculateur!BN80*VLOOKUP('Données projet'!$B$11,Paramètres!$A$1:$I$89,3,0)*0.475*44/12</f>
        <v>31.302137313579482</v>
      </c>
      <c r="BR80" s="21">
        <f>EXP(-LN(2)/2)*BR79+(1-EXP(-LN(2)/2))/(LN(2)/2)*BL80*BO80*VLOOKUP('Données projet'!$B$11,Paramètres!$A$1:$I$89,3,0)*0.475*44/12</f>
        <v>1.6680324220758044E-2</v>
      </c>
      <c r="BS80" s="22">
        <f t="shared" si="63"/>
        <v>177.92437684471952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2.8</v>
      </c>
      <c r="BY80" s="12">
        <f>IF('Données projet'!$A$114&gt;35,BY79+BX80-CG79,IF(A80&lt;'Données projet'!$A$114,$BV$205^A80,IF(A80='Données projet'!$A$114,'Données projet'!$B$114,BY79+BX80-CG79)))</f>
        <v>266.5999999999998</v>
      </c>
      <c r="BZ80" s="13">
        <f>BY80*VLOOKUP('Données projet'!$B$12,Paramètres!$A$1:$I$89,3,0)*VLOOKUP('Données projet'!$B$12,Paramètres!$A$1:$I$89,5,0)</f>
        <v>212.10695999999984</v>
      </c>
      <c r="CA80" s="13">
        <f t="shared" si="93"/>
        <v>52.395741612408194</v>
      </c>
      <c r="CB80" s="20">
        <f t="shared" si="64"/>
        <v>460.67553864161067</v>
      </c>
      <c r="CC80" s="59">
        <f t="shared" si="65"/>
        <v>754.00887197494399</v>
      </c>
      <c r="CD80" s="59">
        <f ca="1">AVERAGE(OFFSET($CC$3,0,0,'Données projet'!$E$12+1,1))-AVERAGE(OFFSET($H$3,0,0,'Données projet'!$E$12+1,1))</f>
        <v>225.2323446080772</v>
      </c>
      <c r="CE80" s="59">
        <f t="shared" si="94"/>
        <v>222.29030402759292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27.071211048259684</v>
      </c>
      <c r="CL80" s="21">
        <f>EXP(-LN(2)/25)*CL79+(1-EXP(-LN(2)/25))/(LN(2)/25)*Calculateur!CG80*Calculateur!CI80*VLOOKUP('Données projet'!$B$12,Paramètres!$A$1:$I$89,3,0)*0.475*44/12</f>
        <v>8.5265672255764624</v>
      </c>
      <c r="CM80" s="21">
        <f>EXP(-LN(2)/2)*CM79+(1-EXP(-LN(2)/2))/(LN(2)/2)*CG80*CJ80*VLOOKUP('Données projet'!$B$12,Paramètres!$A$1:$I$89,3,0)*0.475*44/12</f>
        <v>0</v>
      </c>
      <c r="CN80" s="22">
        <f t="shared" si="66"/>
        <v>35.597778273836148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5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37.518000000000072</v>
      </c>
      <c r="D81" s="11">
        <f t="shared" si="86"/>
        <v>11.338360086058589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377.13681469940019</v>
      </c>
      <c r="H81" s="67">
        <f t="shared" si="56"/>
        <v>378.42482714988546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4.5474735088646412E-13</v>
      </c>
      <c r="O81" s="13">
        <f>N81*VLOOKUP('Données projet'!$B$9,Paramètres!$A$1:$I$89,3,0)*VLOOKUP('Données projet'!$B$9,Paramètres!$A$1:$I$89,5,0)</f>
        <v>2.1873347577638923E-13</v>
      </c>
      <c r="P81" s="13">
        <f t="shared" si="87"/>
        <v>2.999861355695181E-12</v>
      </c>
      <c r="Q81" s="20">
        <f t="shared" si="54"/>
        <v>5.6057193314796512E-12</v>
      </c>
      <c r="R81" s="59">
        <f t="shared" si="55"/>
        <v>293.33333333333894</v>
      </c>
      <c r="S81" s="59">
        <f ca="1">AVERAGE(OFFSET($R$3,0,0,'Données projet'!$E$9+1,1))-AVERAGE(OFFSET($H$3,0,0,'Données projet'!$E$9+1,1))</f>
        <v>234.10156575337737</v>
      </c>
      <c r="T81" s="59">
        <f t="shared" si="88"/>
        <v>285.68635263076646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176.12657195552953</v>
      </c>
      <c r="AA81" s="21">
        <f>EXP(-LN(2)/25)*AA80+(1-EXP(-LN(2)/25))/(LN(2)/25)*Calculateur!V81*Calculateur!X81*VLOOKUP('Données projet'!$B$9,Paramètres!$A$1:$I$89,3,0)*0.475*44/12</f>
        <v>98.543034501564236</v>
      </c>
      <c r="AB81" s="21">
        <f>EXP(-LN(2)/2)*AB80+(1-EXP(-LN(2)/2))/(LN(2)/2)*V81*Y81*VLOOKUP('Données projet'!$B$9,Paramètres!$A$1:$I$89,3,0)*0.475*44/12</f>
        <v>2.5872594494389261E-6</v>
      </c>
      <c r="AC81" s="22">
        <f t="shared" si="57"/>
        <v>274.66960904435325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0</v>
      </c>
      <c r="AJ81" s="13">
        <f>AI81*VLOOKUP('Données projet'!$B$10,Paramètres!$A$1:$I$89,3,0)*VLOOKUP('Données projet'!$B$10,Paramètres!$A$1:$I$89,5,0)</f>
        <v>0</v>
      </c>
      <c r="AK81" s="13" t="e">
        <f t="shared" si="89"/>
        <v>#NUM!</v>
      </c>
      <c r="AL81" s="20" t="e">
        <f t="shared" si="58"/>
        <v>#NUM!</v>
      </c>
      <c r="AM81" s="59" t="e">
        <f t="shared" si="59"/>
        <v>#NUM!</v>
      </c>
      <c r="AN81" s="59">
        <f ca="1">AVERAGE(OFFSET($AM$3,0,0,'Données projet'!$E$10+1,1))-AVERAGE(OFFSET($H$3,0,0,'Données projet'!$E$10+1,1))</f>
        <v>179.44051550872138</v>
      </c>
      <c r="AO81" s="59">
        <f t="shared" si="90"/>
        <v>272.9500808380069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58.328012086233997</v>
      </c>
      <c r="AV81" s="21">
        <f>EXP(-LN(2)/25)*AV80+(1-EXP(-LN(2)/25))/(LN(2)/25)*Calculateur!AQ81*Calculateur!AS81*VLOOKUP('Données projet'!$B$10,Paramètres!$A$1:$I$89,3,0)*0.475*44/12</f>
        <v>87.794681782598616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146.12269386883261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-1.1368683772161603E-13</v>
      </c>
      <c r="BE81" s="13">
        <f>BD81*VLOOKUP('Données projet'!$B$11,Paramètres!$A$1:$I$89,3,0)*VLOOKUP('Données projet'!$B$11,Paramètres!$A$1:$I$89,5,0)</f>
        <v>-6.3550942286383367E-14</v>
      </c>
      <c r="BF81" s="13" t="e">
        <f t="shared" si="91"/>
        <v>#NUM!</v>
      </c>
      <c r="BG81" s="20" t="e">
        <f t="shared" si="61"/>
        <v>#NUM!</v>
      </c>
      <c r="BH81" s="59" t="e">
        <f t="shared" si="62"/>
        <v>#NUM!</v>
      </c>
      <c r="BI81" s="59">
        <f ca="1">AVERAGE(OFFSET($BH$3,0,0,'Données projet'!$E$11+1,1))-AVERAGE(OFFSET($H$3,0,0,'Données projet'!$E$11+1,1))</f>
        <v>278.5296012747549</v>
      </c>
      <c r="BJ81" s="59">
        <f t="shared" si="92"/>
        <v>370.55343097937077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143.73071361143315</v>
      </c>
      <c r="BQ81" s="21">
        <f>EXP(-LN(2)/25)*BQ80+(1-EXP(-LN(2)/25))/(LN(2)/25)*Calculateur!BL81*Calculateur!BN81*VLOOKUP('Données projet'!$B$11,Paramètres!$A$1:$I$89,3,0)*0.475*44/12</f>
        <v>30.446178722631792</v>
      </c>
      <c r="BR81" s="21">
        <f>EXP(-LN(2)/2)*BR80+(1-EXP(-LN(2)/2))/(LN(2)/2)*BL81*BO81*VLOOKUP('Données projet'!$B$11,Paramètres!$A$1:$I$89,3,0)*0.475*44/12</f>
        <v>1.1794770368888227E-2</v>
      </c>
      <c r="BS81" s="22">
        <f t="shared" si="63"/>
        <v>174.18868710443382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2.8</v>
      </c>
      <c r="BY81" s="12">
        <f>IF('Données projet'!$A$114&gt;35,BY80+BX81-CG80,IF(A81&lt;'Données projet'!$A$114,$BV$205^A81,IF(A81='Données projet'!$A$114,'Données projet'!$B$114,BY80+BX81-CG80)))</f>
        <v>269.39999999999981</v>
      </c>
      <c r="BZ81" s="13">
        <f>BY81*VLOOKUP('Données projet'!$B$12,Paramètres!$A$1:$I$89,3,0)*VLOOKUP('Données projet'!$B$12,Paramètres!$A$1:$I$89,5,0)</f>
        <v>214.33463999999984</v>
      </c>
      <c r="CA81" s="13">
        <f t="shared" si="93"/>
        <v>52.881684324030282</v>
      </c>
      <c r="CB81" s="20">
        <f t="shared" si="64"/>
        <v>465.40176486435234</v>
      </c>
      <c r="CC81" s="59">
        <f t="shared" si="65"/>
        <v>758.7350981976856</v>
      </c>
      <c r="CD81" s="59">
        <f ca="1">AVERAGE(OFFSET($CC$3,0,0,'Données projet'!$E$12+1,1))-AVERAGE(OFFSET($H$3,0,0,'Données projet'!$E$12+1,1))</f>
        <v>225.2323446080772</v>
      </c>
      <c r="CE81" s="59">
        <f t="shared" si="94"/>
        <v>222.29030402759292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26.540361111411645</v>
      </c>
      <c r="CL81" s="21">
        <f>EXP(-LN(2)/25)*CL80+(1-EXP(-LN(2)/25))/(LN(2)/25)*Calculateur!CG81*Calculateur!CI81*VLOOKUP('Données projet'!$B$12,Paramètres!$A$1:$I$89,3,0)*0.475*44/12</f>
        <v>8.2934077964003912</v>
      </c>
      <c r="CM81" s="21">
        <f>EXP(-LN(2)/2)*CM80+(1-EXP(-LN(2)/2))/(LN(2)/2)*CG81*CJ81*VLOOKUP('Données projet'!$B$12,Paramètres!$A$1:$I$89,3,0)*0.475*44/12</f>
        <v>0</v>
      </c>
      <c r="CN81" s="22">
        <f t="shared" si="66"/>
        <v>34.833768907812036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5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37.999000000000073</v>
      </c>
      <c r="D82" s="11">
        <f t="shared" si="86"/>
        <v>11.466707970654253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381.84055275592817</v>
      </c>
      <c r="H82" s="67">
        <f t="shared" si="56"/>
        <v>379.48610804888961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4.5474735088646412E-13</v>
      </c>
      <c r="O82" s="13">
        <f>N82*VLOOKUP('Données projet'!$B$9,Paramètres!$A$1:$I$89,3,0)*VLOOKUP('Données projet'!$B$9,Paramètres!$A$1:$I$89,5,0)</f>
        <v>2.1873347577638923E-13</v>
      </c>
      <c r="P82" s="13">
        <f t="shared" si="87"/>
        <v>2.999861355695181E-12</v>
      </c>
      <c r="Q82" s="20">
        <f t="shared" si="54"/>
        <v>5.6057193314796512E-12</v>
      </c>
      <c r="R82" s="59">
        <f t="shared" si="55"/>
        <v>293.33333333333894</v>
      </c>
      <c r="S82" s="59">
        <f ca="1">AVERAGE(OFFSET($R$3,0,0,'Données projet'!$E$9+1,1))-AVERAGE(OFFSET($H$3,0,0,'Données projet'!$E$9+1,1))</f>
        <v>234.10156575337737</v>
      </c>
      <c r="T82" s="59">
        <f t="shared" si="88"/>
        <v>285.68635263076646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172.67283730608298</v>
      </c>
      <c r="AA82" s="21">
        <f>EXP(-LN(2)/25)*AA81+(1-EXP(-LN(2)/25))/(LN(2)/25)*Calculateur!V82*Calculateur!X82*VLOOKUP('Données projet'!$B$9,Paramètres!$A$1:$I$89,3,0)*0.475*44/12</f>
        <v>95.848370040966003</v>
      </c>
      <c r="AB82" s="21">
        <f>EXP(-LN(2)/2)*AB81+(1-EXP(-LN(2)/2))/(LN(2)/2)*V82*Y82*VLOOKUP('Données projet'!$B$9,Paramètres!$A$1:$I$89,3,0)*0.475*44/12</f>
        <v>1.8294687013872381E-6</v>
      </c>
      <c r="AC82" s="22">
        <f t="shared" si="57"/>
        <v>268.52120917651769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0</v>
      </c>
      <c r="AJ82" s="13">
        <f>AI82*VLOOKUP('Données projet'!$B$10,Paramètres!$A$1:$I$89,3,0)*VLOOKUP('Données projet'!$B$10,Paramètres!$A$1:$I$89,5,0)</f>
        <v>0</v>
      </c>
      <c r="AK82" s="13" t="e">
        <f t="shared" si="89"/>
        <v>#NUM!</v>
      </c>
      <c r="AL82" s="20" t="e">
        <f t="shared" si="58"/>
        <v>#NUM!</v>
      </c>
      <c r="AM82" s="59" t="e">
        <f t="shared" si="59"/>
        <v>#NUM!</v>
      </c>
      <c r="AN82" s="59">
        <f ca="1">AVERAGE(OFFSET($AM$3,0,0,'Données projet'!$E$10+1,1))-AVERAGE(OFFSET($H$3,0,0,'Données projet'!$E$10+1,1))</f>
        <v>179.44051550872138</v>
      </c>
      <c r="AO82" s="59">
        <f t="shared" si="90"/>
        <v>272.9500808380069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57.184235345797426</v>
      </c>
      <c r="AV82" s="21">
        <f>EXP(-LN(2)/25)*AV81+(1-EXP(-LN(2)/25))/(LN(2)/25)*Calculateur!AQ82*Calculateur!AS82*VLOOKUP('Données projet'!$B$10,Paramètres!$A$1:$I$89,3,0)*0.475*44/12</f>
        <v>85.393931592331796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142.57816693812921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-1.1368683772161603E-13</v>
      </c>
      <c r="BE82" s="13">
        <f>BD82*VLOOKUP('Données projet'!$B$11,Paramètres!$A$1:$I$89,3,0)*VLOOKUP('Données projet'!$B$11,Paramètres!$A$1:$I$89,5,0)</f>
        <v>-6.3550942286383367E-14</v>
      </c>
      <c r="BF82" s="13" t="e">
        <f t="shared" si="91"/>
        <v>#NUM!</v>
      </c>
      <c r="BG82" s="20" t="e">
        <f t="shared" si="61"/>
        <v>#NUM!</v>
      </c>
      <c r="BH82" s="59" t="e">
        <f t="shared" si="62"/>
        <v>#NUM!</v>
      </c>
      <c r="BI82" s="59">
        <f ca="1">AVERAGE(OFFSET($BH$3,0,0,'Données projet'!$E$11+1,1))-AVERAGE(OFFSET($H$3,0,0,'Données projet'!$E$11+1,1))</f>
        <v>278.5296012747549</v>
      </c>
      <c r="BJ82" s="59">
        <f t="shared" si="92"/>
        <v>370.55343097937077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140.91224198459184</v>
      </c>
      <c r="BQ82" s="21">
        <f>EXP(-LN(2)/25)*BQ81+(1-EXP(-LN(2)/25))/(LN(2)/25)*Calculateur!BL82*Calculateur!BN82*VLOOKUP('Données projet'!$B$11,Paramètres!$A$1:$I$89,3,0)*0.475*44/12</f>
        <v>29.613626364366471</v>
      </c>
      <c r="BR82" s="21">
        <f>EXP(-LN(2)/2)*BR81+(1-EXP(-LN(2)/2))/(LN(2)/2)*BL82*BO82*VLOOKUP('Données projet'!$B$11,Paramètres!$A$1:$I$89,3,0)*0.475*44/12</f>
        <v>8.3401621103790218E-3</v>
      </c>
      <c r="BS82" s="22">
        <f t="shared" si="63"/>
        <v>170.5342085110687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2.8</v>
      </c>
      <c r="BY82" s="12">
        <f>IF('Données projet'!$A$114&gt;35,BY81+BX82-CG81,IF(A82&lt;'Données projet'!$A$114,$BV$205^A82,IF(A82='Données projet'!$A$114,'Données projet'!$B$114,BY81+BX82-CG81)))</f>
        <v>272.19999999999982</v>
      </c>
      <c r="BZ82" s="13">
        <f>BY82*VLOOKUP('Données projet'!$B$12,Paramètres!$A$1:$I$89,3,0)*VLOOKUP('Données projet'!$B$12,Paramètres!$A$1:$I$89,5,0)</f>
        <v>216.56231999999989</v>
      </c>
      <c r="CA82" s="13">
        <f t="shared" si="93"/>
        <v>53.367039486661959</v>
      </c>
      <c r="CB82" s="20">
        <f t="shared" si="64"/>
        <v>470.12696777260271</v>
      </c>
      <c r="CC82" s="59">
        <f t="shared" si="65"/>
        <v>763.46030110593597</v>
      </c>
      <c r="CD82" s="59">
        <f ca="1">AVERAGE(OFFSET($CC$3,0,0,'Données projet'!$E$12+1,1))-AVERAGE(OFFSET($H$3,0,0,'Données projet'!$E$12+1,1))</f>
        <v>225.2323446080772</v>
      </c>
      <c r="CE82" s="59">
        <f t="shared" si="94"/>
        <v>222.29030402759292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26.019920818038706</v>
      </c>
      <c r="CL82" s="21">
        <f>EXP(-LN(2)/25)*CL81+(1-EXP(-LN(2)/25))/(LN(2)/25)*Calculateur!CG82*Calculateur!CI82*VLOOKUP('Données projet'!$B$12,Paramètres!$A$1:$I$89,3,0)*0.475*44/12</f>
        <v>8.066624124076462</v>
      </c>
      <c r="CM82" s="21">
        <f>EXP(-LN(2)/2)*CM81+(1-EXP(-LN(2)/2))/(LN(2)/2)*CG82*CJ82*VLOOKUP('Données projet'!$B$12,Paramètres!$A$1:$I$89,3,0)*0.475*44/12</f>
        <v>0</v>
      </c>
      <c r="CN82" s="22">
        <f t="shared" si="66"/>
        <v>34.086544942115168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5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38.480000000000075</v>
      </c>
      <c r="D83" s="11">
        <f t="shared" si="86"/>
        <v>11.594866879116264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386.5428320493192</v>
      </c>
      <c r="H83" s="67">
        <f t="shared" si="56"/>
        <v>380.54705981446097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4.5474735088646412E-13</v>
      </c>
      <c r="O83" s="13">
        <f>N83*VLOOKUP('Données projet'!$B$9,Paramètres!$A$1:$I$89,3,0)*VLOOKUP('Données projet'!$B$9,Paramètres!$A$1:$I$89,5,0)</f>
        <v>2.1873347577638923E-13</v>
      </c>
      <c r="P83" s="13">
        <f t="shared" si="87"/>
        <v>2.999861355695181E-12</v>
      </c>
      <c r="Q83" s="20">
        <f t="shared" si="54"/>
        <v>5.6057193314796512E-12</v>
      </c>
      <c r="R83" s="59">
        <f t="shared" si="55"/>
        <v>293.33333333333894</v>
      </c>
      <c r="S83" s="59">
        <f ca="1">AVERAGE(OFFSET($R$3,0,0,'Données projet'!$E$9+1,1))-AVERAGE(OFFSET($H$3,0,0,'Données projet'!$E$9+1,1))</f>
        <v>234.10156575337737</v>
      </c>
      <c r="T83" s="59">
        <f t="shared" si="88"/>
        <v>285.68635263076646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169.28682828654198</v>
      </c>
      <c r="AA83" s="21">
        <f>EXP(-LN(2)/25)*AA82+(1-EXP(-LN(2)/25))/(LN(2)/25)*Calculateur!V83*Calculateur!X83*VLOOKUP('Données projet'!$B$9,Paramètres!$A$1:$I$89,3,0)*0.475*44/12</f>
        <v>93.227391321749067</v>
      </c>
      <c r="AB83" s="21">
        <f>EXP(-LN(2)/2)*AB82+(1-EXP(-LN(2)/2))/(LN(2)/2)*V83*Y83*VLOOKUP('Données projet'!$B$9,Paramètres!$A$1:$I$89,3,0)*0.475*44/12</f>
        <v>1.293629724719463E-6</v>
      </c>
      <c r="AC83" s="22">
        <f t="shared" si="57"/>
        <v>262.51422090192079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0</v>
      </c>
      <c r="AJ83" s="13">
        <f>AI83*VLOOKUP('Données projet'!$B$10,Paramètres!$A$1:$I$89,3,0)*VLOOKUP('Données projet'!$B$10,Paramètres!$A$1:$I$89,5,0)</f>
        <v>0</v>
      </c>
      <c r="AK83" s="13" t="e">
        <f t="shared" si="89"/>
        <v>#NUM!</v>
      </c>
      <c r="AL83" s="20" t="e">
        <f t="shared" si="58"/>
        <v>#NUM!</v>
      </c>
      <c r="AM83" s="59" t="e">
        <f t="shared" si="59"/>
        <v>#NUM!</v>
      </c>
      <c r="AN83" s="59">
        <f ca="1">AVERAGE(OFFSET($AM$3,0,0,'Données projet'!$E$10+1,1))-AVERAGE(OFFSET($H$3,0,0,'Données projet'!$E$10+1,1))</f>
        <v>179.44051550872138</v>
      </c>
      <c r="AO83" s="59">
        <f t="shared" si="90"/>
        <v>272.9500808380069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56.062887369605889</v>
      </c>
      <c r="AV83" s="21">
        <f>EXP(-LN(2)/25)*AV82+(1-EXP(-LN(2)/25))/(LN(2)/25)*Calculateur!AQ83*Calculateur!AS83*VLOOKUP('Données projet'!$B$10,Paramètres!$A$1:$I$89,3,0)*0.475*44/12</f>
        <v>83.058830042267786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139.12171741187368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-1.1368683772161603E-13</v>
      </c>
      <c r="BE83" s="13">
        <f>BD83*VLOOKUP('Données projet'!$B$11,Paramètres!$A$1:$I$89,3,0)*VLOOKUP('Données projet'!$B$11,Paramètres!$A$1:$I$89,5,0)</f>
        <v>-6.3550942286383367E-14</v>
      </c>
      <c r="BF83" s="13" t="e">
        <f t="shared" si="91"/>
        <v>#NUM!</v>
      </c>
      <c r="BG83" s="20" t="e">
        <f t="shared" si="61"/>
        <v>#NUM!</v>
      </c>
      <c r="BH83" s="59" t="e">
        <f t="shared" si="62"/>
        <v>#NUM!</v>
      </c>
      <c r="BI83" s="59">
        <f ca="1">AVERAGE(OFFSET($BH$3,0,0,'Données projet'!$E$11+1,1))-AVERAGE(OFFSET($H$3,0,0,'Données projet'!$E$11+1,1))</f>
        <v>278.5296012747549</v>
      </c>
      <c r="BJ83" s="59">
        <f t="shared" si="92"/>
        <v>370.55343097937077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138.14903886725494</v>
      </c>
      <c r="BQ83" s="21">
        <f>EXP(-LN(2)/25)*BQ82+(1-EXP(-LN(2)/25))/(LN(2)/25)*Calculateur!BL83*Calculateur!BN83*VLOOKUP('Données projet'!$B$11,Paramètres!$A$1:$I$89,3,0)*0.475*44/12</f>
        <v>28.803840194119942</v>
      </c>
      <c r="BR83" s="21">
        <f>EXP(-LN(2)/2)*BR82+(1-EXP(-LN(2)/2))/(LN(2)/2)*BL83*BO83*VLOOKUP('Données projet'!$B$11,Paramètres!$A$1:$I$89,3,0)*0.475*44/12</f>
        <v>5.8973851844441134E-3</v>
      </c>
      <c r="BS83" s="22">
        <f t="shared" si="63"/>
        <v>166.95877644655934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>
        <f>VLOOKUP(A83,'Données projet'!$A$113:$I$133,2,0)</f>
        <v>275</v>
      </c>
      <c r="BW83" s="12">
        <f>VLOOKUP(A83,'Données projet'!$A$113:$I$133,9,0)</f>
        <v>2.8</v>
      </c>
      <c r="BX83" s="12">
        <f t="array" ref="BX83">INDEX(BW:BW,MIN(IF(ISNUMBER(BW83:BW279),ROW(BW83:BW279),"")))</f>
        <v>2.8</v>
      </c>
      <c r="BY83" s="12">
        <f>IF('Données projet'!$A$114&gt;35,BY82+BX83-CG82,IF(A83&lt;'Données projet'!$A$114,$BV$205^A83,IF(A83='Données projet'!$A$114,'Données projet'!$B$114,BY82+BX83-CG82)))</f>
        <v>274.99999999999983</v>
      </c>
      <c r="BZ83" s="13">
        <f>BY83*VLOOKUP('Données projet'!$B$12,Paramètres!$A$1:$I$89,3,0)*VLOOKUP('Données projet'!$B$12,Paramètres!$A$1:$I$89,5,0)</f>
        <v>218.78999999999988</v>
      </c>
      <c r="CA83" s="13">
        <f t="shared" si="93"/>
        <v>53.851813843863468</v>
      </c>
      <c r="CB83" s="20">
        <f t="shared" si="64"/>
        <v>474.85115911139536</v>
      </c>
      <c r="CC83" s="59">
        <f t="shared" si="65"/>
        <v>768.18449244472868</v>
      </c>
      <c r="CD83" s="59">
        <f ca="1">AVERAGE(OFFSET($CC$3,0,0,'Données projet'!$E$12+1,1))-AVERAGE(OFFSET($H$3,0,0,'Données projet'!$E$12+1,1))</f>
        <v>225.2323446080772</v>
      </c>
      <c r="CE83" s="59">
        <f t="shared" si="94"/>
        <v>222.29030402759292</v>
      </c>
      <c r="CF83" s="15">
        <f>IF(ISNA(VLOOKUP(A83,'Données projet'!$A$113:$I$133,3,0)),0,VLOOKUP(A83,'Données projet'!$A$113:$I$133,3,0))</f>
        <v>14</v>
      </c>
      <c r="CG83" s="15">
        <f>IF(ISNA(VLOOKUP(A83,'Données projet'!$A$113:$I$133,4,0)),0,VLOOKUP(A83,'Données projet'!$A$113:$I$133,4,0))</f>
        <v>8</v>
      </c>
      <c r="CH83" s="16">
        <f>IF(ISNA(VLOOKUP(A83,'Données projet'!$A$113:$I$133,5,0)),0%,VLOOKUP(A83,'Données projet'!$A$113:$I$133,5,0)*VLOOKUP('Données projet'!$B$12,Paramètres!$A$1:$I$89,7,0))</f>
        <v>0.46640000000000004</v>
      </c>
      <c r="CI83" s="16">
        <f>IF(ISNA(VLOOKUP(A83,'Données projet'!$A$113:$I$133,6,0)),0%,VLOOKUP(A83,'Données projet'!$A$113:$I$133,6,0)*VLOOKUP('Données projet'!$B$12,Paramètres!$A$1:$I$89,7,0))</f>
        <v>6.8900000000000003E-2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28.791322088719753</v>
      </c>
      <c r="CL83" s="21">
        <f>EXP(-LN(2)/25)*CL82+(1-EXP(-LN(2)/25))/(LN(2)/25)*Calculateur!CG83*Calculateur!CI83*VLOOKUP('Données projet'!$B$12,Paramètres!$A$1:$I$89,3,0)*0.475*44/12</f>
        <v>8.3289202148532624</v>
      </c>
      <c r="CM83" s="21">
        <f>EXP(-LN(2)/2)*CM82+(1-EXP(-LN(2)/2))/(LN(2)/2)*CG83*CJ83*VLOOKUP('Données projet'!$B$12,Paramètres!$A$1:$I$89,3,0)*0.475*44/12</f>
        <v>0</v>
      </c>
      <c r="CN83" s="22">
        <f t="shared" si="66"/>
        <v>37.120242303573015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5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38.961000000000077</v>
      </c>
      <c r="D84" s="11">
        <f t="shared" si="86"/>
        <v>11.722839446826988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391.24367292287553</v>
      </c>
      <c r="H84" s="67">
        <f t="shared" si="56"/>
        <v>381.60768703655714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4.5474735088646412E-13</v>
      </c>
      <c r="O84" s="13">
        <f>N84*VLOOKUP('Données projet'!$B$9,Paramètres!$A$1:$I$89,3,0)*VLOOKUP('Données projet'!$B$9,Paramètres!$A$1:$I$89,5,0)</f>
        <v>2.1873347577638923E-13</v>
      </c>
      <c r="P84" s="13">
        <f t="shared" si="87"/>
        <v>2.999861355695181E-12</v>
      </c>
      <c r="Q84" s="20">
        <f t="shared" si="54"/>
        <v>5.6057193314796512E-12</v>
      </c>
      <c r="R84" s="59">
        <f t="shared" si="55"/>
        <v>293.33333333333894</v>
      </c>
      <c r="S84" s="59">
        <f ca="1">AVERAGE(OFFSET($R$3,0,0,'Données projet'!$E$9+1,1))-AVERAGE(OFFSET($H$3,0,0,'Données projet'!$E$9+1,1))</f>
        <v>234.10156575337737</v>
      </c>
      <c r="T84" s="59">
        <f t="shared" si="88"/>
        <v>285.68635263076646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165.96721683861259</v>
      </c>
      <c r="AA84" s="21">
        <f>EXP(-LN(2)/25)*AA83+(1-EXP(-LN(2)/25))/(LN(2)/25)*Calculateur!V84*Calculateur!X84*VLOOKUP('Données projet'!$B$9,Paramètres!$A$1:$I$89,3,0)*0.475*44/12</f>
        <v>90.678083403440397</v>
      </c>
      <c r="AB84" s="21">
        <f>EXP(-LN(2)/2)*AB83+(1-EXP(-LN(2)/2))/(LN(2)/2)*V84*Y84*VLOOKUP('Données projet'!$B$9,Paramètres!$A$1:$I$89,3,0)*0.475*44/12</f>
        <v>9.1473435069361907E-7</v>
      </c>
      <c r="AC84" s="22">
        <f t="shared" si="57"/>
        <v>256.64530115678735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0</v>
      </c>
      <c r="AJ84" s="13">
        <f>AI84*VLOOKUP('Données projet'!$B$10,Paramètres!$A$1:$I$89,3,0)*VLOOKUP('Données projet'!$B$10,Paramètres!$A$1:$I$89,5,0)</f>
        <v>0</v>
      </c>
      <c r="AK84" s="13" t="e">
        <f t="shared" si="89"/>
        <v>#NUM!</v>
      </c>
      <c r="AL84" s="20" t="e">
        <f t="shared" si="58"/>
        <v>#NUM!</v>
      </c>
      <c r="AM84" s="59" t="e">
        <f t="shared" si="59"/>
        <v>#NUM!</v>
      </c>
      <c r="AN84" s="59">
        <f ca="1">AVERAGE(OFFSET($AM$3,0,0,'Données projet'!$E$10+1,1))-AVERAGE(OFFSET($H$3,0,0,'Données projet'!$E$10+1,1))</f>
        <v>179.44051550872138</v>
      </c>
      <c r="AO84" s="59">
        <f t="shared" si="90"/>
        <v>272.9500808380069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54.963528343272742</v>
      </c>
      <c r="AV84" s="21">
        <f>EXP(-LN(2)/25)*AV83+(1-EXP(-LN(2)/25))/(LN(2)/25)*Calculateur!AQ84*Calculateur!AS84*VLOOKUP('Données projet'!$B$10,Paramètres!$A$1:$I$89,3,0)*0.475*44/12</f>
        <v>80.787581966887942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135.7511103101607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-1.1368683772161603E-13</v>
      </c>
      <c r="BE84" s="13">
        <f>BD84*VLOOKUP('Données projet'!$B$11,Paramètres!$A$1:$I$89,3,0)*VLOOKUP('Données projet'!$B$11,Paramètres!$A$1:$I$89,5,0)</f>
        <v>-6.3550942286383367E-14</v>
      </c>
      <c r="BF84" s="13" t="e">
        <f t="shared" si="91"/>
        <v>#NUM!</v>
      </c>
      <c r="BG84" s="20" t="e">
        <f t="shared" si="61"/>
        <v>#NUM!</v>
      </c>
      <c r="BH84" s="59" t="e">
        <f t="shared" si="62"/>
        <v>#NUM!</v>
      </c>
      <c r="BI84" s="59">
        <f ca="1">AVERAGE(OFFSET($BH$3,0,0,'Données projet'!$E$11+1,1))-AVERAGE(OFFSET($H$3,0,0,'Données projet'!$E$11+1,1))</f>
        <v>278.5296012747549</v>
      </c>
      <c r="BJ84" s="59">
        <f t="shared" si="92"/>
        <v>370.55343097937077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135.44002047766153</v>
      </c>
      <c r="BQ84" s="21">
        <f>EXP(-LN(2)/25)*BQ83+(1-EXP(-LN(2)/25))/(LN(2)/25)*Calculateur!BL84*Calculateur!BN84*VLOOKUP('Données projet'!$B$11,Paramètres!$A$1:$I$89,3,0)*0.475*44/12</f>
        <v>28.01619766928361</v>
      </c>
      <c r="BR84" s="21">
        <f>EXP(-LN(2)/2)*BR83+(1-EXP(-LN(2)/2))/(LN(2)/2)*BL84*BO84*VLOOKUP('Données projet'!$B$11,Paramètres!$A$1:$I$89,3,0)*0.475*44/12</f>
        <v>4.1700810551895109E-3</v>
      </c>
      <c r="BS84" s="22">
        <f t="shared" si="63"/>
        <v>163.46038822800031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266.99999999999983</v>
      </c>
      <c r="BZ84" s="13">
        <f>BY84*VLOOKUP('Données projet'!$B$12,Paramètres!$A$1:$I$89,3,0)*VLOOKUP('Données projet'!$B$12,Paramètres!$A$1:$I$89,5,0)</f>
        <v>212.42519999999985</v>
      </c>
      <c r="CA84" s="13">
        <f t="shared" si="93"/>
        <v>52.465198231787184</v>
      </c>
      <c r="CB84" s="20">
        <f t="shared" si="64"/>
        <v>461.35077692036231</v>
      </c>
      <c r="CC84" s="59">
        <f t="shared" si="65"/>
        <v>754.68411025369562</v>
      </c>
      <c r="CD84" s="59">
        <f ca="1">AVERAGE(OFFSET($CC$3,0,0,'Données projet'!$E$12+1,1))-AVERAGE(OFFSET($H$3,0,0,'Données projet'!$E$12+1,1))</f>
        <v>225.2323446080772</v>
      </c>
      <c r="CE84" s="59">
        <f t="shared" si="94"/>
        <v>222.29030402759292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28.226741823532429</v>
      </c>
      <c r="CL84" s="21">
        <f>EXP(-LN(2)/25)*CL83+(1-EXP(-LN(2)/25))/(LN(2)/25)*Calculateur!CG84*Calculateur!CI84*VLOOKUP('Données projet'!$B$12,Paramètres!$A$1:$I$89,3,0)*0.475*44/12</f>
        <v>8.1011654535792221</v>
      </c>
      <c r="CM84" s="21">
        <f>EXP(-LN(2)/2)*CM83+(1-EXP(-LN(2)/2))/(LN(2)/2)*CG84*CJ84*VLOOKUP('Données projet'!$B$12,Paramètres!$A$1:$I$89,3,0)*0.475*44/12</f>
        <v>0</v>
      </c>
      <c r="CN84" s="22">
        <f t="shared" si="66"/>
        <v>36.327907277111649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5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39.442000000000078</v>
      </c>
      <c r="D85" s="11">
        <f t="shared" si="86"/>
        <v>11.850628240354748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395.94309518870392</v>
      </c>
      <c r="H85" s="67">
        <f t="shared" si="56"/>
        <v>382.66799418528461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4.5474735088646412E-13</v>
      </c>
      <c r="O85" s="13">
        <f>N85*VLOOKUP('Données projet'!$B$9,Paramètres!$A$1:$I$89,3,0)*VLOOKUP('Données projet'!$B$9,Paramètres!$A$1:$I$89,5,0)</f>
        <v>2.1873347577638923E-13</v>
      </c>
      <c r="P85" s="13">
        <f t="shared" si="87"/>
        <v>2.999861355695181E-12</v>
      </c>
      <c r="Q85" s="20">
        <f t="shared" si="54"/>
        <v>5.6057193314796512E-12</v>
      </c>
      <c r="R85" s="59">
        <f t="shared" si="55"/>
        <v>293.33333333333894</v>
      </c>
      <c r="S85" s="59">
        <f ca="1">AVERAGE(OFFSET($R$3,0,0,'Données projet'!$E$9+1,1))-AVERAGE(OFFSET($H$3,0,0,'Données projet'!$E$9+1,1))</f>
        <v>234.10156575337737</v>
      </c>
      <c r="T85" s="59">
        <f t="shared" si="88"/>
        <v>285.68635263076646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162.71270094641403</v>
      </c>
      <c r="AA85" s="21">
        <f>EXP(-LN(2)/25)*AA84+(1-EXP(-LN(2)/25))/(LN(2)/25)*Calculateur!V85*Calculateur!X85*VLOOKUP('Données projet'!$B$9,Paramètres!$A$1:$I$89,3,0)*0.475*44/12</f>
        <v>88.198486444220165</v>
      </c>
      <c r="AB85" s="21">
        <f>EXP(-LN(2)/2)*AB84+(1-EXP(-LN(2)/2))/(LN(2)/2)*V85*Y85*VLOOKUP('Données projet'!$B$9,Paramètres!$A$1:$I$89,3,0)*0.475*44/12</f>
        <v>6.4681486235973152E-7</v>
      </c>
      <c r="AC85" s="22">
        <f t="shared" si="57"/>
        <v>250.91118803744908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0</v>
      </c>
      <c r="AJ85" s="13">
        <f>AI85*VLOOKUP('Données projet'!$B$10,Paramètres!$A$1:$I$89,3,0)*VLOOKUP('Données projet'!$B$10,Paramètres!$A$1:$I$89,5,0)</f>
        <v>0</v>
      </c>
      <c r="AK85" s="13" t="e">
        <f t="shared" si="89"/>
        <v>#NUM!</v>
      </c>
      <c r="AL85" s="20" t="e">
        <f t="shared" si="58"/>
        <v>#NUM!</v>
      </c>
      <c r="AM85" s="59" t="e">
        <f t="shared" si="59"/>
        <v>#NUM!</v>
      </c>
      <c r="AN85" s="59">
        <f ca="1">AVERAGE(OFFSET($AM$3,0,0,'Données projet'!$E$10+1,1))-AVERAGE(OFFSET($H$3,0,0,'Données projet'!$E$10+1,1))</f>
        <v>179.44051550872138</v>
      </c>
      <c r="AO85" s="59">
        <f t="shared" si="90"/>
        <v>272.9500808380069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53.885727076903187</v>
      </c>
      <c r="AV85" s="21">
        <f>EXP(-LN(2)/25)*AV84+(1-EXP(-LN(2)/25))/(LN(2)/25)*Calculateur!AQ85*Calculateur!AS85*VLOOKUP('Données projet'!$B$10,Paramètres!$A$1:$I$89,3,0)*0.475*44/12</f>
        <v>78.578441289569099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132.46416836647228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-1.1368683772161603E-13</v>
      </c>
      <c r="BE85" s="13">
        <f>BD85*VLOOKUP('Données projet'!$B$11,Paramètres!$A$1:$I$89,3,0)*VLOOKUP('Données projet'!$B$11,Paramètres!$A$1:$I$89,5,0)</f>
        <v>-6.3550942286383367E-14</v>
      </c>
      <c r="BF85" s="13" t="e">
        <f t="shared" si="91"/>
        <v>#NUM!</v>
      </c>
      <c r="BG85" s="20" t="e">
        <f t="shared" si="61"/>
        <v>#NUM!</v>
      </c>
      <c r="BH85" s="59" t="e">
        <f t="shared" si="62"/>
        <v>#NUM!</v>
      </c>
      <c r="BI85" s="59">
        <f ca="1">AVERAGE(OFFSET($BH$3,0,0,'Données projet'!$E$11+1,1))-AVERAGE(OFFSET($H$3,0,0,'Données projet'!$E$11+1,1))</f>
        <v>278.5296012747549</v>
      </c>
      <c r="BJ85" s="59">
        <f t="shared" si="92"/>
        <v>370.55343097937077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132.78412428634999</v>
      </c>
      <c r="BQ85" s="21">
        <f>EXP(-LN(2)/25)*BQ84+(1-EXP(-LN(2)/25))/(LN(2)/25)*Calculateur!BL85*Calculateur!BN85*VLOOKUP('Données projet'!$B$11,Paramètres!$A$1:$I$89,3,0)*0.475*44/12</f>
        <v>27.250093270709247</v>
      </c>
      <c r="BR85" s="21">
        <f>EXP(-LN(2)/2)*BR84+(1-EXP(-LN(2)/2))/(LN(2)/2)*BL85*BO85*VLOOKUP('Données projet'!$B$11,Paramètres!$A$1:$I$89,3,0)*0.475*44/12</f>
        <v>2.9486925922220567E-3</v>
      </c>
      <c r="BS85" s="22">
        <f t="shared" si="63"/>
        <v>160.03716624965145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266.99999999999983</v>
      </c>
      <c r="BZ85" s="13">
        <f>BY85*VLOOKUP('Données projet'!$B$12,Paramètres!$A$1:$I$89,3,0)*VLOOKUP('Données projet'!$B$12,Paramètres!$A$1:$I$89,5,0)</f>
        <v>212.42519999999985</v>
      </c>
      <c r="CA85" s="13">
        <f t="shared" si="93"/>
        <v>52.465198231787184</v>
      </c>
      <c r="CB85" s="20">
        <f t="shared" si="64"/>
        <v>461.35077692036231</v>
      </c>
      <c r="CC85" s="59">
        <f t="shared" si="65"/>
        <v>754.68411025369562</v>
      </c>
      <c r="CD85" s="59">
        <f ca="1">AVERAGE(OFFSET($CC$3,0,0,'Données projet'!$E$12+1,1))-AVERAGE(OFFSET($H$3,0,0,'Données projet'!$E$12+1,1))</f>
        <v>225.2323446080772</v>
      </c>
      <c r="CE85" s="59">
        <f t="shared" si="94"/>
        <v>222.29030402759292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27.673232632985471</v>
      </c>
      <c r="CL85" s="21">
        <f>EXP(-LN(2)/25)*CL84+(1-EXP(-LN(2)/25))/(LN(2)/25)*Calculateur!CG85*Calculateur!CI85*VLOOKUP('Données projet'!$B$12,Paramètres!$A$1:$I$89,3,0)*0.475*44/12</f>
        <v>7.8796386582293225</v>
      </c>
      <c r="CM85" s="21">
        <f>EXP(-LN(2)/2)*CM84+(1-EXP(-LN(2)/2))/(LN(2)/2)*CG85*CJ85*VLOOKUP('Données projet'!$B$12,Paramètres!$A$1:$I$89,3,0)*0.475*44/12</f>
        <v>0</v>
      </c>
      <c r="CN85" s="22">
        <f t="shared" si="66"/>
        <v>35.552871291214792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5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39.92300000000008</v>
      </c>
      <c r="D86" s="11">
        <f t="shared" si="86"/>
        <v>11.978235760067443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400.64111814788959</v>
      </c>
      <c r="H86" s="67">
        <f t="shared" si="56"/>
        <v>383.7279856154509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4.5474735088646412E-13</v>
      </c>
      <c r="O86" s="13">
        <f>N86*VLOOKUP('Données projet'!$B$9,Paramètres!$A$1:$I$89,3,0)*VLOOKUP('Données projet'!$B$9,Paramètres!$A$1:$I$89,5,0)</f>
        <v>2.1873347577638923E-13</v>
      </c>
      <c r="P86" s="13">
        <f t="shared" si="87"/>
        <v>2.999861355695181E-12</v>
      </c>
      <c r="Q86" s="20">
        <f t="shared" si="54"/>
        <v>5.6057193314796512E-12</v>
      </c>
      <c r="R86" s="59">
        <f t="shared" si="55"/>
        <v>293.33333333333894</v>
      </c>
      <c r="S86" s="59">
        <f ca="1">AVERAGE(OFFSET($R$3,0,0,'Données projet'!$E$9+1,1))-AVERAGE(OFFSET($H$3,0,0,'Données projet'!$E$9+1,1))</f>
        <v>234.10156575337737</v>
      </c>
      <c r="T86" s="59">
        <f t="shared" si="88"/>
        <v>285.68635263076646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159.52200412580279</v>
      </c>
      <c r="AA86" s="21">
        <f>EXP(-LN(2)/25)*AA85+(1-EXP(-LN(2)/25))/(LN(2)/25)*Calculateur!V86*Calculateur!X86*VLOOKUP('Données projet'!$B$9,Paramètres!$A$1:$I$89,3,0)*0.475*44/12</f>
        <v>85.786694194246138</v>
      </c>
      <c r="AB86" s="21">
        <f>EXP(-LN(2)/2)*AB85+(1-EXP(-LN(2)/2))/(LN(2)/2)*V86*Y86*VLOOKUP('Données projet'!$B$9,Paramètres!$A$1:$I$89,3,0)*0.475*44/12</f>
        <v>4.5736717534680954E-7</v>
      </c>
      <c r="AC86" s="22">
        <f t="shared" si="57"/>
        <v>245.30869877741611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0</v>
      </c>
      <c r="AJ86" s="13">
        <f>AI86*VLOOKUP('Données projet'!$B$10,Paramètres!$A$1:$I$89,3,0)*VLOOKUP('Données projet'!$B$10,Paramètres!$A$1:$I$89,5,0)</f>
        <v>0</v>
      </c>
      <c r="AK86" s="13" t="e">
        <f t="shared" si="89"/>
        <v>#NUM!</v>
      </c>
      <c r="AL86" s="20" t="e">
        <f t="shared" si="58"/>
        <v>#NUM!</v>
      </c>
      <c r="AM86" s="59" t="e">
        <f t="shared" si="59"/>
        <v>#NUM!</v>
      </c>
      <c r="AN86" s="59">
        <f ca="1">AVERAGE(OFFSET($AM$3,0,0,'Données projet'!$E$10+1,1))-AVERAGE(OFFSET($H$3,0,0,'Données projet'!$E$10+1,1))</f>
        <v>179.44051550872138</v>
      </c>
      <c r="AO86" s="59">
        <f t="shared" si="90"/>
        <v>272.9500808380069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52.82906083597328</v>
      </c>
      <c r="AV86" s="21">
        <f>EXP(-LN(2)/25)*AV85+(1-EXP(-LN(2)/25))/(LN(2)/25)*Calculateur!AQ86*Calculateur!AS86*VLOOKUP('Données projet'!$B$10,Paramètres!$A$1:$I$89,3,0)*0.475*44/12</f>
        <v>76.429709680245196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129.25877051621848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-1.1368683772161603E-13</v>
      </c>
      <c r="BE86" s="13">
        <f>BD86*VLOOKUP('Données projet'!$B$11,Paramètres!$A$1:$I$89,3,0)*VLOOKUP('Données projet'!$B$11,Paramètres!$A$1:$I$89,5,0)</f>
        <v>-6.3550942286383367E-14</v>
      </c>
      <c r="BF86" s="13" t="e">
        <f t="shared" si="91"/>
        <v>#NUM!</v>
      </c>
      <c r="BG86" s="20" t="e">
        <f t="shared" si="61"/>
        <v>#NUM!</v>
      </c>
      <c r="BH86" s="59" t="e">
        <f t="shared" si="62"/>
        <v>#NUM!</v>
      </c>
      <c r="BI86" s="59">
        <f ca="1">AVERAGE(OFFSET($BH$3,0,0,'Données projet'!$E$11+1,1))-AVERAGE(OFFSET($H$3,0,0,'Données projet'!$E$11+1,1))</f>
        <v>278.5296012747549</v>
      </c>
      <c r="BJ86" s="59">
        <f t="shared" si="92"/>
        <v>370.55343097937077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130.18030859941337</v>
      </c>
      <c r="BQ86" s="21">
        <f>EXP(-LN(2)/25)*BQ85+(1-EXP(-LN(2)/25))/(LN(2)/25)*Calculateur!BL86*Calculateur!BN86*VLOOKUP('Données projet'!$B$11,Paramètres!$A$1:$I$89,3,0)*0.475*44/12</f>
        <v>26.50493803720158</v>
      </c>
      <c r="BR86" s="21">
        <f>EXP(-LN(2)/2)*BR85+(1-EXP(-LN(2)/2))/(LN(2)/2)*BL86*BO86*VLOOKUP('Données projet'!$B$11,Paramètres!$A$1:$I$89,3,0)*0.475*44/12</f>
        <v>2.0850405275947555E-3</v>
      </c>
      <c r="BS86" s="22">
        <f t="shared" si="63"/>
        <v>156.68733167714254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266.99999999999983</v>
      </c>
      <c r="BZ86" s="13">
        <f>BY86*VLOOKUP('Données projet'!$B$12,Paramètres!$A$1:$I$89,3,0)*VLOOKUP('Données projet'!$B$12,Paramètres!$A$1:$I$89,5,0)</f>
        <v>212.42519999999985</v>
      </c>
      <c r="CA86" s="13">
        <f t="shared" si="93"/>
        <v>52.465198231787184</v>
      </c>
      <c r="CB86" s="20">
        <f t="shared" si="64"/>
        <v>461.35077692036231</v>
      </c>
      <c r="CC86" s="59">
        <f t="shared" si="65"/>
        <v>754.68411025369562</v>
      </c>
      <c r="CD86" s="59">
        <f ca="1">AVERAGE(OFFSET($CC$3,0,0,'Données projet'!$E$12+1,1))-AVERAGE(OFFSET($H$3,0,0,'Données projet'!$E$12+1,1))</f>
        <v>225.2323446080772</v>
      </c>
      <c r="CE86" s="59">
        <f t="shared" si="94"/>
        <v>222.29030402759292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27.130577420057868</v>
      </c>
      <c r="CL86" s="21">
        <f>EXP(-LN(2)/25)*CL85+(1-EXP(-LN(2)/25))/(LN(2)/25)*Calculateur!CG86*Calculateur!CI86*VLOOKUP('Données projet'!$B$12,Paramètres!$A$1:$I$89,3,0)*0.475*44/12</f>
        <v>7.6641695247478534</v>
      </c>
      <c r="CM86" s="21">
        <f>EXP(-LN(2)/2)*CM85+(1-EXP(-LN(2)/2))/(LN(2)/2)*CG86*CJ86*VLOOKUP('Données projet'!$B$12,Paramètres!$A$1:$I$89,3,0)*0.475*44/12</f>
        <v>0</v>
      </c>
      <c r="CN86" s="22">
        <f t="shared" si="66"/>
        <v>34.794746944805723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5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40.404000000000082</v>
      </c>
      <c r="D87" s="11">
        <f t="shared" si="86"/>
        <v>12.105664442616733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405.33776060967369</v>
      </c>
      <c r="H87" s="67">
        <f t="shared" si="56"/>
        <v>384.78766557089091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4.5474735088646412E-13</v>
      </c>
      <c r="O87" s="13">
        <f>N87*VLOOKUP('Données projet'!$B$9,Paramètres!$A$1:$I$89,3,0)*VLOOKUP('Données projet'!$B$9,Paramètres!$A$1:$I$89,5,0)</f>
        <v>2.1873347577638923E-13</v>
      </c>
      <c r="P87" s="13">
        <f t="shared" si="87"/>
        <v>2.999861355695181E-12</v>
      </c>
      <c r="Q87" s="20">
        <f t="shared" si="54"/>
        <v>5.6057193314796512E-12</v>
      </c>
      <c r="R87" s="59">
        <f t="shared" si="55"/>
        <v>293.33333333333894</v>
      </c>
      <c r="S87" s="59">
        <f ca="1">AVERAGE(OFFSET($R$3,0,0,'Données projet'!$E$9+1,1))-AVERAGE(OFFSET($H$3,0,0,'Données projet'!$E$9+1,1))</f>
        <v>234.10156575337737</v>
      </c>
      <c r="T87" s="59">
        <f t="shared" si="88"/>
        <v>285.68635263076646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156.39387492371085</v>
      </c>
      <c r="AA87" s="21">
        <f>EXP(-LN(2)/25)*AA86+(1-EXP(-LN(2)/25))/(LN(2)/25)*Calculateur!V87*Calculateur!X87*VLOOKUP('Données projet'!$B$9,Paramètres!$A$1:$I$89,3,0)*0.475*44/12</f>
        <v>83.440852530178304</v>
      </c>
      <c r="AB87" s="21">
        <f>EXP(-LN(2)/2)*AB86+(1-EXP(-LN(2)/2))/(LN(2)/2)*V87*Y87*VLOOKUP('Données projet'!$B$9,Paramètres!$A$1:$I$89,3,0)*0.475*44/12</f>
        <v>3.2340743117986576E-7</v>
      </c>
      <c r="AC87" s="22">
        <f t="shared" si="57"/>
        <v>239.83472777729659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0</v>
      </c>
      <c r="AJ87" s="13">
        <f>AI87*VLOOKUP('Données projet'!$B$10,Paramètres!$A$1:$I$89,3,0)*VLOOKUP('Données projet'!$B$10,Paramètres!$A$1:$I$89,5,0)</f>
        <v>0</v>
      </c>
      <c r="AK87" s="13" t="e">
        <f t="shared" si="89"/>
        <v>#NUM!</v>
      </c>
      <c r="AL87" s="20" t="e">
        <f t="shared" si="58"/>
        <v>#NUM!</v>
      </c>
      <c r="AM87" s="59" t="e">
        <f t="shared" si="59"/>
        <v>#NUM!</v>
      </c>
      <c r="AN87" s="59">
        <f ca="1">AVERAGE(OFFSET($AM$3,0,0,'Données projet'!$E$10+1,1))-AVERAGE(OFFSET($H$3,0,0,'Données projet'!$E$10+1,1))</f>
        <v>179.44051550872138</v>
      </c>
      <c r="AO87" s="59">
        <f t="shared" si="90"/>
        <v>272.9500808380069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51.793115175525244</v>
      </c>
      <c r="AV87" s="21">
        <f>EXP(-LN(2)/25)*AV86+(1-EXP(-LN(2)/25))/(LN(2)/25)*Calculateur!AQ87*Calculateur!AS87*VLOOKUP('Données projet'!$B$10,Paramètres!$A$1:$I$89,3,0)*0.475*44/12</f>
        <v>74.339735249775146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126.13285042530039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-1.1368683772161603E-13</v>
      </c>
      <c r="BE87" s="13">
        <f>BD87*VLOOKUP('Données projet'!$B$11,Paramètres!$A$1:$I$89,3,0)*VLOOKUP('Données projet'!$B$11,Paramètres!$A$1:$I$89,5,0)</f>
        <v>-6.3550942286383367E-14</v>
      </c>
      <c r="BF87" s="13" t="e">
        <f t="shared" si="91"/>
        <v>#NUM!</v>
      </c>
      <c r="BG87" s="20" t="e">
        <f t="shared" si="61"/>
        <v>#NUM!</v>
      </c>
      <c r="BH87" s="59" t="e">
        <f t="shared" si="62"/>
        <v>#NUM!</v>
      </c>
      <c r="BI87" s="59">
        <f ca="1">AVERAGE(OFFSET($BH$3,0,0,'Données projet'!$E$11+1,1))-AVERAGE(OFFSET($H$3,0,0,'Données projet'!$E$11+1,1))</f>
        <v>278.5296012747549</v>
      </c>
      <c r="BJ87" s="59">
        <f t="shared" si="92"/>
        <v>370.55343097937077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127.6275521499268</v>
      </c>
      <c r="BQ87" s="21">
        <f>EXP(-LN(2)/25)*BQ86+(1-EXP(-LN(2)/25))/(LN(2)/25)*Calculateur!BL87*Calculateur!BN87*VLOOKUP('Données projet'!$B$11,Paramètres!$A$1:$I$89,3,0)*0.475*44/12</f>
        <v>25.78015911274019</v>
      </c>
      <c r="BR87" s="21">
        <f>EXP(-LN(2)/2)*BR86+(1-EXP(-LN(2)/2))/(LN(2)/2)*BL87*BO87*VLOOKUP('Données projet'!$B$11,Paramètres!$A$1:$I$89,3,0)*0.475*44/12</f>
        <v>1.4743462961110284E-3</v>
      </c>
      <c r="BS87" s="22">
        <f t="shared" si="63"/>
        <v>153.4091856089631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266.99999999999983</v>
      </c>
      <c r="BZ87" s="13">
        <f>BY87*VLOOKUP('Données projet'!$B$12,Paramètres!$A$1:$I$89,3,0)*VLOOKUP('Données projet'!$B$12,Paramètres!$A$1:$I$89,5,0)</f>
        <v>212.42519999999985</v>
      </c>
      <c r="CA87" s="13">
        <f t="shared" si="93"/>
        <v>52.465198231787184</v>
      </c>
      <c r="CB87" s="20">
        <f t="shared" si="64"/>
        <v>461.35077692036231</v>
      </c>
      <c r="CC87" s="59">
        <f t="shared" si="65"/>
        <v>754.68411025369562</v>
      </c>
      <c r="CD87" s="59">
        <f ca="1">AVERAGE(OFFSET($CC$3,0,0,'Données projet'!$E$12+1,1))-AVERAGE(OFFSET($H$3,0,0,'Données projet'!$E$12+1,1))</f>
        <v>225.2323446080772</v>
      </c>
      <c r="CE87" s="59">
        <f t="shared" si="94"/>
        <v>222.29030402759292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26.598563344868779</v>
      </c>
      <c r="CL87" s="21">
        <f>EXP(-LN(2)/25)*CL86+(1-EXP(-LN(2)/25))/(LN(2)/25)*Calculateur!CG87*Calculateur!CI87*VLOOKUP('Données projet'!$B$12,Paramètres!$A$1:$I$89,3,0)*0.475*44/12</f>
        <v>7.4545924060524644</v>
      </c>
      <c r="CM87" s="21">
        <f>EXP(-LN(2)/2)*CM86+(1-EXP(-LN(2)/2))/(LN(2)/2)*CG87*CJ87*VLOOKUP('Données projet'!$B$12,Paramètres!$A$1:$I$89,3,0)*0.475*44/12</f>
        <v>0</v>
      </c>
      <c r="CN87" s="22">
        <f t="shared" si="66"/>
        <v>34.053155750921242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5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40.885000000000083</v>
      </c>
      <c r="D88" s="11">
        <f t="shared" si="86"/>
        <v>12.232916663300438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410.03304090968822</v>
      </c>
      <c r="H88" s="67">
        <f t="shared" si="56"/>
        <v>385.84703818858173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4.5474735088646412E-13</v>
      </c>
      <c r="O88" s="13">
        <f>N88*VLOOKUP('Données projet'!$B$9,Paramètres!$A$1:$I$89,3,0)*VLOOKUP('Données projet'!$B$9,Paramètres!$A$1:$I$89,5,0)</f>
        <v>2.1873347577638923E-13</v>
      </c>
      <c r="P88" s="13">
        <f t="shared" si="87"/>
        <v>2.999861355695181E-12</v>
      </c>
      <c r="Q88" s="20">
        <f t="shared" si="54"/>
        <v>5.6057193314796512E-12</v>
      </c>
      <c r="R88" s="59">
        <f t="shared" si="55"/>
        <v>293.33333333333894</v>
      </c>
      <c r="S88" s="59">
        <f ca="1">AVERAGE(OFFSET($R$3,0,0,'Données projet'!$E$9+1,1))-AVERAGE(OFFSET($H$3,0,0,'Données projet'!$E$9+1,1))</f>
        <v>234.10156575337737</v>
      </c>
      <c r="T88" s="59">
        <f t="shared" si="88"/>
        <v>285.68635263076646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153.32708642730154</v>
      </c>
      <c r="AA88" s="21">
        <f>EXP(-LN(2)/25)*AA87+(1-EXP(-LN(2)/25))/(LN(2)/25)*Calculateur!V88*Calculateur!X88*VLOOKUP('Données projet'!$B$9,Paramètres!$A$1:$I$89,3,0)*0.475*44/12</f>
        <v>81.159158029776847</v>
      </c>
      <c r="AB88" s="21">
        <f>EXP(-LN(2)/2)*AB87+(1-EXP(-LN(2)/2))/(LN(2)/2)*V88*Y88*VLOOKUP('Données projet'!$B$9,Paramètres!$A$1:$I$89,3,0)*0.475*44/12</f>
        <v>2.2868358767340477E-7</v>
      </c>
      <c r="AC88" s="22">
        <f t="shared" si="57"/>
        <v>234.48624468576196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0</v>
      </c>
      <c r="AJ88" s="13">
        <f>AI88*VLOOKUP('Données projet'!$B$10,Paramètres!$A$1:$I$89,3,0)*VLOOKUP('Données projet'!$B$10,Paramètres!$A$1:$I$89,5,0)</f>
        <v>0</v>
      </c>
      <c r="AK88" s="13" t="e">
        <f t="shared" si="89"/>
        <v>#NUM!</v>
      </c>
      <c r="AL88" s="20" t="e">
        <f t="shared" si="58"/>
        <v>#NUM!</v>
      </c>
      <c r="AM88" s="59" t="e">
        <f t="shared" si="59"/>
        <v>#NUM!</v>
      </c>
      <c r="AN88" s="59">
        <f ca="1">AVERAGE(OFFSET($AM$3,0,0,'Données projet'!$E$10+1,1))-AVERAGE(OFFSET($H$3,0,0,'Données projet'!$E$10+1,1))</f>
        <v>179.44051550872138</v>
      </c>
      <c r="AO88" s="59">
        <f t="shared" si="90"/>
        <v>272.9500808380069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50.77748377761413</v>
      </c>
      <c r="AV88" s="21">
        <f>EXP(-LN(2)/25)*AV87+(1-EXP(-LN(2)/25))/(LN(2)/25)*Calculateur!AQ88*Calculateur!AS88*VLOOKUP('Données projet'!$B$10,Paramètres!$A$1:$I$89,3,0)*0.475*44/12</f>
        <v>72.306911280013267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123.0843950576274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-1.1368683772161603E-13</v>
      </c>
      <c r="BE88" s="13">
        <f>BD88*VLOOKUP('Données projet'!$B$11,Paramètres!$A$1:$I$89,3,0)*VLOOKUP('Données projet'!$B$11,Paramètres!$A$1:$I$89,5,0)</f>
        <v>-6.3550942286383367E-14</v>
      </c>
      <c r="BF88" s="13" t="e">
        <f t="shared" si="91"/>
        <v>#NUM!</v>
      </c>
      <c r="BG88" s="20" t="e">
        <f t="shared" si="61"/>
        <v>#NUM!</v>
      </c>
      <c r="BH88" s="59" t="e">
        <f t="shared" si="62"/>
        <v>#NUM!</v>
      </c>
      <c r="BI88" s="59">
        <f ca="1">AVERAGE(OFFSET($BH$3,0,0,'Données projet'!$E$11+1,1))-AVERAGE(OFFSET($H$3,0,0,'Données projet'!$E$11+1,1))</f>
        <v>278.5296012747549</v>
      </c>
      <c r="BJ88" s="59">
        <f t="shared" si="92"/>
        <v>370.55343097937077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125.12485369738698</v>
      </c>
      <c r="BQ88" s="21">
        <f>EXP(-LN(2)/25)*BQ87+(1-EXP(-LN(2)/25))/(LN(2)/25)*Calculateur!BL88*Calculateur!BN88*VLOOKUP('Données projet'!$B$11,Paramètres!$A$1:$I$89,3,0)*0.475*44/12</f>
        <v>25.075199306082663</v>
      </c>
      <c r="BR88" s="21">
        <f>EXP(-LN(2)/2)*BR87+(1-EXP(-LN(2)/2))/(LN(2)/2)*BL88*BO88*VLOOKUP('Données projet'!$B$11,Paramètres!$A$1:$I$89,3,0)*0.475*44/12</f>
        <v>1.0425202637973777E-3</v>
      </c>
      <c r="BS88" s="22">
        <f t="shared" si="63"/>
        <v>150.20109552373344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266.99999999999983</v>
      </c>
      <c r="BZ88" s="13">
        <f>BY88*VLOOKUP('Données projet'!$B$12,Paramètres!$A$1:$I$89,3,0)*VLOOKUP('Données projet'!$B$12,Paramètres!$A$1:$I$89,5,0)</f>
        <v>212.42519999999985</v>
      </c>
      <c r="CA88" s="13">
        <f t="shared" si="93"/>
        <v>52.465198231787184</v>
      </c>
      <c r="CB88" s="20">
        <f t="shared" si="64"/>
        <v>461.35077692036231</v>
      </c>
      <c r="CC88" s="59">
        <f t="shared" si="65"/>
        <v>754.68411025369562</v>
      </c>
      <c r="CD88" s="59">
        <f ca="1">AVERAGE(OFFSET($CC$3,0,0,'Données projet'!$E$12+1,1))-AVERAGE(OFFSET($H$3,0,0,'Données projet'!$E$12+1,1))</f>
        <v>225.2323446080772</v>
      </c>
      <c r="CE88" s="59">
        <f t="shared" si="94"/>
        <v>222.29030402759292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26.076981741197603</v>
      </c>
      <c r="CL88" s="21">
        <f>EXP(-LN(2)/25)*CL87+(1-EXP(-LN(2)/25))/(LN(2)/25)*Calculateur!CG88*Calculateur!CI88*VLOOKUP('Données projet'!$B$12,Paramètres!$A$1:$I$89,3,0)*0.475*44/12</f>
        <v>7.2507461846889827</v>
      </c>
      <c r="CM88" s="21">
        <f>EXP(-LN(2)/2)*CM87+(1-EXP(-LN(2)/2))/(LN(2)/2)*CG88*CJ88*VLOOKUP('Données projet'!$B$12,Paramètres!$A$1:$I$89,3,0)*0.475*44/12</f>
        <v>0</v>
      </c>
      <c r="CN88" s="22">
        <f t="shared" si="66"/>
        <v>33.327727925886585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5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41.366000000000085</v>
      </c>
      <c r="D89" s="11">
        <f t="shared" si="86"/>
        <v>12.359994738310691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414.72697692731134</v>
      </c>
      <c r="H89" s="67">
        <f t="shared" si="56"/>
        <v>386.90610750255792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4.5474735088646412E-13</v>
      </c>
      <c r="O89" s="13">
        <f>N89*VLOOKUP('Données projet'!$B$9,Paramètres!$A$1:$I$89,3,0)*VLOOKUP('Données projet'!$B$9,Paramètres!$A$1:$I$89,5,0)</f>
        <v>2.1873347577638923E-13</v>
      </c>
      <c r="P89" s="13">
        <f t="shared" si="87"/>
        <v>2.999861355695181E-12</v>
      </c>
      <c r="Q89" s="20">
        <f t="shared" si="54"/>
        <v>5.6057193314796512E-12</v>
      </c>
      <c r="R89" s="59">
        <f t="shared" si="55"/>
        <v>293.33333333333894</v>
      </c>
      <c r="S89" s="59">
        <f ca="1">AVERAGE(OFFSET($R$3,0,0,'Données projet'!$E$9+1,1))-AVERAGE(OFFSET($H$3,0,0,'Données projet'!$E$9+1,1))</f>
        <v>234.10156575337737</v>
      </c>
      <c r="T89" s="59">
        <f t="shared" si="88"/>
        <v>285.68635263076646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150.32043578275051</v>
      </c>
      <c r="AA89" s="21">
        <f>EXP(-LN(2)/25)*AA88+(1-EXP(-LN(2)/25))/(LN(2)/25)*Calculateur!V89*Calculateur!X89*VLOOKUP('Données projet'!$B$9,Paramètres!$A$1:$I$89,3,0)*0.475*44/12</f>
        <v>78.939856585477969</v>
      </c>
      <c r="AB89" s="21">
        <f>EXP(-LN(2)/2)*AB88+(1-EXP(-LN(2)/2))/(LN(2)/2)*V89*Y89*VLOOKUP('Données projet'!$B$9,Paramètres!$A$1:$I$89,3,0)*0.475*44/12</f>
        <v>1.6170371558993288E-7</v>
      </c>
      <c r="AC89" s="22">
        <f t="shared" si="57"/>
        <v>229.2602925299322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0</v>
      </c>
      <c r="AJ89" s="13">
        <f>AI89*VLOOKUP('Données projet'!$B$10,Paramètres!$A$1:$I$89,3,0)*VLOOKUP('Données projet'!$B$10,Paramètres!$A$1:$I$89,5,0)</f>
        <v>0</v>
      </c>
      <c r="AK89" s="13" t="e">
        <f t="shared" si="89"/>
        <v>#NUM!</v>
      </c>
      <c r="AL89" s="20" t="e">
        <f t="shared" si="58"/>
        <v>#NUM!</v>
      </c>
      <c r="AM89" s="59" t="e">
        <f t="shared" si="59"/>
        <v>#NUM!</v>
      </c>
      <c r="AN89" s="59">
        <f ca="1">AVERAGE(OFFSET($AM$3,0,0,'Données projet'!$E$10+1,1))-AVERAGE(OFFSET($H$3,0,0,'Données projet'!$E$10+1,1))</f>
        <v>179.44051550872138</v>
      </c>
      <c r="AO89" s="59">
        <f t="shared" si="90"/>
        <v>272.9500808380069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49.781768291942065</v>
      </c>
      <c r="AV89" s="21">
        <f>EXP(-LN(2)/25)*AV88+(1-EXP(-LN(2)/25))/(LN(2)/25)*Calculateur!AQ89*Calculateur!AS89*VLOOKUP('Données projet'!$B$10,Paramètres!$A$1:$I$89,3,0)*0.475*44/12</f>
        <v>70.329674988606101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120.11144328054817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-1.1368683772161603E-13</v>
      </c>
      <c r="BE89" s="13">
        <f>BD89*VLOOKUP('Données projet'!$B$11,Paramètres!$A$1:$I$89,3,0)*VLOOKUP('Données projet'!$B$11,Paramètres!$A$1:$I$89,5,0)</f>
        <v>-6.3550942286383367E-14</v>
      </c>
      <c r="BF89" s="13" t="e">
        <f t="shared" si="91"/>
        <v>#NUM!</v>
      </c>
      <c r="BG89" s="20" t="e">
        <f t="shared" si="61"/>
        <v>#NUM!</v>
      </c>
      <c r="BH89" s="59" t="e">
        <f t="shared" si="62"/>
        <v>#NUM!</v>
      </c>
      <c r="BI89" s="59">
        <f ca="1">AVERAGE(OFFSET($BH$3,0,0,'Données projet'!$E$11+1,1))-AVERAGE(OFFSET($H$3,0,0,'Données projet'!$E$11+1,1))</f>
        <v>278.5296012747549</v>
      </c>
      <c r="BJ89" s="59">
        <f t="shared" si="92"/>
        <v>370.55343097937077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122.67123163500614</v>
      </c>
      <c r="BQ89" s="21">
        <f>EXP(-LN(2)/25)*BQ88+(1-EXP(-LN(2)/25))/(LN(2)/25)*Calculateur!BL89*Calculateur!BN89*VLOOKUP('Données projet'!$B$11,Paramètres!$A$1:$I$89,3,0)*0.475*44/12</f>
        <v>24.389516662410411</v>
      </c>
      <c r="BR89" s="21">
        <f>EXP(-LN(2)/2)*BR88+(1-EXP(-LN(2)/2))/(LN(2)/2)*BL89*BO89*VLOOKUP('Données projet'!$B$11,Paramètres!$A$1:$I$89,3,0)*0.475*44/12</f>
        <v>7.3717314805551418E-4</v>
      </c>
      <c r="BS89" s="22">
        <f t="shared" si="63"/>
        <v>147.06148547056461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266.99999999999983</v>
      </c>
      <c r="BZ89" s="13">
        <f>BY89*VLOOKUP('Données projet'!$B$12,Paramètres!$A$1:$I$89,3,0)*VLOOKUP('Données projet'!$B$12,Paramètres!$A$1:$I$89,5,0)</f>
        <v>212.42519999999985</v>
      </c>
      <c r="CA89" s="13">
        <f t="shared" si="93"/>
        <v>52.465198231787184</v>
      </c>
      <c r="CB89" s="20">
        <f t="shared" si="64"/>
        <v>461.35077692036231</v>
      </c>
      <c r="CC89" s="59">
        <f t="shared" si="65"/>
        <v>754.68411025369562</v>
      </c>
      <c r="CD89" s="59">
        <f ca="1">AVERAGE(OFFSET($CC$3,0,0,'Données projet'!$E$12+1,1))-AVERAGE(OFFSET($H$3,0,0,'Données projet'!$E$12+1,1))</f>
        <v>225.2323446080772</v>
      </c>
      <c r="CE89" s="59">
        <f t="shared" si="94"/>
        <v>222.29030402759292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25.565628034641055</v>
      </c>
      <c r="CL89" s="21">
        <f>EXP(-LN(2)/25)*CL88+(1-EXP(-LN(2)/25))/(LN(2)/25)*Calculateur!CG89*Calculateur!CI89*VLOOKUP('Données projet'!$B$12,Paramètres!$A$1:$I$89,3,0)*0.475*44/12</f>
        <v>7.0524741489684928</v>
      </c>
      <c r="CM89" s="21">
        <f>EXP(-LN(2)/2)*CM88+(1-EXP(-LN(2)/2))/(LN(2)/2)*CG89*CJ89*VLOOKUP('Données projet'!$B$12,Paramètres!$A$1:$I$89,3,0)*0.475*44/12</f>
        <v>0</v>
      </c>
      <c r="CN89" s="22">
        <f t="shared" si="66"/>
        <v>32.618102183609551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5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41.847000000000087</v>
      </c>
      <c r="D90" s="11">
        <f t="shared" si="86"/>
        <v>12.486900926874483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419.41958610218967</v>
      </c>
      <c r="H90" s="67">
        <f t="shared" si="56"/>
        <v>387.96487744763988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4.5474735088646412E-13</v>
      </c>
      <c r="O90" s="13">
        <f>N90*VLOOKUP('Données projet'!$B$9,Paramètres!$A$1:$I$89,3,0)*VLOOKUP('Données projet'!$B$9,Paramètres!$A$1:$I$89,5,0)</f>
        <v>2.1873347577638923E-13</v>
      </c>
      <c r="P90" s="13">
        <f t="shared" si="87"/>
        <v>2.999861355695181E-12</v>
      </c>
      <c r="Q90" s="20">
        <f t="shared" si="54"/>
        <v>5.6057193314796512E-12</v>
      </c>
      <c r="R90" s="59">
        <f t="shared" si="55"/>
        <v>293.33333333333894</v>
      </c>
      <c r="S90" s="59">
        <f ca="1">AVERAGE(OFFSET($R$3,0,0,'Données projet'!$E$9+1,1))-AVERAGE(OFFSET($H$3,0,0,'Données projet'!$E$9+1,1))</f>
        <v>234.10156575337737</v>
      </c>
      <c r="T90" s="59">
        <f t="shared" si="88"/>
        <v>285.68635263076646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147.37274372346332</v>
      </c>
      <c r="AA90" s="21">
        <f>EXP(-LN(2)/25)*AA89+(1-EXP(-LN(2)/25))/(LN(2)/25)*Calculateur!V90*Calculateur!X90*VLOOKUP('Données projet'!$B$9,Paramètres!$A$1:$I$89,3,0)*0.475*44/12</f>
        <v>76.781242055881435</v>
      </c>
      <c r="AB90" s="21">
        <f>EXP(-LN(2)/2)*AB89+(1-EXP(-LN(2)/2))/(LN(2)/2)*V90*Y90*VLOOKUP('Données projet'!$B$9,Paramètres!$A$1:$I$89,3,0)*0.475*44/12</f>
        <v>1.1434179383670238E-7</v>
      </c>
      <c r="AC90" s="22">
        <f t="shared" si="57"/>
        <v>224.15398589368652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0</v>
      </c>
      <c r="AJ90" s="13">
        <f>AI90*VLOOKUP('Données projet'!$B$10,Paramètres!$A$1:$I$89,3,0)*VLOOKUP('Données projet'!$B$10,Paramètres!$A$1:$I$89,5,0)</f>
        <v>0</v>
      </c>
      <c r="AK90" s="13" t="e">
        <f t="shared" si="89"/>
        <v>#NUM!</v>
      </c>
      <c r="AL90" s="20" t="e">
        <f t="shared" si="58"/>
        <v>#NUM!</v>
      </c>
      <c r="AM90" s="59" t="e">
        <f t="shared" si="59"/>
        <v>#NUM!</v>
      </c>
      <c r="AN90" s="59">
        <f ca="1">AVERAGE(OFFSET($AM$3,0,0,'Données projet'!$E$10+1,1))-AVERAGE(OFFSET($H$3,0,0,'Données projet'!$E$10+1,1))</f>
        <v>179.44051550872138</v>
      </c>
      <c r="AO90" s="59">
        <f t="shared" si="90"/>
        <v>272.9500808380069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48.805578179617555</v>
      </c>
      <c r="AV90" s="21">
        <f>EXP(-LN(2)/25)*AV89+(1-EXP(-LN(2)/25))/(LN(2)/25)*Calculateur!AQ90*Calculateur!AS90*VLOOKUP('Données projet'!$B$10,Paramètres!$A$1:$I$89,3,0)*0.475*44/12</f>
        <v>68.406506327565793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117.21208450718335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-1.1368683772161603E-13</v>
      </c>
      <c r="BE90" s="13">
        <f>BD90*VLOOKUP('Données projet'!$B$11,Paramètres!$A$1:$I$89,3,0)*VLOOKUP('Données projet'!$B$11,Paramètres!$A$1:$I$89,5,0)</f>
        <v>-6.3550942286383367E-14</v>
      </c>
      <c r="BF90" s="13" t="e">
        <f t="shared" si="91"/>
        <v>#NUM!</v>
      </c>
      <c r="BG90" s="20" t="e">
        <f t="shared" si="61"/>
        <v>#NUM!</v>
      </c>
      <c r="BH90" s="59" t="e">
        <f t="shared" si="62"/>
        <v>#NUM!</v>
      </c>
      <c r="BI90" s="59">
        <f ca="1">AVERAGE(OFFSET($BH$3,0,0,'Données projet'!$E$11+1,1))-AVERAGE(OFFSET($H$3,0,0,'Données projet'!$E$11+1,1))</f>
        <v>278.5296012747549</v>
      </c>
      <c r="BJ90" s="59">
        <f t="shared" si="92"/>
        <v>370.55343097937077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120.26572360470689</v>
      </c>
      <c r="BQ90" s="21">
        <f>EXP(-LN(2)/25)*BQ89+(1-EXP(-LN(2)/25))/(LN(2)/25)*Calculateur!BL90*Calculateur!BN90*VLOOKUP('Données projet'!$B$11,Paramètres!$A$1:$I$89,3,0)*0.475*44/12</f>
        <v>23.72258404668786</v>
      </c>
      <c r="BR90" s="21">
        <f>EXP(-LN(2)/2)*BR89+(1-EXP(-LN(2)/2))/(LN(2)/2)*BL90*BO90*VLOOKUP('Données projet'!$B$11,Paramètres!$A$1:$I$89,3,0)*0.475*44/12</f>
        <v>5.2126013189868886E-4</v>
      </c>
      <c r="BS90" s="22">
        <f t="shared" si="63"/>
        <v>143.98882891152667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266.99999999999983</v>
      </c>
      <c r="BZ90" s="13">
        <f>BY90*VLOOKUP('Données projet'!$B$12,Paramètres!$A$1:$I$89,3,0)*VLOOKUP('Données projet'!$B$12,Paramètres!$A$1:$I$89,5,0)</f>
        <v>212.42519999999985</v>
      </c>
      <c r="CA90" s="13">
        <f t="shared" si="93"/>
        <v>52.465198231787184</v>
      </c>
      <c r="CB90" s="20">
        <f t="shared" si="64"/>
        <v>461.35077692036231</v>
      </c>
      <c r="CC90" s="59">
        <f t="shared" si="65"/>
        <v>754.68411025369562</v>
      </c>
      <c r="CD90" s="59">
        <f ca="1">AVERAGE(OFFSET($CC$3,0,0,'Données projet'!$E$12+1,1))-AVERAGE(OFFSET($H$3,0,0,'Données projet'!$E$12+1,1))</f>
        <v>225.2323446080772</v>
      </c>
      <c r="CE90" s="59">
        <f t="shared" si="94"/>
        <v>222.29030402759292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25.064301662375115</v>
      </c>
      <c r="CL90" s="21">
        <f>EXP(-LN(2)/25)*CL89+(1-EXP(-LN(2)/25))/(LN(2)/25)*Calculateur!CG90*Calculateur!CI90*VLOOKUP('Données projet'!$B$12,Paramètres!$A$1:$I$89,3,0)*0.475*44/12</f>
        <v>6.8596238724914524</v>
      </c>
      <c r="CM90" s="21">
        <f>EXP(-LN(2)/2)*CM89+(1-EXP(-LN(2)/2))/(LN(2)/2)*CG90*CJ90*VLOOKUP('Données projet'!$B$12,Paramètres!$A$1:$I$89,3,0)*0.475*44/12</f>
        <v>0</v>
      </c>
      <c r="CN90" s="22">
        <f t="shared" si="66"/>
        <v>31.923925534866569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5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42.328000000000088</v>
      </c>
      <c r="D91" s="11">
        <f t="shared" si="86"/>
        <v>12.613637433293027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424.11088544998194</v>
      </c>
      <c r="H91" s="67">
        <f t="shared" si="56"/>
        <v>389.02335186298552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4.5474735088646412E-13</v>
      </c>
      <c r="O91" s="13">
        <f>N91*VLOOKUP('Données projet'!$B$9,Paramètres!$A$1:$I$89,3,0)*VLOOKUP('Données projet'!$B$9,Paramètres!$A$1:$I$89,5,0)</f>
        <v>2.1873347577638923E-13</v>
      </c>
      <c r="P91" s="13">
        <f t="shared" si="87"/>
        <v>2.999861355695181E-12</v>
      </c>
      <c r="Q91" s="20">
        <f t="shared" si="54"/>
        <v>5.6057193314796512E-12</v>
      </c>
      <c r="R91" s="59">
        <f t="shared" si="55"/>
        <v>293.33333333333894</v>
      </c>
      <c r="S91" s="59">
        <f ca="1">AVERAGE(OFFSET($R$3,0,0,'Données projet'!$E$9+1,1))-AVERAGE(OFFSET($H$3,0,0,'Données projet'!$E$9+1,1))</f>
        <v>234.10156575337737</v>
      </c>
      <c r="T91" s="59">
        <f t="shared" si="88"/>
        <v>285.68635263076646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144.48285410754411</v>
      </c>
      <c r="AA91" s="21">
        <f>EXP(-LN(2)/25)*AA90+(1-EXP(-LN(2)/25))/(LN(2)/25)*Calculateur!V91*Calculateur!X91*VLOOKUP('Données projet'!$B$9,Paramètres!$A$1:$I$89,3,0)*0.475*44/12</f>
        <v>74.681654954113327</v>
      </c>
      <c r="AB91" s="21">
        <f>EXP(-LN(2)/2)*AB90+(1-EXP(-LN(2)/2))/(LN(2)/2)*V91*Y91*VLOOKUP('Données projet'!$B$9,Paramètres!$A$1:$I$89,3,0)*0.475*44/12</f>
        <v>8.085185779496644E-8</v>
      </c>
      <c r="AC91" s="22">
        <f t="shared" si="57"/>
        <v>219.1645091425093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0</v>
      </c>
      <c r="AJ91" s="13">
        <f>AI91*VLOOKUP('Données projet'!$B$10,Paramètres!$A$1:$I$89,3,0)*VLOOKUP('Données projet'!$B$10,Paramètres!$A$1:$I$89,5,0)</f>
        <v>0</v>
      </c>
      <c r="AK91" s="13" t="e">
        <f t="shared" si="89"/>
        <v>#NUM!</v>
      </c>
      <c r="AL91" s="20" t="e">
        <f t="shared" si="58"/>
        <v>#NUM!</v>
      </c>
      <c r="AM91" s="59" t="e">
        <f t="shared" si="59"/>
        <v>#NUM!</v>
      </c>
      <c r="AN91" s="59">
        <f ca="1">AVERAGE(OFFSET($AM$3,0,0,'Données projet'!$E$10+1,1))-AVERAGE(OFFSET($H$3,0,0,'Données projet'!$E$10+1,1))</f>
        <v>179.44051550872138</v>
      </c>
      <c r="AO91" s="59">
        <f t="shared" si="90"/>
        <v>272.9500808380069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47.848530559978556</v>
      </c>
      <c r="AV91" s="21">
        <f>EXP(-LN(2)/25)*AV90+(1-EXP(-LN(2)/25))/(LN(2)/25)*Calculateur!AQ91*Calculateur!AS91*VLOOKUP('Données projet'!$B$10,Paramètres!$A$1:$I$89,3,0)*0.475*44/12</f>
        <v>66.53592681469668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114.38445737467524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-1.1368683772161603E-13</v>
      </c>
      <c r="BE91" s="13">
        <f>BD91*VLOOKUP('Données projet'!$B$11,Paramètres!$A$1:$I$89,3,0)*VLOOKUP('Données projet'!$B$11,Paramètres!$A$1:$I$89,5,0)</f>
        <v>-6.3550942286383367E-14</v>
      </c>
      <c r="BF91" s="13" t="e">
        <f t="shared" si="91"/>
        <v>#NUM!</v>
      </c>
      <c r="BG91" s="20" t="e">
        <f t="shared" si="61"/>
        <v>#NUM!</v>
      </c>
      <c r="BH91" s="59" t="e">
        <f t="shared" si="62"/>
        <v>#NUM!</v>
      </c>
      <c r="BI91" s="59">
        <f ca="1">AVERAGE(OFFSET($BH$3,0,0,'Données projet'!$E$11+1,1))-AVERAGE(OFFSET($H$3,0,0,'Données projet'!$E$11+1,1))</f>
        <v>278.5296012747549</v>
      </c>
      <c r="BJ91" s="59">
        <f t="shared" si="92"/>
        <v>370.55343097937077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117.9073861196668</v>
      </c>
      <c r="BQ91" s="21">
        <f>EXP(-LN(2)/25)*BQ90+(1-EXP(-LN(2)/25))/(LN(2)/25)*Calculateur!BL91*Calculateur!BN91*VLOOKUP('Données projet'!$B$11,Paramètres!$A$1:$I$89,3,0)*0.475*44/12</f>
        <v>23.073888738414706</v>
      </c>
      <c r="BR91" s="21">
        <f>EXP(-LN(2)/2)*BR90+(1-EXP(-LN(2)/2))/(LN(2)/2)*BL91*BO91*VLOOKUP('Données projet'!$B$11,Paramètres!$A$1:$I$89,3,0)*0.475*44/12</f>
        <v>3.6858657402775709E-4</v>
      </c>
      <c r="BS91" s="22">
        <f t="shared" si="63"/>
        <v>140.98164344465553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266.99999999999983</v>
      </c>
      <c r="BZ91" s="13">
        <f>BY91*VLOOKUP('Données projet'!$B$12,Paramètres!$A$1:$I$89,3,0)*VLOOKUP('Données projet'!$B$12,Paramètres!$A$1:$I$89,5,0)</f>
        <v>212.42519999999985</v>
      </c>
      <c r="CA91" s="13">
        <f t="shared" si="93"/>
        <v>52.465198231787184</v>
      </c>
      <c r="CB91" s="20">
        <f t="shared" si="64"/>
        <v>461.35077692036231</v>
      </c>
      <c r="CC91" s="59">
        <f t="shared" si="65"/>
        <v>754.68411025369562</v>
      </c>
      <c r="CD91" s="59">
        <f ca="1">AVERAGE(OFFSET($CC$3,0,0,'Données projet'!$E$12+1,1))-AVERAGE(OFFSET($H$3,0,0,'Données projet'!$E$12+1,1))</f>
        <v>225.2323446080772</v>
      </c>
      <c r="CE91" s="59">
        <f t="shared" si="94"/>
        <v>222.29030402759292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24.572805994490416</v>
      </c>
      <c r="CL91" s="21">
        <f>EXP(-LN(2)/25)*CL90+(1-EXP(-LN(2)/25))/(LN(2)/25)*Calculateur!CG91*Calculateur!CI91*VLOOKUP('Données projet'!$B$12,Paramètres!$A$1:$I$89,3,0)*0.475*44/12</f>
        <v>6.6720470969662324</v>
      </c>
      <c r="CM91" s="21">
        <f>EXP(-LN(2)/2)*CM90+(1-EXP(-LN(2)/2))/(LN(2)/2)*CG91*CJ91*VLOOKUP('Données projet'!$B$12,Paramètres!$A$1:$I$89,3,0)*0.475*44/12</f>
        <v>0</v>
      </c>
      <c r="CN91" s="22">
        <f t="shared" si="66"/>
        <v>31.244853091456648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5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42.80900000000009</v>
      </c>
      <c r="D92" s="11">
        <f t="shared" si="86"/>
        <v>12.740206408885738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428.80089157736433</v>
      </c>
      <c r="H92" s="67">
        <f t="shared" si="56"/>
        <v>390.08153449547615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4.5474735088646412E-13</v>
      </c>
      <c r="O92" s="13">
        <f>N92*VLOOKUP('Données projet'!$B$9,Paramètres!$A$1:$I$89,3,0)*VLOOKUP('Données projet'!$B$9,Paramètres!$A$1:$I$89,5,0)</f>
        <v>2.1873347577638923E-13</v>
      </c>
      <c r="P92" s="13">
        <f t="shared" si="87"/>
        <v>2.999861355695181E-12</v>
      </c>
      <c r="Q92" s="20">
        <f t="shared" si="54"/>
        <v>5.6057193314796512E-12</v>
      </c>
      <c r="R92" s="59">
        <f t="shared" si="55"/>
        <v>293.33333333333894</v>
      </c>
      <c r="S92" s="59">
        <f ca="1">AVERAGE(OFFSET($R$3,0,0,'Données projet'!$E$9+1,1))-AVERAGE(OFFSET($H$3,0,0,'Données projet'!$E$9+1,1))</f>
        <v>234.10156575337737</v>
      </c>
      <c r="T92" s="59">
        <f t="shared" si="88"/>
        <v>285.68635263076646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141.64963346433447</v>
      </c>
      <c r="AA92" s="21">
        <f>EXP(-LN(2)/25)*AA91+(1-EXP(-LN(2)/25))/(LN(2)/25)*Calculateur!V92*Calculateur!X92*VLOOKUP('Données projet'!$B$9,Paramètres!$A$1:$I$89,3,0)*0.475*44/12</f>
        <v>72.639481172055554</v>
      </c>
      <c r="AB92" s="21">
        <f>EXP(-LN(2)/2)*AB91+(1-EXP(-LN(2)/2))/(LN(2)/2)*V92*Y92*VLOOKUP('Données projet'!$B$9,Paramètres!$A$1:$I$89,3,0)*0.475*44/12</f>
        <v>5.7170896918351192E-8</v>
      </c>
      <c r="AC92" s="22">
        <f t="shared" si="57"/>
        <v>214.28911469356092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0</v>
      </c>
      <c r="AJ92" s="13">
        <f>AI92*VLOOKUP('Données projet'!$B$10,Paramètres!$A$1:$I$89,3,0)*VLOOKUP('Données projet'!$B$10,Paramètres!$A$1:$I$89,5,0)</f>
        <v>0</v>
      </c>
      <c r="AK92" s="13" t="e">
        <f t="shared" si="89"/>
        <v>#NUM!</v>
      </c>
      <c r="AL92" s="20" t="e">
        <f t="shared" si="58"/>
        <v>#NUM!</v>
      </c>
      <c r="AM92" s="59" t="e">
        <f t="shared" si="59"/>
        <v>#NUM!</v>
      </c>
      <c r="AN92" s="59">
        <f ca="1">AVERAGE(OFFSET($AM$3,0,0,'Données projet'!$E$10+1,1))-AVERAGE(OFFSET($H$3,0,0,'Données projet'!$E$10+1,1))</f>
        <v>179.44051550872138</v>
      </c>
      <c r="AO92" s="59">
        <f t="shared" si="90"/>
        <v>272.9500808380069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46.910250060419266</v>
      </c>
      <c r="AV92" s="21">
        <f>EXP(-LN(2)/25)*AV91+(1-EXP(-LN(2)/25))/(LN(2)/25)*Calculateur!AQ92*Calculateur!AS92*VLOOKUP('Données projet'!$B$10,Paramètres!$A$1:$I$89,3,0)*0.475*44/12</f>
        <v>64.716498396976476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111.62674845739573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-1.1368683772161603E-13</v>
      </c>
      <c r="BE92" s="13">
        <f>BD92*VLOOKUP('Données projet'!$B$11,Paramètres!$A$1:$I$89,3,0)*VLOOKUP('Données projet'!$B$11,Paramètres!$A$1:$I$89,5,0)</f>
        <v>-6.3550942286383367E-14</v>
      </c>
      <c r="BF92" s="13" t="e">
        <f t="shared" si="91"/>
        <v>#NUM!</v>
      </c>
      <c r="BG92" s="20" t="e">
        <f t="shared" si="61"/>
        <v>#NUM!</v>
      </c>
      <c r="BH92" s="59" t="e">
        <f t="shared" si="62"/>
        <v>#NUM!</v>
      </c>
      <c r="BI92" s="59">
        <f ca="1">AVERAGE(OFFSET($BH$3,0,0,'Données projet'!$E$11+1,1))-AVERAGE(OFFSET($H$3,0,0,'Données projet'!$E$11+1,1))</f>
        <v>278.5296012747549</v>
      </c>
      <c r="BJ92" s="59">
        <f t="shared" si="92"/>
        <v>370.55343097937077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115.59529419426451</v>
      </c>
      <c r="BQ92" s="21">
        <f>EXP(-LN(2)/25)*BQ91+(1-EXP(-LN(2)/25))/(LN(2)/25)*Calculateur!BL92*Calculateur!BN92*VLOOKUP('Données projet'!$B$11,Paramètres!$A$1:$I$89,3,0)*0.475*44/12</f>
        <v>22.442932037459684</v>
      </c>
      <c r="BR92" s="21">
        <f>EXP(-LN(2)/2)*BR91+(1-EXP(-LN(2)/2))/(LN(2)/2)*BL92*BO92*VLOOKUP('Données projet'!$B$11,Paramètres!$A$1:$I$89,3,0)*0.475*44/12</f>
        <v>2.6063006594934443E-4</v>
      </c>
      <c r="BS92" s="22">
        <f t="shared" si="63"/>
        <v>138.03848686179015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266.99999999999983</v>
      </c>
      <c r="BZ92" s="13">
        <f>BY92*VLOOKUP('Données projet'!$B$12,Paramètres!$A$1:$I$89,3,0)*VLOOKUP('Données projet'!$B$12,Paramètres!$A$1:$I$89,5,0)</f>
        <v>212.42519999999985</v>
      </c>
      <c r="CA92" s="13">
        <f t="shared" si="93"/>
        <v>52.465198231787184</v>
      </c>
      <c r="CB92" s="20">
        <f t="shared" si="64"/>
        <v>461.35077692036231</v>
      </c>
      <c r="CC92" s="59">
        <f t="shared" si="65"/>
        <v>754.68411025369562</v>
      </c>
      <c r="CD92" s="59">
        <f ca="1">AVERAGE(OFFSET($CC$3,0,0,'Données projet'!$E$12+1,1))-AVERAGE(OFFSET($H$3,0,0,'Données projet'!$E$12+1,1))</f>
        <v>225.2323446080772</v>
      </c>
      <c r="CE92" s="59">
        <f t="shared" si="94"/>
        <v>222.29030402759292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24.090948256870181</v>
      </c>
      <c r="CL92" s="21">
        <f>EXP(-LN(2)/25)*CL91+(1-EXP(-LN(2)/25))/(LN(2)/25)*Calculateur!CG92*Calculateur!CI92*VLOOKUP('Données projet'!$B$12,Paramètres!$A$1:$I$89,3,0)*0.475*44/12</f>
        <v>6.4895996182319831</v>
      </c>
      <c r="CM92" s="21">
        <f>EXP(-LN(2)/2)*CM91+(1-EXP(-LN(2)/2))/(LN(2)/2)*CG92*CJ92*VLOOKUP('Données projet'!$B$12,Paramètres!$A$1:$I$89,3,0)*0.475*44/12</f>
        <v>0</v>
      </c>
      <c r="CN92" s="22">
        <f t="shared" si="66"/>
        <v>30.580547875102162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5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43.290000000000092</v>
      </c>
      <c r="D93" s="11">
        <f t="shared" si="86"/>
        <v>12.866609953844367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433.48962069634325</v>
      </c>
      <c r="H93" s="67">
        <f t="shared" si="56"/>
        <v>391.13942900294575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4.5474735088646412E-13</v>
      </c>
      <c r="O93" s="13">
        <f>N93*VLOOKUP('Données projet'!$B$9,Paramètres!$A$1:$I$89,3,0)*VLOOKUP('Données projet'!$B$9,Paramètres!$A$1:$I$89,5,0)</f>
        <v>2.1873347577638923E-13</v>
      </c>
      <c r="P93" s="13">
        <f t="shared" si="87"/>
        <v>2.999861355695181E-12</v>
      </c>
      <c r="Q93" s="20">
        <f t="shared" si="54"/>
        <v>5.6057193314796512E-12</v>
      </c>
      <c r="R93" s="59">
        <f t="shared" si="55"/>
        <v>293.33333333333894</v>
      </c>
      <c r="S93" s="59">
        <f ca="1">AVERAGE(OFFSET($R$3,0,0,'Données projet'!$E$9+1,1))-AVERAGE(OFFSET($H$3,0,0,'Données projet'!$E$9+1,1))</f>
        <v>234.10156575337737</v>
      </c>
      <c r="T93" s="59">
        <f t="shared" si="88"/>
        <v>285.68635263076646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138.87197054984421</v>
      </c>
      <c r="AA93" s="21">
        <f>EXP(-LN(2)/25)*AA92+(1-EXP(-LN(2)/25))/(LN(2)/25)*Calculateur!V93*Calculateur!X93*VLOOKUP('Données projet'!$B$9,Paramètres!$A$1:$I$89,3,0)*0.475*44/12</f>
        <v>70.653150739461395</v>
      </c>
      <c r="AB93" s="21">
        <f>EXP(-LN(2)/2)*AB92+(1-EXP(-LN(2)/2))/(LN(2)/2)*V93*Y93*VLOOKUP('Données projet'!$B$9,Paramètres!$A$1:$I$89,3,0)*0.475*44/12</f>
        <v>4.042592889748322E-8</v>
      </c>
      <c r="AC93" s="22">
        <f t="shared" si="57"/>
        <v>209.52512132973155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0</v>
      </c>
      <c r="AJ93" s="13">
        <f>AI93*VLOOKUP('Données projet'!$B$10,Paramètres!$A$1:$I$89,3,0)*VLOOKUP('Données projet'!$B$10,Paramètres!$A$1:$I$89,5,0)</f>
        <v>0</v>
      </c>
      <c r="AK93" s="13" t="e">
        <f t="shared" si="89"/>
        <v>#NUM!</v>
      </c>
      <c r="AL93" s="20" t="e">
        <f t="shared" si="58"/>
        <v>#NUM!</v>
      </c>
      <c r="AM93" s="59" t="e">
        <f t="shared" si="59"/>
        <v>#NUM!</v>
      </c>
      <c r="AN93" s="59">
        <f ca="1">AVERAGE(OFFSET($AM$3,0,0,'Données projet'!$E$10+1,1))-AVERAGE(OFFSET($H$3,0,0,'Données projet'!$E$10+1,1))</f>
        <v>179.44051550872138</v>
      </c>
      <c r="AO93" s="59">
        <f t="shared" si="90"/>
        <v>272.9500808380069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45.990368669161739</v>
      </c>
      <c r="AV93" s="21">
        <f>EXP(-LN(2)/25)*AV92+(1-EXP(-LN(2)/25))/(LN(2)/25)*Calculateur!AQ93*Calculateur!AS93*VLOOKUP('Données projet'!$B$10,Paramètres!$A$1:$I$89,3,0)*0.475*44/12</f>
        <v>62.946822345018418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108.93719101418016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-1.1368683772161603E-13</v>
      </c>
      <c r="BE93" s="13">
        <f>BD93*VLOOKUP('Données projet'!$B$11,Paramètres!$A$1:$I$89,3,0)*VLOOKUP('Données projet'!$B$11,Paramètres!$A$1:$I$89,5,0)</f>
        <v>-6.3550942286383367E-14</v>
      </c>
      <c r="BF93" s="13" t="e">
        <f t="shared" si="91"/>
        <v>#NUM!</v>
      </c>
      <c r="BG93" s="20" t="e">
        <f t="shared" si="61"/>
        <v>#NUM!</v>
      </c>
      <c r="BH93" s="59" t="e">
        <f t="shared" si="62"/>
        <v>#NUM!</v>
      </c>
      <c r="BI93" s="59">
        <f ca="1">AVERAGE(OFFSET($BH$3,0,0,'Données projet'!$E$11+1,1))-AVERAGE(OFFSET($H$3,0,0,'Données projet'!$E$11+1,1))</f>
        <v>278.5296012747549</v>
      </c>
      <c r="BJ93" s="59">
        <f t="shared" si="92"/>
        <v>370.55343097937077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113.32854098128254</v>
      </c>
      <c r="BQ93" s="21">
        <f>EXP(-LN(2)/25)*BQ92+(1-EXP(-LN(2)/25))/(LN(2)/25)*Calculateur!BL93*Calculateur!BN93*VLOOKUP('Données projet'!$B$11,Paramètres!$A$1:$I$89,3,0)*0.475*44/12</f>
        <v>21.829228880672847</v>
      </c>
      <c r="BR93" s="21">
        <f>EXP(-LN(2)/2)*BR92+(1-EXP(-LN(2)/2))/(LN(2)/2)*BL93*BO93*VLOOKUP('Données projet'!$B$11,Paramètres!$A$1:$I$89,3,0)*0.475*44/12</f>
        <v>1.8429328701387854E-4</v>
      </c>
      <c r="BS93" s="22">
        <f t="shared" si="63"/>
        <v>135.15795415524241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266.99999999999983</v>
      </c>
      <c r="BZ93" s="13">
        <f>BY93*VLOOKUP('Données projet'!$B$12,Paramètres!$A$1:$I$89,3,0)*VLOOKUP('Données projet'!$B$12,Paramètres!$A$1:$I$89,5,0)</f>
        <v>212.42519999999985</v>
      </c>
      <c r="CA93" s="13">
        <f t="shared" si="93"/>
        <v>52.465198231787184</v>
      </c>
      <c r="CB93" s="20">
        <f t="shared" si="64"/>
        <v>461.35077692036231</v>
      </c>
      <c r="CC93" s="59">
        <f t="shared" si="65"/>
        <v>754.68411025369562</v>
      </c>
      <c r="CD93" s="59">
        <f ca="1">AVERAGE(OFFSET($CC$3,0,0,'Données projet'!$E$12+1,1))-AVERAGE(OFFSET($H$3,0,0,'Données projet'!$E$12+1,1))</f>
        <v>225.2323446080772</v>
      </c>
      <c r="CE93" s="59">
        <f t="shared" si="94"/>
        <v>222.29030402759292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23.618539455580478</v>
      </c>
      <c r="CL93" s="21">
        <f>EXP(-LN(2)/25)*CL92+(1-EXP(-LN(2)/25))/(LN(2)/25)*Calculateur!CG93*Calculateur!CI93*VLOOKUP('Données projet'!$B$12,Paramètres!$A$1:$I$89,3,0)*0.475*44/12</f>
        <v>6.3121411753982182</v>
      </c>
      <c r="CM93" s="21">
        <f>EXP(-LN(2)/2)*CM92+(1-EXP(-LN(2)/2))/(LN(2)/2)*CG93*CJ93*VLOOKUP('Données projet'!$B$12,Paramètres!$A$1:$I$89,3,0)*0.475*44/12</f>
        <v>0</v>
      </c>
      <c r="CN93" s="22">
        <f t="shared" si="66"/>
        <v>29.930680630978696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5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43.771000000000093</v>
      </c>
      <c r="D94" s="11">
        <f t="shared" si="86"/>
        <v>12.992850119002412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438.1770886379141</v>
      </c>
      <c r="H94" s="67">
        <f t="shared" si="56"/>
        <v>392.19703895726269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4.5474735088646412E-13</v>
      </c>
      <c r="O94" s="13">
        <f>N94*VLOOKUP('Données projet'!$B$9,Paramètres!$A$1:$I$89,3,0)*VLOOKUP('Données projet'!$B$9,Paramètres!$A$1:$I$89,5,0)</f>
        <v>2.1873347577638923E-13</v>
      </c>
      <c r="P94" s="13">
        <f t="shared" si="87"/>
        <v>2.999861355695181E-12</v>
      </c>
      <c r="Q94" s="20">
        <f t="shared" si="54"/>
        <v>5.6057193314796512E-12</v>
      </c>
      <c r="R94" s="59">
        <f t="shared" si="55"/>
        <v>293.33333333333894</v>
      </c>
      <c r="S94" s="59">
        <f ca="1">AVERAGE(OFFSET($R$3,0,0,'Données projet'!$E$9+1,1))-AVERAGE(OFFSET($H$3,0,0,'Données projet'!$E$9+1,1))</f>
        <v>234.10156575337737</v>
      </c>
      <c r="T94" s="59">
        <f t="shared" si="88"/>
        <v>285.68635263076646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136.14877591090001</v>
      </c>
      <c r="AA94" s="21">
        <f>EXP(-LN(2)/25)*AA93+(1-EXP(-LN(2)/25))/(LN(2)/25)*Calculateur!V94*Calculateur!X94*VLOOKUP('Données projet'!$B$9,Paramètres!$A$1:$I$89,3,0)*0.475*44/12</f>
        <v>68.721136617003111</v>
      </c>
      <c r="AB94" s="21">
        <f>EXP(-LN(2)/2)*AB93+(1-EXP(-LN(2)/2))/(LN(2)/2)*V94*Y94*VLOOKUP('Données projet'!$B$9,Paramètres!$A$1:$I$89,3,0)*0.475*44/12</f>
        <v>2.8585448459175596E-8</v>
      </c>
      <c r="AC94" s="22">
        <f t="shared" si="57"/>
        <v>204.86991255648857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0</v>
      </c>
      <c r="AJ94" s="13">
        <f>AI94*VLOOKUP('Données projet'!$B$10,Paramètres!$A$1:$I$89,3,0)*VLOOKUP('Données projet'!$B$10,Paramètres!$A$1:$I$89,5,0)</f>
        <v>0</v>
      </c>
      <c r="AK94" s="13" t="e">
        <f t="shared" si="89"/>
        <v>#NUM!</v>
      </c>
      <c r="AL94" s="20" t="e">
        <f t="shared" si="58"/>
        <v>#NUM!</v>
      </c>
      <c r="AM94" s="59" t="e">
        <f t="shared" si="59"/>
        <v>#NUM!</v>
      </c>
      <c r="AN94" s="59">
        <f ca="1">AVERAGE(OFFSET($AM$3,0,0,'Données projet'!$E$10+1,1))-AVERAGE(OFFSET($H$3,0,0,'Données projet'!$E$10+1,1))</f>
        <v>179.44051550872138</v>
      </c>
      <c r="AO94" s="59">
        <f t="shared" si="90"/>
        <v>272.9500808380069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45.088525590914522</v>
      </c>
      <c r="AV94" s="21">
        <f>EXP(-LN(2)/25)*AV93+(1-EXP(-LN(2)/25))/(LN(2)/25)*Calculateur!AQ94*Calculateur!AS94*VLOOKUP('Données projet'!$B$10,Paramètres!$A$1:$I$89,3,0)*0.475*44/12</f>
        <v>61.225538177764371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106.31406376867889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-1.1368683772161603E-13</v>
      </c>
      <c r="BE94" s="13">
        <f>BD94*VLOOKUP('Données projet'!$B$11,Paramètres!$A$1:$I$89,3,0)*VLOOKUP('Données projet'!$B$11,Paramètres!$A$1:$I$89,5,0)</f>
        <v>-6.3550942286383367E-14</v>
      </c>
      <c r="BF94" s="13" t="e">
        <f t="shared" si="91"/>
        <v>#NUM!</v>
      </c>
      <c r="BG94" s="20" t="e">
        <f t="shared" si="61"/>
        <v>#NUM!</v>
      </c>
      <c r="BH94" s="59" t="e">
        <f t="shared" si="62"/>
        <v>#NUM!</v>
      </c>
      <c r="BI94" s="59">
        <f ca="1">AVERAGE(OFFSET($BH$3,0,0,'Données projet'!$E$11+1,1))-AVERAGE(OFFSET($H$3,0,0,'Données projet'!$E$11+1,1))</f>
        <v>278.5296012747549</v>
      </c>
      <c r="BJ94" s="59">
        <f t="shared" si="92"/>
        <v>370.55343097937077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111.1062374162242</v>
      </c>
      <c r="BQ94" s="21">
        <f>EXP(-LN(2)/25)*BQ93+(1-EXP(-LN(2)/25))/(LN(2)/25)*Calculateur!BL94*Calculateur!BN94*VLOOKUP('Données projet'!$B$11,Paramètres!$A$1:$I$89,3,0)*0.475*44/12</f>
        <v>21.232307468981592</v>
      </c>
      <c r="BR94" s="21">
        <f>EXP(-LN(2)/2)*BR93+(1-EXP(-LN(2)/2))/(LN(2)/2)*BL94*BO94*VLOOKUP('Données projet'!$B$11,Paramètres!$A$1:$I$89,3,0)*0.475*44/12</f>
        <v>1.3031503297467222E-4</v>
      </c>
      <c r="BS94" s="22">
        <f t="shared" si="63"/>
        <v>132.33867520023878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266.99999999999983</v>
      </c>
      <c r="BZ94" s="13">
        <f>BY94*VLOOKUP('Données projet'!$B$12,Paramètres!$A$1:$I$89,3,0)*VLOOKUP('Données projet'!$B$12,Paramètres!$A$1:$I$89,5,0)</f>
        <v>212.42519999999985</v>
      </c>
      <c r="CA94" s="13">
        <f t="shared" si="93"/>
        <v>52.465198231787184</v>
      </c>
      <c r="CB94" s="20">
        <f t="shared" si="64"/>
        <v>461.35077692036231</v>
      </c>
      <c r="CC94" s="59">
        <f t="shared" si="65"/>
        <v>754.68411025369562</v>
      </c>
      <c r="CD94" s="59">
        <f ca="1">AVERAGE(OFFSET($CC$3,0,0,'Données projet'!$E$12+1,1))-AVERAGE(OFFSET($H$3,0,0,'Données projet'!$E$12+1,1))</f>
        <v>225.2323446080772</v>
      </c>
      <c r="CE94" s="59">
        <f t="shared" si="94"/>
        <v>222.29030402759292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23.155394302743151</v>
      </c>
      <c r="CL94" s="21">
        <f>EXP(-LN(2)/25)*CL93+(1-EXP(-LN(2)/25))/(LN(2)/25)*Calculateur!CG94*Calculateur!CI94*VLOOKUP('Données projet'!$B$12,Paramètres!$A$1:$I$89,3,0)*0.475*44/12</f>
        <v>6.1395353430158757</v>
      </c>
      <c r="CM94" s="21">
        <f>EXP(-LN(2)/2)*CM93+(1-EXP(-LN(2)/2))/(LN(2)/2)*CG94*CJ94*VLOOKUP('Données projet'!$B$12,Paramètres!$A$1:$I$89,3,0)*0.475*44/12</f>
        <v>0</v>
      </c>
      <c r="CN94" s="22">
        <f t="shared" si="66"/>
        <v>29.294929645759026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5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44.252000000000095</v>
      </c>
      <c r="D95" s="11">
        <f t="shared" si="86"/>
        <v>13.118928907524481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442.86331086510199</v>
      </c>
      <c r="H95" s="67">
        <f t="shared" si="56"/>
        <v>393.25436784727196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4.5474735088646412E-13</v>
      </c>
      <c r="O95" s="13">
        <f>N95*VLOOKUP('Données projet'!$B$9,Paramètres!$A$1:$I$89,3,0)*VLOOKUP('Données projet'!$B$9,Paramètres!$A$1:$I$89,5,0)</f>
        <v>2.1873347577638923E-13</v>
      </c>
      <c r="P95" s="13">
        <f t="shared" si="87"/>
        <v>2.999861355695181E-12</v>
      </c>
      <c r="Q95" s="20">
        <f t="shared" si="54"/>
        <v>5.6057193314796512E-12</v>
      </c>
      <c r="R95" s="59">
        <f t="shared" si="55"/>
        <v>293.33333333333894</v>
      </c>
      <c r="S95" s="59">
        <f ca="1">AVERAGE(OFFSET($R$3,0,0,'Données projet'!$E$9+1,1))-AVERAGE(OFFSET($H$3,0,0,'Données projet'!$E$9+1,1))</f>
        <v>234.10156575337737</v>
      </c>
      <c r="T95" s="59">
        <f t="shared" si="88"/>
        <v>285.68635263076646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133.4789814578408</v>
      </c>
      <c r="AA95" s="21">
        <f>EXP(-LN(2)/25)*AA94+(1-EXP(-LN(2)/25))/(LN(2)/25)*Calculateur!V95*Calculateur!X95*VLOOKUP('Données projet'!$B$9,Paramètres!$A$1:$I$89,3,0)*0.475*44/12</f>
        <v>66.841953522323649</v>
      </c>
      <c r="AB95" s="21">
        <f>EXP(-LN(2)/2)*AB94+(1-EXP(-LN(2)/2))/(LN(2)/2)*V95*Y95*VLOOKUP('Données projet'!$B$9,Paramètres!$A$1:$I$89,3,0)*0.475*44/12</f>
        <v>2.021296444874161E-8</v>
      </c>
      <c r="AC95" s="22">
        <f t="shared" si="57"/>
        <v>200.3209350003774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0</v>
      </c>
      <c r="AJ95" s="13">
        <f>AI95*VLOOKUP('Données projet'!$B$10,Paramètres!$A$1:$I$89,3,0)*VLOOKUP('Données projet'!$B$10,Paramètres!$A$1:$I$89,5,0)</f>
        <v>0</v>
      </c>
      <c r="AK95" s="13" t="e">
        <f t="shared" si="89"/>
        <v>#NUM!</v>
      </c>
      <c r="AL95" s="20" t="e">
        <f t="shared" si="58"/>
        <v>#NUM!</v>
      </c>
      <c r="AM95" s="59" t="e">
        <f t="shared" si="59"/>
        <v>#NUM!</v>
      </c>
      <c r="AN95" s="59">
        <f ca="1">AVERAGE(OFFSET($AM$3,0,0,'Données projet'!$E$10+1,1))-AVERAGE(OFFSET($H$3,0,0,'Données projet'!$E$10+1,1))</f>
        <v>179.44051550872138</v>
      </c>
      <c r="AO95" s="59">
        <f t="shared" si="90"/>
        <v>272.9500808380069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44.204367105361769</v>
      </c>
      <c r="AV95" s="21">
        <f>EXP(-LN(2)/25)*AV94+(1-EXP(-LN(2)/25))/(LN(2)/25)*Calculateur!AQ95*Calculateur!AS95*VLOOKUP('Données projet'!$B$10,Paramètres!$A$1:$I$89,3,0)*0.475*44/12</f>
        <v>59.551322616582283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103.75568972194405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-1.1368683772161603E-13</v>
      </c>
      <c r="BE95" s="13">
        <f>BD95*VLOOKUP('Données projet'!$B$11,Paramètres!$A$1:$I$89,3,0)*VLOOKUP('Données projet'!$B$11,Paramètres!$A$1:$I$89,5,0)</f>
        <v>-6.3550942286383367E-14</v>
      </c>
      <c r="BF95" s="13" t="e">
        <f t="shared" si="91"/>
        <v>#NUM!</v>
      </c>
      <c r="BG95" s="20" t="e">
        <f t="shared" si="61"/>
        <v>#NUM!</v>
      </c>
      <c r="BH95" s="59" t="e">
        <f t="shared" si="62"/>
        <v>#NUM!</v>
      </c>
      <c r="BI95" s="59">
        <f ca="1">AVERAGE(OFFSET($BH$3,0,0,'Données projet'!$E$11+1,1))-AVERAGE(OFFSET($H$3,0,0,'Données projet'!$E$11+1,1))</f>
        <v>278.5296012747549</v>
      </c>
      <c r="BJ95" s="59">
        <f t="shared" si="92"/>
        <v>370.55343097937077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108.92751186860532</v>
      </c>
      <c r="BQ95" s="21">
        <f>EXP(-LN(2)/25)*BQ94+(1-EXP(-LN(2)/25))/(LN(2)/25)*Calculateur!BL95*Calculateur!BN95*VLOOKUP('Données projet'!$B$11,Paramètres!$A$1:$I$89,3,0)*0.475*44/12</f>
        <v>20.651708904683769</v>
      </c>
      <c r="BR95" s="21">
        <f>EXP(-LN(2)/2)*BR94+(1-EXP(-LN(2)/2))/(LN(2)/2)*BL95*BO95*VLOOKUP('Données projet'!$B$11,Paramètres!$A$1:$I$89,3,0)*0.475*44/12</f>
        <v>9.2146643506939272E-5</v>
      </c>
      <c r="BS95" s="22">
        <f t="shared" si="63"/>
        <v>129.57931291993259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266.99999999999983</v>
      </c>
      <c r="BZ95" s="13">
        <f>BY95*VLOOKUP('Données projet'!$B$12,Paramètres!$A$1:$I$89,3,0)*VLOOKUP('Données projet'!$B$12,Paramètres!$A$1:$I$89,5,0)</f>
        <v>212.42519999999985</v>
      </c>
      <c r="CA95" s="13">
        <f t="shared" si="93"/>
        <v>52.465198231787184</v>
      </c>
      <c r="CB95" s="20">
        <f t="shared" si="64"/>
        <v>461.35077692036231</v>
      </c>
      <c r="CC95" s="59">
        <f t="shared" si="65"/>
        <v>754.68411025369562</v>
      </c>
      <c r="CD95" s="59">
        <f ca="1">AVERAGE(OFFSET($CC$3,0,0,'Données projet'!$E$12+1,1))-AVERAGE(OFFSET($H$3,0,0,'Données projet'!$E$12+1,1))</f>
        <v>225.2323446080772</v>
      </c>
      <c r="CE95" s="59">
        <f t="shared" si="94"/>
        <v>222.29030402759292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22.701331143862312</v>
      </c>
      <c r="CL95" s="21">
        <f>EXP(-LN(2)/25)*CL94+(1-EXP(-LN(2)/25))/(LN(2)/25)*Calculateur!CG95*Calculateur!CI95*VLOOKUP('Données projet'!$B$12,Paramètres!$A$1:$I$89,3,0)*0.475*44/12</f>
        <v>5.9716494261969748</v>
      </c>
      <c r="CM95" s="21">
        <f>EXP(-LN(2)/2)*CM94+(1-EXP(-LN(2)/2))/(LN(2)/2)*CG95*CJ95*VLOOKUP('Données projet'!$B$12,Paramètres!$A$1:$I$89,3,0)*0.475*44/12</f>
        <v>0</v>
      </c>
      <c r="CN95" s="22">
        <f t="shared" si="66"/>
        <v>28.672980570059288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5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44.733000000000096</v>
      </c>
      <c r="D96" s="11">
        <f t="shared" si="86"/>
        <v>13.244848276520115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447.54830248541924</v>
      </c>
      <c r="H96" s="67">
        <f t="shared" si="56"/>
        <v>394.311419081606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4.5474735088646412E-13</v>
      </c>
      <c r="O96" s="13">
        <f>N96*VLOOKUP('Données projet'!$B$9,Paramètres!$A$1:$I$89,3,0)*VLOOKUP('Données projet'!$B$9,Paramètres!$A$1:$I$89,5,0)</f>
        <v>2.1873347577638923E-13</v>
      </c>
      <c r="P96" s="13">
        <f t="shared" si="87"/>
        <v>2.999861355695181E-12</v>
      </c>
      <c r="Q96" s="20">
        <f t="shared" si="54"/>
        <v>5.6057193314796512E-12</v>
      </c>
      <c r="R96" s="59">
        <f t="shared" si="55"/>
        <v>293.33333333333894</v>
      </c>
      <c r="S96" s="59">
        <f ca="1">AVERAGE(OFFSET($R$3,0,0,'Données projet'!$E$9+1,1))-AVERAGE(OFFSET($H$3,0,0,'Données projet'!$E$9+1,1))</f>
        <v>234.10156575337737</v>
      </c>
      <c r="T96" s="59">
        <f t="shared" si="88"/>
        <v>285.68635263076646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130.86154004559225</v>
      </c>
      <c r="AA96" s="21">
        <f>EXP(-LN(2)/25)*AA95+(1-EXP(-LN(2)/25))/(LN(2)/25)*Calculateur!V96*Calculateur!X96*VLOOKUP('Données projet'!$B$9,Paramètres!$A$1:$I$89,3,0)*0.475*44/12</f>
        <v>65.014156788190149</v>
      </c>
      <c r="AB96" s="21">
        <f>EXP(-LN(2)/2)*AB95+(1-EXP(-LN(2)/2))/(LN(2)/2)*V96*Y96*VLOOKUP('Données projet'!$B$9,Paramètres!$A$1:$I$89,3,0)*0.475*44/12</f>
        <v>1.4292724229587798E-8</v>
      </c>
      <c r="AC96" s="22">
        <f t="shared" si="57"/>
        <v>195.87569684807514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0</v>
      </c>
      <c r="AJ96" s="13">
        <f>AI96*VLOOKUP('Données projet'!$B$10,Paramètres!$A$1:$I$89,3,0)*VLOOKUP('Données projet'!$B$10,Paramètres!$A$1:$I$89,5,0)</f>
        <v>0</v>
      </c>
      <c r="AK96" s="13" t="e">
        <f t="shared" si="89"/>
        <v>#NUM!</v>
      </c>
      <c r="AL96" s="20" t="e">
        <f t="shared" si="58"/>
        <v>#NUM!</v>
      </c>
      <c r="AM96" s="59" t="e">
        <f t="shared" si="59"/>
        <v>#NUM!</v>
      </c>
      <c r="AN96" s="59">
        <f ca="1">AVERAGE(OFFSET($AM$3,0,0,'Données projet'!$E$10+1,1))-AVERAGE(OFFSET($H$3,0,0,'Données projet'!$E$10+1,1))</f>
        <v>179.44051550872138</v>
      </c>
      <c r="AO96" s="59">
        <f t="shared" si="90"/>
        <v>272.9500808380069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43.337546428427281</v>
      </c>
      <c r="AV96" s="21">
        <f>EXP(-LN(2)/25)*AV95+(1-EXP(-LN(2)/25))/(LN(2)/25)*Calculateur!AQ96*Calculateur!AS96*VLOOKUP('Données projet'!$B$10,Paramètres!$A$1:$I$89,3,0)*0.475*44/12</f>
        <v>57.922888567963888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101.26043499639117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-1.1368683772161603E-13</v>
      </c>
      <c r="BE96" s="13">
        <f>BD96*VLOOKUP('Données projet'!$B$11,Paramètres!$A$1:$I$89,3,0)*VLOOKUP('Données projet'!$B$11,Paramètres!$A$1:$I$89,5,0)</f>
        <v>-6.3550942286383367E-14</v>
      </c>
      <c r="BF96" s="13" t="e">
        <f t="shared" si="91"/>
        <v>#NUM!</v>
      </c>
      <c r="BG96" s="20" t="e">
        <f t="shared" si="61"/>
        <v>#NUM!</v>
      </c>
      <c r="BH96" s="59" t="e">
        <f t="shared" si="62"/>
        <v>#NUM!</v>
      </c>
      <c r="BI96" s="59">
        <f ca="1">AVERAGE(OFFSET($BH$3,0,0,'Données projet'!$E$11+1,1))-AVERAGE(OFFSET($H$3,0,0,'Données projet'!$E$11+1,1))</f>
        <v>278.5296012747549</v>
      </c>
      <c r="BJ96" s="59">
        <f t="shared" si="92"/>
        <v>370.55343097937077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106.79150980008389</v>
      </c>
      <c r="BQ96" s="21">
        <f>EXP(-LN(2)/25)*BQ95+(1-EXP(-LN(2)/25))/(LN(2)/25)*Calculateur!BL96*Calculateur!BN96*VLOOKUP('Données projet'!$B$11,Paramètres!$A$1:$I$89,3,0)*0.475*44/12</f>
        <v>20.086986838659019</v>
      </c>
      <c r="BR96" s="21">
        <f>EXP(-LN(2)/2)*BR95+(1-EXP(-LN(2)/2))/(LN(2)/2)*BL96*BO96*VLOOKUP('Données projet'!$B$11,Paramètres!$A$1:$I$89,3,0)*0.475*44/12</f>
        <v>6.5157516487336108E-5</v>
      </c>
      <c r="BS96" s="22">
        <f t="shared" si="63"/>
        <v>126.87856179625939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266.99999999999983</v>
      </c>
      <c r="BZ96" s="13">
        <f>BY96*VLOOKUP('Données projet'!$B$12,Paramètres!$A$1:$I$89,3,0)*VLOOKUP('Données projet'!$B$12,Paramètres!$A$1:$I$89,5,0)</f>
        <v>212.42519999999985</v>
      </c>
      <c r="CA96" s="13">
        <f t="shared" si="93"/>
        <v>52.465198231787184</v>
      </c>
      <c r="CB96" s="20">
        <f t="shared" si="64"/>
        <v>461.35077692036231</v>
      </c>
      <c r="CC96" s="59">
        <f t="shared" si="65"/>
        <v>754.68411025369562</v>
      </c>
      <c r="CD96" s="59">
        <f ca="1">AVERAGE(OFFSET($CC$3,0,0,'Données projet'!$E$12+1,1))-AVERAGE(OFFSET($H$3,0,0,'Données projet'!$E$12+1,1))</f>
        <v>225.2323446080772</v>
      </c>
      <c r="CE96" s="59">
        <f t="shared" si="94"/>
        <v>222.29030402759292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22.256171886575945</v>
      </c>
      <c r="CL96" s="21">
        <f>EXP(-LN(2)/25)*CL95+(1-EXP(-LN(2)/25))/(LN(2)/25)*Calculateur!CG96*Calculateur!CI96*VLOOKUP('Données projet'!$B$12,Paramètres!$A$1:$I$89,3,0)*0.475*44/12</f>
        <v>5.8083543586022239</v>
      </c>
      <c r="CM96" s="21">
        <f>EXP(-LN(2)/2)*CM95+(1-EXP(-LN(2)/2))/(LN(2)/2)*CG96*CJ96*VLOOKUP('Données projet'!$B$12,Paramètres!$A$1:$I$89,3,0)*0.475*44/12</f>
        <v>0</v>
      </c>
      <c r="CN96" s="22">
        <f t="shared" si="66"/>
        <v>28.064526245178168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5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45.214000000000098</v>
      </c>
      <c r="D97" s="11">
        <f t="shared" si="86"/>
        <v>13.37061013858626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452.23207826277189</v>
      </c>
      <c r="H97" s="67">
        <f t="shared" si="56"/>
        <v>395.36819599137124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4.5474735088646412E-13</v>
      </c>
      <c r="O97" s="13">
        <f>N97*VLOOKUP('Données projet'!$B$9,Paramètres!$A$1:$I$89,3,0)*VLOOKUP('Données projet'!$B$9,Paramètres!$A$1:$I$89,5,0)</f>
        <v>2.1873347577638923E-13</v>
      </c>
      <c r="P97" s="13">
        <f t="shared" si="87"/>
        <v>2.999861355695181E-12</v>
      </c>
      <c r="Q97" s="20">
        <f t="shared" si="54"/>
        <v>5.6057193314796512E-12</v>
      </c>
      <c r="R97" s="59">
        <f t="shared" si="55"/>
        <v>293.33333333333894</v>
      </c>
      <c r="S97" s="59">
        <f ca="1">AVERAGE(OFFSET($R$3,0,0,'Données projet'!$E$9+1,1))-AVERAGE(OFFSET($H$3,0,0,'Données projet'!$E$9+1,1))</f>
        <v>234.10156575337737</v>
      </c>
      <c r="T97" s="59">
        <f t="shared" si="88"/>
        <v>285.68635263076646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128.29542506295627</v>
      </c>
      <c r="AA97" s="21">
        <f>EXP(-LN(2)/25)*AA96+(1-EXP(-LN(2)/25))/(LN(2)/25)*Calculateur!V97*Calculateur!X97*VLOOKUP('Données projet'!$B$9,Paramètres!$A$1:$I$89,3,0)*0.475*44/12</f>
        <v>63.236341251871174</v>
      </c>
      <c r="AB97" s="21">
        <f>EXP(-LN(2)/2)*AB96+(1-EXP(-LN(2)/2))/(LN(2)/2)*V97*Y97*VLOOKUP('Données projet'!$B$9,Paramètres!$A$1:$I$89,3,0)*0.475*44/12</f>
        <v>1.0106482224370805E-8</v>
      </c>
      <c r="AC97" s="22">
        <f t="shared" si="57"/>
        <v>191.53176632493393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0</v>
      </c>
      <c r="AJ97" s="13">
        <f>AI97*VLOOKUP('Données projet'!$B$10,Paramètres!$A$1:$I$89,3,0)*VLOOKUP('Données projet'!$B$10,Paramètres!$A$1:$I$89,5,0)</f>
        <v>0</v>
      </c>
      <c r="AK97" s="13" t="e">
        <f t="shared" si="89"/>
        <v>#NUM!</v>
      </c>
      <c r="AL97" s="20" t="e">
        <f t="shared" si="58"/>
        <v>#NUM!</v>
      </c>
      <c r="AM97" s="59" t="e">
        <f t="shared" si="59"/>
        <v>#NUM!</v>
      </c>
      <c r="AN97" s="59">
        <f ca="1">AVERAGE(OFFSET($AM$3,0,0,'Données projet'!$E$10+1,1))-AVERAGE(OFFSET($H$3,0,0,'Données projet'!$E$10+1,1))</f>
        <v>179.44051550872138</v>
      </c>
      <c r="AO97" s="59">
        <f t="shared" si="90"/>
        <v>272.9500808380069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42.487723576259071</v>
      </c>
      <c r="AV97" s="21">
        <f>EXP(-LN(2)/25)*AV96+(1-EXP(-LN(2)/25))/(LN(2)/25)*Calculateur!AQ97*Calculateur!AS97*VLOOKUP('Données projet'!$B$10,Paramètres!$A$1:$I$89,3,0)*0.475*44/12</f>
        <v>56.338984134040587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98.826707710299658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-1.1368683772161603E-13</v>
      </c>
      <c r="BE97" s="13">
        <f>BD97*VLOOKUP('Données projet'!$B$11,Paramètres!$A$1:$I$89,3,0)*VLOOKUP('Données projet'!$B$11,Paramètres!$A$1:$I$89,5,0)</f>
        <v>-6.3550942286383367E-14</v>
      </c>
      <c r="BF97" s="13" t="e">
        <f t="shared" si="91"/>
        <v>#NUM!</v>
      </c>
      <c r="BG97" s="20" t="e">
        <f t="shared" si="61"/>
        <v>#NUM!</v>
      </c>
      <c r="BH97" s="59" t="e">
        <f t="shared" si="62"/>
        <v>#NUM!</v>
      </c>
      <c r="BI97" s="59">
        <f ca="1">AVERAGE(OFFSET($BH$3,0,0,'Données projet'!$E$11+1,1))-AVERAGE(OFFSET($H$3,0,0,'Données projet'!$E$11+1,1))</f>
        <v>278.5296012747549</v>
      </c>
      <c r="BJ97" s="59">
        <f t="shared" si="92"/>
        <v>370.55343097937077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104.69739342929354</v>
      </c>
      <c r="BQ97" s="21">
        <f>EXP(-LN(2)/25)*BQ96+(1-EXP(-LN(2)/25))/(LN(2)/25)*Calculateur!BL97*Calculateur!BN97*VLOOKUP('Données projet'!$B$11,Paramètres!$A$1:$I$89,3,0)*0.475*44/12</f>
        <v>19.537707127227161</v>
      </c>
      <c r="BR97" s="21">
        <f>EXP(-LN(2)/2)*BR96+(1-EXP(-LN(2)/2))/(LN(2)/2)*BL97*BO97*VLOOKUP('Données projet'!$B$11,Paramètres!$A$1:$I$89,3,0)*0.475*44/12</f>
        <v>4.6073321753469636E-5</v>
      </c>
      <c r="BS97" s="22">
        <f t="shared" si="63"/>
        <v>124.23514662984246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266.99999999999983</v>
      </c>
      <c r="BZ97" s="13">
        <f>BY97*VLOOKUP('Données projet'!$B$12,Paramètres!$A$1:$I$89,3,0)*VLOOKUP('Données projet'!$B$12,Paramètres!$A$1:$I$89,5,0)</f>
        <v>212.42519999999985</v>
      </c>
      <c r="CA97" s="13">
        <f t="shared" si="93"/>
        <v>52.465198231787184</v>
      </c>
      <c r="CB97" s="20">
        <f t="shared" si="64"/>
        <v>461.35077692036231</v>
      </c>
      <c r="CC97" s="59">
        <f t="shared" si="65"/>
        <v>754.68411025369562</v>
      </c>
      <c r="CD97" s="59">
        <f ca="1">AVERAGE(OFFSET($CC$3,0,0,'Données projet'!$E$12+1,1))-AVERAGE(OFFSET($H$3,0,0,'Données projet'!$E$12+1,1))</f>
        <v>225.2323446080772</v>
      </c>
      <c r="CE97" s="59">
        <f t="shared" si="94"/>
        <v>222.29030402759292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21.819741930804629</v>
      </c>
      <c r="CL97" s="21">
        <f>EXP(-LN(2)/25)*CL96+(1-EXP(-LN(2)/25))/(LN(2)/25)*Calculateur!CG97*Calculateur!CI97*VLOOKUP('Données projet'!$B$12,Paramètres!$A$1:$I$89,3,0)*0.475*44/12</f>
        <v>5.6495246032181656</v>
      </c>
      <c r="CM97" s="21">
        <f>EXP(-LN(2)/2)*CM96+(1-EXP(-LN(2)/2))/(LN(2)/2)*CG97*CJ97*VLOOKUP('Données projet'!$B$12,Paramètres!$A$1:$I$89,3,0)*0.475*44/12</f>
        <v>0</v>
      </c>
      <c r="CN97" s="22">
        <f t="shared" si="66"/>
        <v>27.469266534022793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5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45.6950000000001</v>
      </c>
      <c r="D98" s="11">
        <f t="shared" si="86"/>
        <v>13.49621636328218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456.91465262884572</v>
      </c>
      <c r="H98" s="67">
        <f t="shared" si="56"/>
        <v>396.42470183271661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4.5474735088646412E-13</v>
      </c>
      <c r="O98" s="13">
        <f>N98*VLOOKUP('Données projet'!$B$9,Paramètres!$A$1:$I$89,3,0)*VLOOKUP('Données projet'!$B$9,Paramètres!$A$1:$I$89,5,0)</f>
        <v>2.1873347577638923E-13</v>
      </c>
      <c r="P98" s="13">
        <f t="shared" si="87"/>
        <v>2.999861355695181E-12</v>
      </c>
      <c r="Q98" s="20">
        <f t="shared" si="54"/>
        <v>5.6057193314796512E-12</v>
      </c>
      <c r="R98" s="59">
        <f t="shared" si="55"/>
        <v>293.33333333333894</v>
      </c>
      <c r="S98" s="59">
        <f ca="1">AVERAGE(OFFSET($R$3,0,0,'Données projet'!$E$9+1,1))-AVERAGE(OFFSET($H$3,0,0,'Données projet'!$E$9+1,1))</f>
        <v>234.10156575337737</v>
      </c>
      <c r="T98" s="59">
        <f t="shared" si="88"/>
        <v>285.68635263076646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125.77963002995419</v>
      </c>
      <c r="AA98" s="21">
        <f>EXP(-LN(2)/25)*AA97+(1-EXP(-LN(2)/25))/(LN(2)/25)*Calculateur!V98*Calculateur!X98*VLOOKUP('Données projet'!$B$9,Paramètres!$A$1:$I$89,3,0)*0.475*44/12</f>
        <v>61.5071401748841</v>
      </c>
      <c r="AB98" s="21">
        <f>EXP(-LN(2)/2)*AB97+(1-EXP(-LN(2)/2))/(LN(2)/2)*V98*Y98*VLOOKUP('Données projet'!$B$9,Paramètres!$A$1:$I$89,3,0)*0.475*44/12</f>
        <v>7.146362114793899E-9</v>
      </c>
      <c r="AC98" s="22">
        <f t="shared" si="57"/>
        <v>187.28677021198465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0</v>
      </c>
      <c r="AJ98" s="13">
        <f>AI98*VLOOKUP('Données projet'!$B$10,Paramètres!$A$1:$I$89,3,0)*VLOOKUP('Données projet'!$B$10,Paramètres!$A$1:$I$89,5,0)</f>
        <v>0</v>
      </c>
      <c r="AK98" s="13" t="e">
        <f t="shared" si="89"/>
        <v>#NUM!</v>
      </c>
      <c r="AL98" s="20" t="e">
        <f t="shared" si="58"/>
        <v>#NUM!</v>
      </c>
      <c r="AM98" s="59" t="e">
        <f t="shared" si="59"/>
        <v>#NUM!</v>
      </c>
      <c r="AN98" s="59">
        <f ca="1">AVERAGE(OFFSET($AM$3,0,0,'Données projet'!$E$10+1,1))-AVERAGE(OFFSET($H$3,0,0,'Données projet'!$E$10+1,1))</f>
        <v>179.44051550872138</v>
      </c>
      <c r="AO98" s="59">
        <f t="shared" si="90"/>
        <v>272.9500808380069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41.654565231881122</v>
      </c>
      <c r="AV98" s="21">
        <f>EXP(-LN(2)/25)*AV97+(1-EXP(-LN(2)/25))/(LN(2)/25)*Calculateur!AQ98*Calculateur!AS98*VLOOKUP('Données projet'!$B$10,Paramètres!$A$1:$I$89,3,0)*0.475*44/12</f>
        <v>54.798391650156837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96.452956882037967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-1.1368683772161603E-13</v>
      </c>
      <c r="BE98" s="13">
        <f>BD98*VLOOKUP('Données projet'!$B$11,Paramètres!$A$1:$I$89,3,0)*VLOOKUP('Données projet'!$B$11,Paramètres!$A$1:$I$89,5,0)</f>
        <v>-6.3550942286383367E-14</v>
      </c>
      <c r="BF98" s="13" t="e">
        <f t="shared" si="91"/>
        <v>#NUM!</v>
      </c>
      <c r="BG98" s="20" t="e">
        <f t="shared" si="61"/>
        <v>#NUM!</v>
      </c>
      <c r="BH98" s="59" t="e">
        <f t="shared" si="62"/>
        <v>#NUM!</v>
      </c>
      <c r="BI98" s="59">
        <f ca="1">AVERAGE(OFFSET($BH$3,0,0,'Données projet'!$E$11+1,1))-AVERAGE(OFFSET($H$3,0,0,'Données projet'!$E$11+1,1))</f>
        <v>278.5296012747549</v>
      </c>
      <c r="BJ98" s="59">
        <f t="shared" si="92"/>
        <v>370.55343097937077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102.64434140324953</v>
      </c>
      <c r="BQ98" s="21">
        <f>EXP(-LN(2)/25)*BQ97+(1-EXP(-LN(2)/25))/(LN(2)/25)*Calculateur!BL98*Calculateur!BN98*VLOOKUP('Données projet'!$B$11,Paramètres!$A$1:$I$89,3,0)*0.475*44/12</f>
        <v>19.003447498389772</v>
      </c>
      <c r="BR98" s="21">
        <f>EXP(-LN(2)/2)*BR97+(1-EXP(-LN(2)/2))/(LN(2)/2)*BL98*BO98*VLOOKUP('Données projet'!$B$11,Paramètres!$A$1:$I$89,3,0)*0.475*44/12</f>
        <v>3.2578758243668054E-5</v>
      </c>
      <c r="BS98" s="22">
        <f t="shared" si="63"/>
        <v>121.64782148039754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266.99999999999983</v>
      </c>
      <c r="BZ98" s="13">
        <f>BY98*VLOOKUP('Données projet'!$B$12,Paramètres!$A$1:$I$89,3,0)*VLOOKUP('Données projet'!$B$12,Paramètres!$A$1:$I$89,5,0)</f>
        <v>212.42519999999985</v>
      </c>
      <c r="CA98" s="13">
        <f t="shared" si="93"/>
        <v>52.465198231787184</v>
      </c>
      <c r="CB98" s="20">
        <f t="shared" si="64"/>
        <v>461.35077692036231</v>
      </c>
      <c r="CC98" s="59">
        <f t="shared" si="65"/>
        <v>754.68411025369562</v>
      </c>
      <c r="CD98" s="59">
        <f ca="1">AVERAGE(OFFSET($CC$3,0,0,'Données projet'!$E$12+1,1))-AVERAGE(OFFSET($H$3,0,0,'Données projet'!$E$12+1,1))</f>
        <v>225.2323446080772</v>
      </c>
      <c r="CE98" s="59">
        <f t="shared" si="94"/>
        <v>222.29030402759292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21.391870100270001</v>
      </c>
      <c r="CL98" s="21">
        <f>EXP(-LN(2)/25)*CL97+(1-EXP(-LN(2)/25))/(LN(2)/25)*Calculateur!CG98*Calculateur!CI98*VLOOKUP('Données projet'!$B$12,Paramètres!$A$1:$I$89,3,0)*0.475*44/12</f>
        <v>5.4950380558475782</v>
      </c>
      <c r="CM98" s="21">
        <f>EXP(-LN(2)/2)*CM97+(1-EXP(-LN(2)/2))/(LN(2)/2)*CG98*CJ98*VLOOKUP('Données projet'!$B$12,Paramètres!$A$1:$I$89,3,0)*0.475*44/12</f>
        <v>0</v>
      </c>
      <c r="CN98" s="22">
        <f t="shared" si="66"/>
        <v>26.886908156117578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5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46.176000000000101</v>
      </c>
      <c r="D99" s="11">
        <f t="shared" si="86"/>
        <v>13.621668778540512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461.59603969399774</v>
      </c>
      <c r="H99" s="67">
        <f t="shared" si="56"/>
        <v>397.48093978929154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4.5474735088646412E-13</v>
      </c>
      <c r="O99" s="13">
        <f>N99*VLOOKUP('Données projet'!$B$9,Paramètres!$A$1:$I$89,3,0)*VLOOKUP('Données projet'!$B$9,Paramètres!$A$1:$I$89,5,0)</f>
        <v>2.1873347577638923E-13</v>
      </c>
      <c r="P99" s="13">
        <f t="shared" si="87"/>
        <v>2.999861355695181E-12</v>
      </c>
      <c r="Q99" s="20">
        <f t="shared" ref="Q99:Q130" si="107">(O99+P99)*0.475*44/12</f>
        <v>5.6057193314796512E-12</v>
      </c>
      <c r="R99" s="59">
        <f t="shared" si="55"/>
        <v>293.33333333333894</v>
      </c>
      <c r="S99" s="59">
        <f ca="1">AVERAGE(OFFSET($R$3,0,0,'Données projet'!$E$9+1,1))-AVERAGE(OFFSET($H$3,0,0,'Données projet'!$E$9+1,1))</f>
        <v>234.10156575337737</v>
      </c>
      <c r="T99" s="59">
        <f t="shared" si="88"/>
        <v>285.68635263076646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123.31316820306583</v>
      </c>
      <c r="AA99" s="21">
        <f>EXP(-LN(2)/25)*AA98+(1-EXP(-LN(2)/25))/(LN(2)/25)*Calculateur!V99*Calculateur!X99*VLOOKUP('Données projet'!$B$9,Paramètres!$A$1:$I$89,3,0)*0.475*44/12</f>
        <v>59.825224192281972</v>
      </c>
      <c r="AB99" s="21">
        <f>EXP(-LN(2)/2)*AB98+(1-EXP(-LN(2)/2))/(LN(2)/2)*V99*Y99*VLOOKUP('Données projet'!$B$9,Paramètres!$A$1:$I$89,3,0)*0.475*44/12</f>
        <v>5.0532411121854025E-9</v>
      </c>
      <c r="AC99" s="22">
        <f t="shared" si="57"/>
        <v>183.13839240040105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0</v>
      </c>
      <c r="AJ99" s="13">
        <f>AI99*VLOOKUP('Données projet'!$B$10,Paramètres!$A$1:$I$89,3,0)*VLOOKUP('Données projet'!$B$10,Paramètres!$A$1:$I$89,5,0)</f>
        <v>0</v>
      </c>
      <c r="AK99" s="13" t="e">
        <f t="shared" si="89"/>
        <v>#NUM!</v>
      </c>
      <c r="AL99" s="20" t="e">
        <f t="shared" si="58"/>
        <v>#NUM!</v>
      </c>
      <c r="AM99" s="59" t="e">
        <f t="shared" si="59"/>
        <v>#NUM!</v>
      </c>
      <c r="AN99" s="59">
        <f ca="1">AVERAGE(OFFSET($AM$3,0,0,'Données projet'!$E$10+1,1))-AVERAGE(OFFSET($H$3,0,0,'Données projet'!$E$10+1,1))</f>
        <v>179.44051550872138</v>
      </c>
      <c r="AO99" s="59">
        <f t="shared" si="90"/>
        <v>272.9500808380069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40.837744614460014</v>
      </c>
      <c r="AV99" s="21">
        <f>EXP(-LN(2)/25)*AV98+(1-EXP(-LN(2)/25))/(LN(2)/25)*Calculateur!AQ99*Calculateur!AS99*VLOOKUP('Données projet'!$B$10,Paramètres!$A$1:$I$89,3,0)*0.475*44/12</f>
        <v>53.299926748761123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94.137671363221131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-1.1368683772161603E-13</v>
      </c>
      <c r="BE99" s="13">
        <f>BD99*VLOOKUP('Données projet'!$B$11,Paramètres!$A$1:$I$89,3,0)*VLOOKUP('Données projet'!$B$11,Paramètres!$A$1:$I$89,5,0)</f>
        <v>-6.3550942286383367E-14</v>
      </c>
      <c r="BF99" s="13" t="e">
        <f t="shared" si="91"/>
        <v>#NUM!</v>
      </c>
      <c r="BG99" s="20" t="e">
        <f t="shared" si="61"/>
        <v>#NUM!</v>
      </c>
      <c r="BH99" s="59" t="e">
        <f t="shared" si="62"/>
        <v>#NUM!</v>
      </c>
      <c r="BI99" s="59">
        <f ca="1">AVERAGE(OFFSET($BH$3,0,0,'Données projet'!$E$11+1,1))-AVERAGE(OFFSET($H$3,0,0,'Données projet'!$E$11+1,1))</f>
        <v>278.5296012747549</v>
      </c>
      <c r="BJ99" s="59">
        <f t="shared" si="92"/>
        <v>370.55343097937077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100.63154847519814</v>
      </c>
      <c r="BQ99" s="21">
        <f>EXP(-LN(2)/25)*BQ98+(1-EXP(-LN(2)/25))/(LN(2)/25)*Calculateur!BL99*Calculateur!BN99*VLOOKUP('Données projet'!$B$11,Paramètres!$A$1:$I$89,3,0)*0.475*44/12</f>
        <v>18.483797227198433</v>
      </c>
      <c r="BR99" s="21">
        <f>EXP(-LN(2)/2)*BR98+(1-EXP(-LN(2)/2))/(LN(2)/2)*BL99*BO99*VLOOKUP('Données projet'!$B$11,Paramètres!$A$1:$I$89,3,0)*0.475*44/12</f>
        <v>2.3036660876734818E-5</v>
      </c>
      <c r="BS99" s="22">
        <f t="shared" si="63"/>
        <v>119.11536873905746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266.99999999999983</v>
      </c>
      <c r="BZ99" s="13">
        <f>BY99*VLOOKUP('Données projet'!$B$12,Paramètres!$A$1:$I$89,3,0)*VLOOKUP('Données projet'!$B$12,Paramètres!$A$1:$I$89,5,0)</f>
        <v>212.42519999999985</v>
      </c>
      <c r="CA99" s="13">
        <f t="shared" si="93"/>
        <v>52.465198231787184</v>
      </c>
      <c r="CB99" s="20">
        <f t="shared" si="64"/>
        <v>461.35077692036231</v>
      </c>
      <c r="CC99" s="59">
        <f t="shared" si="65"/>
        <v>754.68411025369562</v>
      </c>
      <c r="CD99" s="59">
        <f ca="1">AVERAGE(OFFSET($CC$3,0,0,'Données projet'!$E$12+1,1))-AVERAGE(OFFSET($H$3,0,0,'Données projet'!$E$12+1,1))</f>
        <v>225.2323446080772</v>
      </c>
      <c r="CE99" s="59">
        <f t="shared" si="94"/>
        <v>222.29030402759292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20.97238857535611</v>
      </c>
      <c r="CL99" s="21">
        <f>EXP(-LN(2)/25)*CL98+(1-EXP(-LN(2)/25))/(LN(2)/25)*Calculateur!CG99*Calculateur!CI99*VLOOKUP('Données projet'!$B$12,Paramètres!$A$1:$I$89,3,0)*0.475*44/12</f>
        <v>5.3447759512389341</v>
      </c>
      <c r="CM99" s="21">
        <f>EXP(-LN(2)/2)*CM98+(1-EXP(-LN(2)/2))/(LN(2)/2)*CG99*CJ99*VLOOKUP('Données projet'!$B$12,Paramètres!$A$1:$I$89,3,0)*0.475*44/12</f>
        <v>0</v>
      </c>
      <c r="CN99" s="22">
        <f t="shared" si="66"/>
        <v>26.317164526595043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5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46.657000000000103</v>
      </c>
      <c r="D100" s="11">
        <f t="shared" si="86"/>
        <v>13.746969172017856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466.27625325768253</v>
      </c>
      <c r="H100" s="67">
        <f t="shared" si="56"/>
        <v>398.5369129745979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4.5474735088646412E-13</v>
      </c>
      <c r="O100" s="13">
        <f>N100*VLOOKUP('Données projet'!$B$9,Paramètres!$A$1:$I$89,3,0)*VLOOKUP('Données projet'!$B$9,Paramètres!$A$1:$I$89,5,0)</f>
        <v>2.1873347577638923E-13</v>
      </c>
      <c r="P100" s="13">
        <f t="shared" si="87"/>
        <v>2.999861355695181E-12</v>
      </c>
      <c r="Q100" s="20">
        <f t="shared" si="107"/>
        <v>5.6057193314796512E-12</v>
      </c>
      <c r="R100" s="59">
        <f t="shared" si="55"/>
        <v>293.33333333333894</v>
      </c>
      <c r="S100" s="59">
        <f ca="1">AVERAGE(OFFSET($R$3,0,0,'Données projet'!$E$9+1,1))-AVERAGE(OFFSET($H$3,0,0,'Données projet'!$E$9+1,1))</f>
        <v>234.10156575337737</v>
      </c>
      <c r="T100" s="59">
        <f t="shared" si="88"/>
        <v>285.68635263076646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120.89507218820958</v>
      </c>
      <c r="AA100" s="21">
        <f>EXP(-LN(2)/25)*AA99+(1-EXP(-LN(2)/25))/(LN(2)/25)*Calculateur!V100*Calculateur!X100*VLOOKUP('Données projet'!$B$9,Paramètres!$A$1:$I$89,3,0)*0.475*44/12</f>
        <v>58.189300290672215</v>
      </c>
      <c r="AB100" s="21">
        <f>EXP(-LN(2)/2)*AB99+(1-EXP(-LN(2)/2))/(LN(2)/2)*V100*Y100*VLOOKUP('Données projet'!$B$9,Paramètres!$A$1:$I$89,3,0)*0.475*44/12</f>
        <v>3.5731810573969495E-9</v>
      </c>
      <c r="AC100" s="22">
        <f t="shared" si="57"/>
        <v>179.08437248245497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0</v>
      </c>
      <c r="AJ100" s="13">
        <f>AI100*VLOOKUP('Données projet'!$B$10,Paramètres!$A$1:$I$89,3,0)*VLOOKUP('Données projet'!$B$10,Paramètres!$A$1:$I$89,5,0)</f>
        <v>0</v>
      </c>
      <c r="AK100" s="13" t="e">
        <f t="shared" si="89"/>
        <v>#NUM!</v>
      </c>
      <c r="AL100" s="20" t="e">
        <f t="shared" si="58"/>
        <v>#NUM!</v>
      </c>
      <c r="AM100" s="59" t="e">
        <f t="shared" si="59"/>
        <v>#NUM!</v>
      </c>
      <c r="AN100" s="59">
        <f ca="1">AVERAGE(OFFSET($AM$3,0,0,'Données projet'!$E$10+1,1))-AVERAGE(OFFSET($H$3,0,0,'Données projet'!$E$10+1,1))</f>
        <v>179.44051550872138</v>
      </c>
      <c r="AO100" s="59">
        <f t="shared" si="90"/>
        <v>272.9500808380069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40.036941351135148</v>
      </c>
      <c r="AV100" s="21">
        <f>EXP(-LN(2)/25)*AV99+(1-EXP(-LN(2)/25))/(LN(2)/25)*Calculateur!AQ100*Calculateur!AS100*VLOOKUP('Données projet'!$B$10,Paramètres!$A$1:$I$89,3,0)*0.475*44/12</f>
        <v>51.84243744889492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91.879378800030068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-1.1368683772161603E-13</v>
      </c>
      <c r="BE100" s="13">
        <f>BD100*VLOOKUP('Données projet'!$B$11,Paramètres!$A$1:$I$89,3,0)*VLOOKUP('Données projet'!$B$11,Paramètres!$A$1:$I$89,5,0)</f>
        <v>-6.3550942286383367E-14</v>
      </c>
      <c r="BF100" s="13" t="e">
        <f t="shared" si="91"/>
        <v>#NUM!</v>
      </c>
      <c r="BG100" s="20" t="e">
        <f t="shared" si="61"/>
        <v>#NUM!</v>
      </c>
      <c r="BH100" s="59" t="e">
        <f t="shared" si="62"/>
        <v>#NUM!</v>
      </c>
      <c r="BI100" s="59">
        <f ca="1">AVERAGE(OFFSET($BH$3,0,0,'Données projet'!$E$11+1,1))-AVERAGE(OFFSET($H$3,0,0,'Données projet'!$E$11+1,1))</f>
        <v>278.5296012747549</v>
      </c>
      <c r="BJ100" s="59">
        <f t="shared" si="92"/>
        <v>370.55343097937077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98.658225188783391</v>
      </c>
      <c r="BQ100" s="21">
        <f>EXP(-LN(2)/25)*BQ99+(1-EXP(-LN(2)/25))/(LN(2)/25)*Calculateur!BL100*Calculateur!BN100*VLOOKUP('Données projet'!$B$11,Paramètres!$A$1:$I$89,3,0)*0.475*44/12</f>
        <v>17.978356820000041</v>
      </c>
      <c r="BR100" s="21">
        <f>EXP(-LN(2)/2)*BR99+(1-EXP(-LN(2)/2))/(LN(2)/2)*BL100*BO100*VLOOKUP('Données projet'!$B$11,Paramètres!$A$1:$I$89,3,0)*0.475*44/12</f>
        <v>1.6289379121834027E-5</v>
      </c>
      <c r="BS100" s="22">
        <f t="shared" si="63"/>
        <v>116.63659829816255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266.99999999999983</v>
      </c>
      <c r="BZ100" s="13">
        <f>BY100*VLOOKUP('Données projet'!$B$12,Paramètres!$A$1:$I$89,3,0)*VLOOKUP('Données projet'!$B$12,Paramètres!$A$1:$I$89,5,0)</f>
        <v>212.42519999999985</v>
      </c>
      <c r="CA100" s="13">
        <f t="shared" si="93"/>
        <v>52.465198231787184</v>
      </c>
      <c r="CB100" s="20">
        <f t="shared" si="64"/>
        <v>461.35077692036231</v>
      </c>
      <c r="CC100" s="59">
        <f t="shared" si="65"/>
        <v>754.68411025369562</v>
      </c>
      <c r="CD100" s="59">
        <f ca="1">AVERAGE(OFFSET($CC$3,0,0,'Données projet'!$E$12+1,1))-AVERAGE(OFFSET($H$3,0,0,'Données projet'!$E$12+1,1))</f>
        <v>225.2323446080772</v>
      </c>
      <c r="CE100" s="59">
        <f t="shared" si="94"/>
        <v>222.29030402759292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20.561132827287313</v>
      </c>
      <c r="CL100" s="21">
        <f>EXP(-LN(2)/25)*CL99+(1-EXP(-LN(2)/25))/(LN(2)/25)*Calculateur!CG100*Calculateur!CI100*VLOOKUP('Données projet'!$B$12,Paramètres!$A$1:$I$89,3,0)*0.475*44/12</f>
        <v>5.1986227717827536</v>
      </c>
      <c r="CM100" s="21">
        <f>EXP(-LN(2)/2)*CM99+(1-EXP(-LN(2)/2))/(LN(2)/2)*CG100*CJ100*VLOOKUP('Données projet'!$B$12,Paramètres!$A$1:$I$89,3,0)*0.475*44/12</f>
        <v>0</v>
      </c>
      <c r="CN100" s="22">
        <f t="shared" si="66"/>
        <v>25.759755599070068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5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47.138000000000105</v>
      </c>
      <c r="D101" s="11">
        <f t="shared" si="86"/>
        <v>13.87211929238806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470.95530681843502</v>
      </c>
      <c r="H101" s="67">
        <f t="shared" si="56"/>
        <v>399.59262443424268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4.5474735088646412E-13</v>
      </c>
      <c r="O101" s="13">
        <f>N101*VLOOKUP('Données projet'!$B$9,Paramètres!$A$1:$I$89,3,0)*VLOOKUP('Données projet'!$B$9,Paramètres!$A$1:$I$89,5,0)</f>
        <v>2.1873347577638923E-13</v>
      </c>
      <c r="P101" s="13">
        <f t="shared" si="87"/>
        <v>2.999861355695181E-12</v>
      </c>
      <c r="Q101" s="20">
        <f t="shared" si="107"/>
        <v>5.6057193314796512E-12</v>
      </c>
      <c r="R101" s="59">
        <f t="shared" si="55"/>
        <v>293.33333333333894</v>
      </c>
      <c r="S101" s="59">
        <f ca="1">AVERAGE(OFFSET($R$3,0,0,'Données projet'!$E$9+1,1))-AVERAGE(OFFSET($H$3,0,0,'Données projet'!$E$9+1,1))</f>
        <v>234.10156575337737</v>
      </c>
      <c r="T101" s="59">
        <f t="shared" si="88"/>
        <v>285.68635263076646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118.52439356131174</v>
      </c>
      <c r="AA101" s="21">
        <f>EXP(-LN(2)/25)*AA100+(1-EXP(-LN(2)/25))/(LN(2)/25)*Calculateur!V101*Calculateur!X101*VLOOKUP('Données projet'!$B$9,Paramètres!$A$1:$I$89,3,0)*0.475*44/12</f>
        <v>56.598110814181474</v>
      </c>
      <c r="AB101" s="21">
        <f>EXP(-LN(2)/2)*AB100+(1-EXP(-LN(2)/2))/(LN(2)/2)*V101*Y101*VLOOKUP('Données projet'!$B$9,Paramètres!$A$1:$I$89,3,0)*0.475*44/12</f>
        <v>2.5266205560927012E-9</v>
      </c>
      <c r="AC101" s="22">
        <f t="shared" si="57"/>
        <v>175.12250437801984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0</v>
      </c>
      <c r="AJ101" s="13">
        <f>AI101*VLOOKUP('Données projet'!$B$10,Paramètres!$A$1:$I$89,3,0)*VLOOKUP('Données projet'!$B$10,Paramètres!$A$1:$I$89,5,0)</f>
        <v>0</v>
      </c>
      <c r="AK101" s="13" t="e">
        <f t="shared" si="89"/>
        <v>#NUM!</v>
      </c>
      <c r="AL101" s="20" t="e">
        <f t="shared" si="58"/>
        <v>#NUM!</v>
      </c>
      <c r="AM101" s="59" t="e">
        <f t="shared" si="59"/>
        <v>#NUM!</v>
      </c>
      <c r="AN101" s="59">
        <f ca="1">AVERAGE(OFFSET($AM$3,0,0,'Données projet'!$E$10+1,1))-AVERAGE(OFFSET($H$3,0,0,'Données projet'!$E$10+1,1))</f>
        <v>179.44051550872138</v>
      </c>
      <c r="AO101" s="59">
        <f t="shared" si="90"/>
        <v>272.9500808380069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39.251841351362323</v>
      </c>
      <c r="AV101" s="21">
        <f>EXP(-LN(2)/25)*AV100+(1-EXP(-LN(2)/25))/(LN(2)/25)*Calculateur!AQ101*Calculateur!AS101*VLOOKUP('Données projet'!$B$10,Paramètres!$A$1:$I$89,3,0)*0.475*44/12</f>
        <v>50.424803270579588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89.676644621941904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-1.1368683772161603E-13</v>
      </c>
      <c r="BE101" s="13">
        <f>BD101*VLOOKUP('Données projet'!$B$11,Paramètres!$A$1:$I$89,3,0)*VLOOKUP('Données projet'!$B$11,Paramètres!$A$1:$I$89,5,0)</f>
        <v>-6.3550942286383367E-14</v>
      </c>
      <c r="BF101" s="13" t="e">
        <f t="shared" si="91"/>
        <v>#NUM!</v>
      </c>
      <c r="BG101" s="20" t="e">
        <f t="shared" si="61"/>
        <v>#NUM!</v>
      </c>
      <c r="BH101" s="59" t="e">
        <f t="shared" si="62"/>
        <v>#NUM!</v>
      </c>
      <c r="BI101" s="59">
        <f ca="1">AVERAGE(OFFSET($BH$3,0,0,'Données projet'!$E$11+1,1))-AVERAGE(OFFSET($H$3,0,0,'Données projet'!$E$11+1,1))</f>
        <v>278.5296012747549</v>
      </c>
      <c r="BJ101" s="59">
        <f t="shared" si="92"/>
        <v>370.55343097937077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96.723597568406873</v>
      </c>
      <c r="BQ101" s="21">
        <f>EXP(-LN(2)/25)*BQ100+(1-EXP(-LN(2)/25))/(LN(2)/25)*Calculateur!BL101*Calculateur!BN101*VLOOKUP('Données projet'!$B$11,Paramètres!$A$1:$I$89,3,0)*0.475*44/12</f>
        <v>17.486737707316443</v>
      </c>
      <c r="BR101" s="21">
        <f>EXP(-LN(2)/2)*BR100+(1-EXP(-LN(2)/2))/(LN(2)/2)*BL101*BO101*VLOOKUP('Données projet'!$B$11,Paramètres!$A$1:$I$89,3,0)*0.475*44/12</f>
        <v>1.1518330438367409E-5</v>
      </c>
      <c r="BS101" s="22">
        <f t="shared" si="63"/>
        <v>114.21034679405375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266.99999999999983</v>
      </c>
      <c r="BZ101" s="13">
        <f>BY101*VLOOKUP('Données projet'!$B$12,Paramètres!$A$1:$I$89,3,0)*VLOOKUP('Données projet'!$B$12,Paramètres!$A$1:$I$89,5,0)</f>
        <v>212.42519999999985</v>
      </c>
      <c r="CA101" s="13">
        <f t="shared" si="93"/>
        <v>52.465198231787184</v>
      </c>
      <c r="CB101" s="20">
        <f t="shared" si="64"/>
        <v>461.35077692036231</v>
      </c>
      <c r="CC101" s="59">
        <f t="shared" si="65"/>
        <v>754.68411025369562</v>
      </c>
      <c r="CD101" s="59">
        <f ca="1">AVERAGE(OFFSET($CC$3,0,0,'Données projet'!$E$12+1,1))-AVERAGE(OFFSET($H$3,0,0,'Données projet'!$E$12+1,1))</f>
        <v>225.2323446080772</v>
      </c>
      <c r="CE101" s="59">
        <f t="shared" si="94"/>
        <v>222.29030402759292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20.157941553596906</v>
      </c>
      <c r="CL101" s="21">
        <f>EXP(-LN(2)/25)*CL100+(1-EXP(-LN(2)/25))/(LN(2)/25)*Calculateur!CG101*Calculateur!CI101*VLOOKUP('Données projet'!$B$12,Paramètres!$A$1:$I$89,3,0)*0.475*44/12</f>
        <v>5.056466158704664</v>
      </c>
      <c r="CM101" s="21">
        <f>EXP(-LN(2)/2)*CM100+(1-EXP(-LN(2)/2))/(LN(2)/2)*CG101*CJ101*VLOOKUP('Données projet'!$B$12,Paramètres!$A$1:$I$89,3,0)*0.475*44/12</f>
        <v>0</v>
      </c>
      <c r="CN101" s="22">
        <f t="shared" si="66"/>
        <v>25.214407712301572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5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47.619000000000106</v>
      </c>
      <c r="D102" s="11">
        <f t="shared" si="86"/>
        <v>13.997120850581238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475.63321358343501</v>
      </c>
      <c r="H102" s="67">
        <f t="shared" si="56"/>
        <v>400.64807714809581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4.5474735088646412E-13</v>
      </c>
      <c r="O102" s="13">
        <f>N102*VLOOKUP('Données projet'!$B$9,Paramètres!$A$1:$I$89,3,0)*VLOOKUP('Données projet'!$B$9,Paramètres!$A$1:$I$89,5,0)</f>
        <v>2.1873347577638923E-13</v>
      </c>
      <c r="P102" s="13">
        <f t="shared" si="87"/>
        <v>2.999861355695181E-12</v>
      </c>
      <c r="Q102" s="20">
        <f t="shared" si="107"/>
        <v>5.6057193314796512E-12</v>
      </c>
      <c r="R102" s="59">
        <f t="shared" si="55"/>
        <v>293.33333333333894</v>
      </c>
      <c r="S102" s="59">
        <f ca="1">AVERAGE(OFFSET($R$3,0,0,'Données projet'!$E$9+1,1))-AVERAGE(OFFSET($H$3,0,0,'Données projet'!$E$9+1,1))</f>
        <v>234.10156575337737</v>
      </c>
      <c r="T102" s="59">
        <f t="shared" si="88"/>
        <v>285.68635263076646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116.20020249631618</v>
      </c>
      <c r="AA102" s="21">
        <f>EXP(-LN(2)/25)*AA101+(1-EXP(-LN(2)/25))/(LN(2)/25)*Calculateur!V102*Calculateur!X102*VLOOKUP('Données projet'!$B$9,Paramètres!$A$1:$I$89,3,0)*0.475*44/12</f>
        <v>55.050432497602394</v>
      </c>
      <c r="AB102" s="21">
        <f>EXP(-LN(2)/2)*AB101+(1-EXP(-LN(2)/2))/(LN(2)/2)*V102*Y102*VLOOKUP('Données projet'!$B$9,Paramètres!$A$1:$I$89,3,0)*0.475*44/12</f>
        <v>1.7865905286984747E-9</v>
      </c>
      <c r="AC102" s="22">
        <f t="shared" si="57"/>
        <v>171.25063499570516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0</v>
      </c>
      <c r="AJ102" s="13">
        <f>AI102*VLOOKUP('Données projet'!$B$10,Paramètres!$A$1:$I$89,3,0)*VLOOKUP('Données projet'!$B$10,Paramètres!$A$1:$I$89,5,0)</f>
        <v>0</v>
      </c>
      <c r="AK102" s="13" t="e">
        <f t="shared" si="89"/>
        <v>#NUM!</v>
      </c>
      <c r="AL102" s="20" t="e">
        <f t="shared" si="58"/>
        <v>#NUM!</v>
      </c>
      <c r="AM102" s="59" t="e">
        <f t="shared" si="59"/>
        <v>#NUM!</v>
      </c>
      <c r="AN102" s="59">
        <f ca="1">AVERAGE(OFFSET($AM$3,0,0,'Données projet'!$E$10+1,1))-AVERAGE(OFFSET($H$3,0,0,'Données projet'!$E$10+1,1))</f>
        <v>179.44051550872138</v>
      </c>
      <c r="AO102" s="59">
        <f t="shared" si="90"/>
        <v>272.9500808380069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38.482136683721329</v>
      </c>
      <c r="AV102" s="21">
        <f>EXP(-LN(2)/25)*AV101+(1-EXP(-LN(2)/25))/(LN(2)/25)*Calculateur!AQ102*Calculateur!AS102*VLOOKUP('Données projet'!$B$10,Paramètres!$A$1:$I$89,3,0)*0.475*44/12</f>
        <v>49.04593437342043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87.528071057141759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-1.1368683772161603E-13</v>
      </c>
      <c r="BE102" s="13">
        <f>BD102*VLOOKUP('Données projet'!$B$11,Paramètres!$A$1:$I$89,3,0)*VLOOKUP('Données projet'!$B$11,Paramètres!$A$1:$I$89,5,0)</f>
        <v>-6.3550942286383367E-14</v>
      </c>
      <c r="BF102" s="13" t="e">
        <f t="shared" si="91"/>
        <v>#NUM!</v>
      </c>
      <c r="BG102" s="20" t="e">
        <f t="shared" si="61"/>
        <v>#NUM!</v>
      </c>
      <c r="BH102" s="59" t="e">
        <f t="shared" si="62"/>
        <v>#NUM!</v>
      </c>
      <c r="BI102" s="59">
        <f ca="1">AVERAGE(OFFSET($BH$3,0,0,'Données projet'!$E$11+1,1))-AVERAGE(OFFSET($H$3,0,0,'Données projet'!$E$11+1,1))</f>
        <v>278.5296012747549</v>
      </c>
      <c r="BJ102" s="59">
        <f t="shared" si="92"/>
        <v>370.55343097937077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94.826906815659598</v>
      </c>
      <c r="BQ102" s="21">
        <f>EXP(-LN(2)/25)*BQ101+(1-EXP(-LN(2)/25))/(LN(2)/25)*Calculateur!BL102*Calculateur!BN102*VLOOKUP('Données projet'!$B$11,Paramètres!$A$1:$I$89,3,0)*0.475*44/12</f>
        <v>17.008561945122306</v>
      </c>
      <c r="BR102" s="21">
        <f>EXP(-LN(2)/2)*BR101+(1-EXP(-LN(2)/2))/(LN(2)/2)*BL102*BO102*VLOOKUP('Données projet'!$B$11,Paramètres!$A$1:$I$89,3,0)*0.475*44/12</f>
        <v>8.1446895609170135E-6</v>
      </c>
      <c r="BS102" s="22">
        <f t="shared" si="63"/>
        <v>111.83547690547147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266.99999999999983</v>
      </c>
      <c r="BZ102" s="13">
        <f>BY102*VLOOKUP('Données projet'!$B$12,Paramètres!$A$1:$I$89,3,0)*VLOOKUP('Données projet'!$B$12,Paramètres!$A$1:$I$89,5,0)</f>
        <v>212.42519999999985</v>
      </c>
      <c r="CA102" s="13">
        <f t="shared" si="93"/>
        <v>52.465198231787184</v>
      </c>
      <c r="CB102" s="20">
        <f t="shared" si="64"/>
        <v>461.35077692036231</v>
      </c>
      <c r="CC102" s="59">
        <f t="shared" si="65"/>
        <v>754.68411025369562</v>
      </c>
      <c r="CD102" s="59">
        <f ca="1">AVERAGE(OFFSET($CC$3,0,0,'Données projet'!$E$12+1,1))-AVERAGE(OFFSET($H$3,0,0,'Données projet'!$E$12+1,1))</f>
        <v>225.2323446080772</v>
      </c>
      <c r="CE102" s="59">
        <f t="shared" si="94"/>
        <v>222.29030402759292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19.762656614861175</v>
      </c>
      <c r="CL102" s="21">
        <f>EXP(-LN(2)/25)*CL101+(1-EXP(-LN(2)/25))/(LN(2)/25)*Calculateur!CG102*Calculateur!CI102*VLOOKUP('Données projet'!$B$12,Paramètres!$A$1:$I$89,3,0)*0.475*44/12</f>
        <v>4.918196825686886</v>
      </c>
      <c r="CM102" s="21">
        <f>EXP(-LN(2)/2)*CM101+(1-EXP(-LN(2)/2))/(LN(2)/2)*CG102*CJ102*VLOOKUP('Données projet'!$B$12,Paramètres!$A$1:$I$89,3,0)*0.475*44/12</f>
        <v>0</v>
      </c>
      <c r="CN102" s="22">
        <f t="shared" si="66"/>
        <v>24.680853440548063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5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48.100000000000108</v>
      </c>
      <c r="D103" s="11">
        <f t="shared" si="86"/>
        <v>14.121975520971258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480.3099864776737</v>
      </c>
      <c r="H103" s="67">
        <f t="shared" si="56"/>
        <v>401.70327403235842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4.5474735088646412E-13</v>
      </c>
      <c r="O103" s="13">
        <f>N103*VLOOKUP('Données projet'!$B$9,Paramètres!$A$1:$I$89,3,0)*VLOOKUP('Données projet'!$B$9,Paramètres!$A$1:$I$89,5,0)</f>
        <v>2.1873347577638923E-13</v>
      </c>
      <c r="P103" s="13">
        <f t="shared" si="87"/>
        <v>2.999861355695181E-12</v>
      </c>
      <c r="Q103" s="20">
        <f t="shared" si="107"/>
        <v>5.6057193314796512E-12</v>
      </c>
      <c r="R103" s="59">
        <f t="shared" si="55"/>
        <v>293.33333333333894</v>
      </c>
      <c r="S103" s="59">
        <f ca="1">AVERAGE(OFFSET($R$3,0,0,'Données projet'!$E$9+1,1))-AVERAGE(OFFSET($H$3,0,0,'Données projet'!$E$9+1,1))</f>
        <v>234.10156575337737</v>
      </c>
      <c r="T103" s="59">
        <f t="shared" si="88"/>
        <v>285.68635263076646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113.9215874004886</v>
      </c>
      <c r="AA103" s="21">
        <f>EXP(-LN(2)/25)*AA102+(1-EXP(-LN(2)/25))/(LN(2)/25)*Calculateur!V103*Calculateur!X103*VLOOKUP('Données projet'!$B$9,Paramètres!$A$1:$I$89,3,0)*0.475*44/12</f>
        <v>53.54507552597903</v>
      </c>
      <c r="AB103" s="21">
        <f>EXP(-LN(2)/2)*AB102+(1-EXP(-LN(2)/2))/(LN(2)/2)*V103*Y103*VLOOKUP('Données projet'!$B$9,Paramètres!$A$1:$I$89,3,0)*0.475*44/12</f>
        <v>1.2633102780463506E-9</v>
      </c>
      <c r="AC103" s="22">
        <f t="shared" si="57"/>
        <v>167.46666292773094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0</v>
      </c>
      <c r="AJ103" s="13">
        <f>AI103*VLOOKUP('Données projet'!$B$10,Paramètres!$A$1:$I$89,3,0)*VLOOKUP('Données projet'!$B$10,Paramètres!$A$1:$I$89,5,0)</f>
        <v>0</v>
      </c>
      <c r="AK103" s="13" t="e">
        <f t="shared" si="89"/>
        <v>#NUM!</v>
      </c>
      <c r="AL103" s="20" t="e">
        <f t="shared" si="58"/>
        <v>#NUM!</v>
      </c>
      <c r="AM103" s="59" t="e">
        <f t="shared" si="59"/>
        <v>#NUM!</v>
      </c>
      <c r="AN103" s="59">
        <f ca="1">AVERAGE(OFFSET($AM$3,0,0,'Données projet'!$E$10+1,1))-AVERAGE(OFFSET($H$3,0,0,'Données projet'!$E$10+1,1))</f>
        <v>179.44051550872138</v>
      </c>
      <c r="AO103" s="59">
        <f t="shared" si="90"/>
        <v>272.9500808380069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37.727525455139286</v>
      </c>
      <c r="AV103" s="21">
        <f>EXP(-LN(2)/25)*AV102+(1-EXP(-LN(2)/25))/(LN(2)/25)*Calculateur!AQ103*Calculateur!AS103*VLOOKUP('Données projet'!$B$10,Paramètres!$A$1:$I$89,3,0)*0.475*44/12</f>
        <v>47.704770718765658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85.432296173904945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-1.1368683772161603E-13</v>
      </c>
      <c r="BE103" s="13">
        <f>BD103*VLOOKUP('Données projet'!$B$11,Paramètres!$A$1:$I$89,3,0)*VLOOKUP('Données projet'!$B$11,Paramètres!$A$1:$I$89,5,0)</f>
        <v>-6.3550942286383367E-14</v>
      </c>
      <c r="BF103" s="13" t="e">
        <f t="shared" si="91"/>
        <v>#NUM!</v>
      </c>
      <c r="BG103" s="20" t="e">
        <f t="shared" si="61"/>
        <v>#NUM!</v>
      </c>
      <c r="BH103" s="59" t="e">
        <f t="shared" si="62"/>
        <v>#NUM!</v>
      </c>
      <c r="BI103" s="59">
        <f ca="1">AVERAGE(OFFSET($BH$3,0,0,'Données projet'!$E$11+1,1))-AVERAGE(OFFSET($H$3,0,0,'Données projet'!$E$11+1,1))</f>
        <v>278.5296012747549</v>
      </c>
      <c r="BJ103" s="59">
        <f t="shared" si="92"/>
        <v>370.55343097937077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92.967409011706579</v>
      </c>
      <c r="BQ103" s="21">
        <f>EXP(-LN(2)/25)*BQ102+(1-EXP(-LN(2)/25))/(LN(2)/25)*Calculateur!BL103*Calculateur!BN103*VLOOKUP('Données projet'!$B$11,Paramètres!$A$1:$I$89,3,0)*0.475*44/12</f>
        <v>16.543461924291538</v>
      </c>
      <c r="BR103" s="21">
        <f>EXP(-LN(2)/2)*BR102+(1-EXP(-LN(2)/2))/(LN(2)/2)*BL103*BO103*VLOOKUP('Données projet'!$B$11,Paramètres!$A$1:$I$89,3,0)*0.475*44/12</f>
        <v>5.7591652191837045E-6</v>
      </c>
      <c r="BS103" s="22">
        <f t="shared" si="63"/>
        <v>109.51087669516333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266.99999999999983</v>
      </c>
      <c r="BZ103" s="13">
        <f>BY103*VLOOKUP('Données projet'!$B$12,Paramètres!$A$1:$I$89,3,0)*VLOOKUP('Données projet'!$B$12,Paramètres!$A$1:$I$89,5,0)</f>
        <v>212.42519999999985</v>
      </c>
      <c r="CA103" s="13">
        <f t="shared" si="93"/>
        <v>52.465198231787184</v>
      </c>
      <c r="CB103" s="20">
        <f t="shared" si="64"/>
        <v>461.35077692036231</v>
      </c>
      <c r="CC103" s="59">
        <f t="shared" si="65"/>
        <v>754.68411025369562</v>
      </c>
      <c r="CD103" s="59">
        <f ca="1">AVERAGE(OFFSET($CC$3,0,0,'Données projet'!$E$12+1,1))-AVERAGE(OFFSET($H$3,0,0,'Données projet'!$E$12+1,1))</f>
        <v>225.2323446080772</v>
      </c>
      <c r="CE103" s="59">
        <f t="shared" si="94"/>
        <v>222.29030402759292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19.375122972674045</v>
      </c>
      <c r="CL103" s="21">
        <f>EXP(-LN(2)/25)*CL102+(1-EXP(-LN(2)/25))/(LN(2)/25)*Calculateur!CG103*Calculateur!CI103*VLOOKUP('Données projet'!$B$12,Paramètres!$A$1:$I$89,3,0)*0.475*44/12</f>
        <v>4.783708474851748</v>
      </c>
      <c r="CM103" s="21">
        <f>EXP(-LN(2)/2)*CM102+(1-EXP(-LN(2)/2))/(LN(2)/2)*CG103*CJ103*VLOOKUP('Données projet'!$B$12,Paramètres!$A$1:$I$89,3,0)*0.475*44/12</f>
        <v>0</v>
      </c>
      <c r="CN103" s="22">
        <f t="shared" si="66"/>
        <v>24.158831447525792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5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48.58100000000011</v>
      </c>
      <c r="D104" s="11">
        <f t="shared" si="86"/>
        <v>14.246684942514399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484.98563815274366</v>
      </c>
      <c r="H104" s="67">
        <f t="shared" si="56"/>
        <v>402.75821794154609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4.5474735088646412E-13</v>
      </c>
      <c r="O104" s="13">
        <f>N104*VLOOKUP('Données projet'!$B$9,Paramètres!$A$1:$I$89,3,0)*VLOOKUP('Données projet'!$B$9,Paramètres!$A$1:$I$89,5,0)</f>
        <v>2.1873347577638923E-13</v>
      </c>
      <c r="P104" s="13">
        <f t="shared" si="87"/>
        <v>2.999861355695181E-12</v>
      </c>
      <c r="Q104" s="20">
        <f t="shared" si="107"/>
        <v>5.6057193314796512E-12</v>
      </c>
      <c r="R104" s="59">
        <f t="shared" si="55"/>
        <v>293.33333333333894</v>
      </c>
      <c r="S104" s="59">
        <f ca="1">AVERAGE(OFFSET($R$3,0,0,'Données projet'!$E$9+1,1))-AVERAGE(OFFSET($H$3,0,0,'Données projet'!$E$9+1,1))</f>
        <v>234.10156575337737</v>
      </c>
      <c r="T104" s="59">
        <f t="shared" si="88"/>
        <v>285.68635263076646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111.68765455687223</v>
      </c>
      <c r="AA104" s="21">
        <f>EXP(-LN(2)/25)*AA103+(1-EXP(-LN(2)/25))/(LN(2)/25)*Calculateur!V104*Calculateur!X104*VLOOKUP('Données projet'!$B$9,Paramètres!$A$1:$I$89,3,0)*0.475*44/12</f>
        <v>52.080882619907989</v>
      </c>
      <c r="AB104" s="21">
        <f>EXP(-LN(2)/2)*AB103+(1-EXP(-LN(2)/2))/(LN(2)/2)*V104*Y104*VLOOKUP('Données projet'!$B$9,Paramètres!$A$1:$I$89,3,0)*0.475*44/12</f>
        <v>8.9329526434923737E-10</v>
      </c>
      <c r="AC104" s="22">
        <f t="shared" si="57"/>
        <v>163.76853717767352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0</v>
      </c>
      <c r="AJ104" s="13">
        <f>AI104*VLOOKUP('Données projet'!$B$10,Paramètres!$A$1:$I$89,3,0)*VLOOKUP('Données projet'!$B$10,Paramètres!$A$1:$I$89,5,0)</f>
        <v>0</v>
      </c>
      <c r="AK104" s="13" t="e">
        <f t="shared" si="89"/>
        <v>#NUM!</v>
      </c>
      <c r="AL104" s="20" t="e">
        <f t="shared" si="58"/>
        <v>#NUM!</v>
      </c>
      <c r="AM104" s="59" t="e">
        <f t="shared" si="59"/>
        <v>#NUM!</v>
      </c>
      <c r="AN104" s="59">
        <f ca="1">AVERAGE(OFFSET($AM$3,0,0,'Données projet'!$E$10+1,1))-AVERAGE(OFFSET($H$3,0,0,'Données projet'!$E$10+1,1))</f>
        <v>179.44051550872138</v>
      </c>
      <c r="AO104" s="59">
        <f t="shared" si="90"/>
        <v>272.9500808380069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36.987711692482335</v>
      </c>
      <c r="AV104" s="21">
        <f>EXP(-LN(2)/25)*AV103+(1-EXP(-LN(2)/25))/(LN(2)/25)*Calculateur!AQ104*Calculateur!AS104*VLOOKUP('Données projet'!$B$10,Paramètres!$A$1:$I$89,3,0)*0.475*44/12</f>
        <v>46.400281254776154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83.387992947258482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-1.1368683772161603E-13</v>
      </c>
      <c r="BE104" s="13">
        <f>BD104*VLOOKUP('Données projet'!$B$11,Paramètres!$A$1:$I$89,3,0)*VLOOKUP('Données projet'!$B$11,Paramètres!$A$1:$I$89,5,0)</f>
        <v>-6.3550942286383367E-14</v>
      </c>
      <c r="BF104" s="13" t="e">
        <f t="shared" si="91"/>
        <v>#NUM!</v>
      </c>
      <c r="BG104" s="20" t="e">
        <f t="shared" si="61"/>
        <v>#NUM!</v>
      </c>
      <c r="BH104" s="59" t="e">
        <f t="shared" si="62"/>
        <v>#NUM!</v>
      </c>
      <c r="BI104" s="59">
        <f ca="1">AVERAGE(OFFSET($BH$3,0,0,'Données projet'!$E$11+1,1))-AVERAGE(OFFSET($H$3,0,0,'Données projet'!$E$11+1,1))</f>
        <v>278.5296012747549</v>
      </c>
      <c r="BJ104" s="59">
        <f t="shared" si="92"/>
        <v>370.55343097937077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91.144374825507398</v>
      </c>
      <c r="BQ104" s="21">
        <f>EXP(-LN(2)/25)*BQ103+(1-EXP(-LN(2)/25))/(LN(2)/25)*Calculateur!BL104*Calculateur!BN104*VLOOKUP('Données projet'!$B$11,Paramètres!$A$1:$I$89,3,0)*0.475*44/12</f>
        <v>16.091080087988935</v>
      </c>
      <c r="BR104" s="21">
        <f>EXP(-LN(2)/2)*BR103+(1-EXP(-LN(2)/2))/(LN(2)/2)*BL104*BO104*VLOOKUP('Données projet'!$B$11,Paramètres!$A$1:$I$89,3,0)*0.475*44/12</f>
        <v>4.0723447804585067E-6</v>
      </c>
      <c r="BS104" s="22">
        <f t="shared" si="63"/>
        <v>107.23545898584112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266.99999999999983</v>
      </c>
      <c r="BZ104" s="13">
        <f>BY104*VLOOKUP('Données projet'!$B$12,Paramètres!$A$1:$I$89,3,0)*VLOOKUP('Données projet'!$B$12,Paramètres!$A$1:$I$89,5,0)</f>
        <v>212.42519999999985</v>
      </c>
      <c r="CA104" s="13">
        <f t="shared" si="93"/>
        <v>52.465198231787184</v>
      </c>
      <c r="CB104" s="20">
        <f t="shared" si="64"/>
        <v>461.35077692036231</v>
      </c>
      <c r="CC104" s="59">
        <f t="shared" si="65"/>
        <v>754.68411025369562</v>
      </c>
      <c r="CD104" s="59">
        <f ca="1">AVERAGE(OFFSET($CC$3,0,0,'Données projet'!$E$12+1,1))-AVERAGE(OFFSET($H$3,0,0,'Données projet'!$E$12+1,1))</f>
        <v>225.2323446080772</v>
      </c>
      <c r="CE104" s="59">
        <f t="shared" si="94"/>
        <v>222.29030402759292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18.995188628838022</v>
      </c>
      <c r="CL104" s="21">
        <f>EXP(-LN(2)/25)*CL103+(1-EXP(-LN(2)/25))/(LN(2)/25)*Calculateur!CG104*Calculateur!CI104*VLOOKUP('Données projet'!$B$12,Paramètres!$A$1:$I$89,3,0)*0.475*44/12</f>
        <v>4.6528977150426316</v>
      </c>
      <c r="CM104" s="21">
        <f>EXP(-LN(2)/2)*CM103+(1-EXP(-LN(2)/2))/(LN(2)/2)*CG104*CJ104*VLOOKUP('Données projet'!$B$12,Paramètres!$A$1:$I$89,3,0)*0.475*44/12</f>
        <v>0</v>
      </c>
      <c r="CN104" s="22">
        <f t="shared" si="66"/>
        <v>23.648086343880653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5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49.062000000000111</v>
      </c>
      <c r="D105" s="11">
        <f t="shared" si="86"/>
        <v>14.371250719841637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489.66018099526968</v>
      </c>
      <c r="H105" s="67">
        <f t="shared" si="56"/>
        <v>403.81291167039103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4.5474735088646412E-13</v>
      </c>
      <c r="O105" s="13">
        <f>N105*VLOOKUP('Données projet'!$B$9,Paramètres!$A$1:$I$89,3,0)*VLOOKUP('Données projet'!$B$9,Paramètres!$A$1:$I$89,5,0)</f>
        <v>2.1873347577638923E-13</v>
      </c>
      <c r="P105" s="13">
        <f t="shared" si="87"/>
        <v>2.999861355695181E-12</v>
      </c>
      <c r="Q105" s="20">
        <f t="shared" si="107"/>
        <v>5.6057193314796512E-12</v>
      </c>
      <c r="R105" s="59">
        <f t="shared" si="55"/>
        <v>293.33333333333894</v>
      </c>
      <c r="S105" s="59">
        <f ca="1">AVERAGE(OFFSET($R$3,0,0,'Données projet'!$E$9+1,1))-AVERAGE(OFFSET($H$3,0,0,'Données projet'!$E$9+1,1))</f>
        <v>234.10156575337737</v>
      </c>
      <c r="T105" s="59">
        <f t="shared" si="88"/>
        <v>285.68635263076646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109.49752777375468</v>
      </c>
      <c r="AA105" s="21">
        <f>EXP(-LN(2)/25)*AA104+(1-EXP(-LN(2)/25))/(LN(2)/25)*Calculateur!V105*Calculateur!X105*VLOOKUP('Données projet'!$B$9,Paramètres!$A$1:$I$89,3,0)*0.475*44/12</f>
        <v>50.656728145852021</v>
      </c>
      <c r="AB105" s="21">
        <f>EXP(-LN(2)/2)*AB104+(1-EXP(-LN(2)/2))/(LN(2)/2)*V105*Y105*VLOOKUP('Données projet'!$B$9,Paramètres!$A$1:$I$89,3,0)*0.475*44/12</f>
        <v>6.3165513902317531E-10</v>
      </c>
      <c r="AC105" s="22">
        <f t="shared" si="57"/>
        <v>160.15425592023834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0</v>
      </c>
      <c r="AJ105" s="13">
        <f>AI105*VLOOKUP('Données projet'!$B$10,Paramètres!$A$1:$I$89,3,0)*VLOOKUP('Données projet'!$B$10,Paramètres!$A$1:$I$89,5,0)</f>
        <v>0</v>
      </c>
      <c r="AK105" s="13" t="e">
        <f t="shared" si="89"/>
        <v>#NUM!</v>
      </c>
      <c r="AL105" s="20" t="e">
        <f t="shared" si="58"/>
        <v>#NUM!</v>
      </c>
      <c r="AM105" s="59" t="e">
        <f t="shared" si="59"/>
        <v>#NUM!</v>
      </c>
      <c r="AN105" s="59">
        <f ca="1">AVERAGE(OFFSET($AM$3,0,0,'Données projet'!$E$10+1,1))-AVERAGE(OFFSET($H$3,0,0,'Données projet'!$E$10+1,1))</f>
        <v>179.44051550872138</v>
      </c>
      <c r="AO105" s="59">
        <f t="shared" si="90"/>
        <v>272.9500808380069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36.262405226469248</v>
      </c>
      <c r="AV105" s="21">
        <f>EXP(-LN(2)/25)*AV104+(1-EXP(-LN(2)/25))/(LN(2)/25)*Calculateur!AQ105*Calculateur!AS105*VLOOKUP('Données projet'!$B$10,Paramètres!$A$1:$I$89,3,0)*0.475*44/12</f>
        <v>45.131463123779561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81.393868350248809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-1.1368683772161603E-13</v>
      </c>
      <c r="BE105" s="13">
        <f>BD105*VLOOKUP('Données projet'!$B$11,Paramètres!$A$1:$I$89,3,0)*VLOOKUP('Données projet'!$B$11,Paramètres!$A$1:$I$89,5,0)</f>
        <v>-6.3550942286383367E-14</v>
      </c>
      <c r="BF105" s="13" t="e">
        <f t="shared" si="91"/>
        <v>#NUM!</v>
      </c>
      <c r="BG105" s="20" t="e">
        <f t="shared" si="61"/>
        <v>#NUM!</v>
      </c>
      <c r="BH105" s="59" t="e">
        <f t="shared" si="62"/>
        <v>#NUM!</v>
      </c>
      <c r="BI105" s="59">
        <f ca="1">AVERAGE(OFFSET($BH$3,0,0,'Données projet'!$E$11+1,1))-AVERAGE(OFFSET($H$3,0,0,'Données projet'!$E$11+1,1))</f>
        <v>278.5296012747549</v>
      </c>
      <c r="BJ105" s="59">
        <f t="shared" si="92"/>
        <v>370.55343097937077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89.357089227758536</v>
      </c>
      <c r="BQ105" s="21">
        <f>EXP(-LN(2)/25)*BQ104+(1-EXP(-LN(2)/25))/(LN(2)/25)*Calculateur!BL105*Calculateur!BN105*VLOOKUP('Données projet'!$B$11,Paramètres!$A$1:$I$89,3,0)*0.475*44/12</f>
        <v>15.651068656789752</v>
      </c>
      <c r="BR105" s="21">
        <f>EXP(-LN(2)/2)*BR104+(1-EXP(-LN(2)/2))/(LN(2)/2)*BL105*BO105*VLOOKUP('Données projet'!$B$11,Paramètres!$A$1:$I$89,3,0)*0.475*44/12</f>
        <v>2.8795826095918523E-6</v>
      </c>
      <c r="BS105" s="22">
        <f t="shared" si="63"/>
        <v>105.00816076413089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266.99999999999983</v>
      </c>
      <c r="BZ105" s="13">
        <f>BY105*VLOOKUP('Données projet'!$B$12,Paramètres!$A$1:$I$89,3,0)*VLOOKUP('Données projet'!$B$12,Paramètres!$A$1:$I$89,5,0)</f>
        <v>212.42519999999985</v>
      </c>
      <c r="CA105" s="13">
        <f t="shared" si="93"/>
        <v>52.465198231787184</v>
      </c>
      <c r="CB105" s="20">
        <f t="shared" si="64"/>
        <v>461.35077692036231</v>
      </c>
      <c r="CC105" s="59">
        <f t="shared" si="65"/>
        <v>754.68411025369562</v>
      </c>
      <c r="CD105" s="59">
        <f ca="1">AVERAGE(OFFSET($CC$3,0,0,'Données projet'!$E$12+1,1))-AVERAGE(OFFSET($H$3,0,0,'Données projet'!$E$12+1,1))</f>
        <v>225.2323446080772</v>
      </c>
      <c r="CE105" s="59">
        <f t="shared" si="94"/>
        <v>222.29030402759292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18.622704565747558</v>
      </c>
      <c r="CL105" s="21">
        <f>EXP(-LN(2)/25)*CL104+(1-EXP(-LN(2)/25))/(LN(2)/25)*Calculateur!CG105*Calculateur!CI105*VLOOKUP('Données projet'!$B$12,Paramètres!$A$1:$I$89,3,0)*0.475*44/12</f>
        <v>4.5256639823395339</v>
      </c>
      <c r="CM105" s="21">
        <f>EXP(-LN(2)/2)*CM104+(1-EXP(-LN(2)/2))/(LN(2)/2)*CG105*CJ105*VLOOKUP('Données projet'!$B$12,Paramètres!$A$1:$I$89,3,0)*0.475*44/12</f>
        <v>0</v>
      </c>
      <c r="CN105" s="22">
        <f t="shared" si="66"/>
        <v>23.148368548087092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5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49.543000000000113</v>
      </c>
      <c r="D106" s="11">
        <f t="shared" si="86"/>
        <v>14.495674424306822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494.33362713500088</v>
      </c>
      <c r="H106" s="67">
        <f t="shared" si="56"/>
        <v>404.8673579556679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4.5474735088646412E-13</v>
      </c>
      <c r="O106" s="13">
        <f>N106*VLOOKUP('Données projet'!$B$9,Paramètres!$A$1:$I$89,3,0)*VLOOKUP('Données projet'!$B$9,Paramètres!$A$1:$I$89,5,0)</f>
        <v>2.1873347577638923E-13</v>
      </c>
      <c r="P106" s="13">
        <f t="shared" si="87"/>
        <v>2.999861355695181E-12</v>
      </c>
      <c r="Q106" s="20">
        <f t="shared" si="107"/>
        <v>5.6057193314796512E-12</v>
      </c>
      <c r="R106" s="59">
        <f t="shared" si="55"/>
        <v>293.33333333333894</v>
      </c>
      <c r="S106" s="59">
        <f ca="1">AVERAGE(OFFSET($R$3,0,0,'Données projet'!$E$9+1,1))-AVERAGE(OFFSET($H$3,0,0,'Données projet'!$E$9+1,1))</f>
        <v>234.10156575337737</v>
      </c>
      <c r="T106" s="59">
        <f t="shared" si="88"/>
        <v>285.68635263076646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107.35034804100864</v>
      </c>
      <c r="AA106" s="21">
        <f>EXP(-LN(2)/25)*AA105+(1-EXP(-LN(2)/25))/(LN(2)/25)*Calculateur!V106*Calculateur!X106*VLOOKUP('Données projet'!$B$9,Paramètres!$A$1:$I$89,3,0)*0.475*44/12</f>
        <v>49.271517250782139</v>
      </c>
      <c r="AB106" s="21">
        <f>EXP(-LN(2)/2)*AB105+(1-EXP(-LN(2)/2))/(LN(2)/2)*V106*Y106*VLOOKUP('Données projet'!$B$9,Paramètres!$A$1:$I$89,3,0)*0.475*44/12</f>
        <v>4.4664763217461869E-10</v>
      </c>
      <c r="AC106" s="22">
        <f t="shared" si="57"/>
        <v>156.62186529223743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0</v>
      </c>
      <c r="AJ106" s="13">
        <f>AI106*VLOOKUP('Données projet'!$B$10,Paramètres!$A$1:$I$89,3,0)*VLOOKUP('Données projet'!$B$10,Paramètres!$A$1:$I$89,5,0)</f>
        <v>0</v>
      </c>
      <c r="AK106" s="13" t="e">
        <f t="shared" si="89"/>
        <v>#NUM!</v>
      </c>
      <c r="AL106" s="20" t="e">
        <f t="shared" si="58"/>
        <v>#NUM!</v>
      </c>
      <c r="AM106" s="59" t="e">
        <f t="shared" si="59"/>
        <v>#NUM!</v>
      </c>
      <c r="AN106" s="59">
        <f ca="1">AVERAGE(OFFSET($AM$3,0,0,'Données projet'!$E$10+1,1))-AVERAGE(OFFSET($H$3,0,0,'Données projet'!$E$10+1,1))</f>
        <v>179.44051550872138</v>
      </c>
      <c r="AO106" s="59">
        <f t="shared" si="90"/>
        <v>272.9500808380069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35.551321577861415</v>
      </c>
      <c r="AV106" s="21">
        <f>EXP(-LN(2)/25)*AV105+(1-EXP(-LN(2)/25))/(LN(2)/25)*Calculateur!AQ106*Calculateur!AS106*VLOOKUP('Données projet'!$B$10,Paramètres!$A$1:$I$89,3,0)*0.475*44/12</f>
        <v>43.897340891299315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79.448662469160723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-1.1368683772161603E-13</v>
      </c>
      <c r="BE106" s="13">
        <f>BD106*VLOOKUP('Données projet'!$B$11,Paramètres!$A$1:$I$89,3,0)*VLOOKUP('Données projet'!$B$11,Paramètres!$A$1:$I$89,5,0)</f>
        <v>-6.3550942286383367E-14</v>
      </c>
      <c r="BF106" s="13" t="e">
        <f t="shared" si="91"/>
        <v>#NUM!</v>
      </c>
      <c r="BG106" s="20" t="e">
        <f t="shared" si="61"/>
        <v>#NUM!</v>
      </c>
      <c r="BH106" s="59" t="e">
        <f t="shared" si="62"/>
        <v>#NUM!</v>
      </c>
      <c r="BI106" s="59">
        <f ca="1">AVERAGE(OFFSET($BH$3,0,0,'Données projet'!$E$11+1,1))-AVERAGE(OFFSET($H$3,0,0,'Données projet'!$E$11+1,1))</f>
        <v>278.5296012747549</v>
      </c>
      <c r="BJ106" s="59">
        <f t="shared" si="92"/>
        <v>370.55343097937077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87.604851210444949</v>
      </c>
      <c r="BQ106" s="21">
        <f>EXP(-LN(2)/25)*BQ105+(1-EXP(-LN(2)/25))/(LN(2)/25)*Calculateur!BL106*Calculateur!BN106*VLOOKUP('Données projet'!$B$11,Paramètres!$A$1:$I$89,3,0)*0.475*44/12</f>
        <v>15.223089361315907</v>
      </c>
      <c r="BR106" s="21">
        <f>EXP(-LN(2)/2)*BR105+(1-EXP(-LN(2)/2))/(LN(2)/2)*BL106*BO106*VLOOKUP('Données projet'!$B$11,Paramètres!$A$1:$I$89,3,0)*0.475*44/12</f>
        <v>2.0361723902292534E-6</v>
      </c>
      <c r="BS106" s="22">
        <f t="shared" si="63"/>
        <v>102.82794260793324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266.99999999999983</v>
      </c>
      <c r="BZ106" s="13">
        <f>BY106*VLOOKUP('Données projet'!$B$12,Paramètres!$A$1:$I$89,3,0)*VLOOKUP('Données projet'!$B$12,Paramètres!$A$1:$I$89,5,0)</f>
        <v>212.42519999999985</v>
      </c>
      <c r="CA106" s="13">
        <f t="shared" si="93"/>
        <v>52.465198231787184</v>
      </c>
      <c r="CB106" s="20">
        <f t="shared" si="64"/>
        <v>461.35077692036231</v>
      </c>
      <c r="CC106" s="59">
        <f t="shared" si="65"/>
        <v>754.68411025369562</v>
      </c>
      <c r="CD106" s="59">
        <f ca="1">AVERAGE(OFFSET($CC$3,0,0,'Données projet'!$E$12+1,1))-AVERAGE(OFFSET($H$3,0,0,'Données projet'!$E$12+1,1))</f>
        <v>225.2323446080772</v>
      </c>
      <c r="CE106" s="59">
        <f t="shared" si="94"/>
        <v>222.29030402759292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18.257524687941451</v>
      </c>
      <c r="CL106" s="21">
        <f>EXP(-LN(2)/25)*CL105+(1-EXP(-LN(2)/25))/(LN(2)/25)*Calculateur!CG106*Calculateur!CI106*VLOOKUP('Données projet'!$B$12,Paramètres!$A$1:$I$89,3,0)*0.475*44/12</f>
        <v>4.4019094627481339</v>
      </c>
      <c r="CM106" s="21">
        <f>EXP(-LN(2)/2)*CM105+(1-EXP(-LN(2)/2))/(LN(2)/2)*CG106*CJ106*VLOOKUP('Données projet'!$B$12,Paramètres!$A$1:$I$89,3,0)*0.475*44/12</f>
        <v>0</v>
      </c>
      <c r="CN106" s="22">
        <f t="shared" si="66"/>
        <v>22.659434150689584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5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50.024000000000115</v>
      </c>
      <c r="D107" s="11">
        <f t="shared" si="86"/>
        <v>14.619957594993028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499.00598845257861</v>
      </c>
      <c r="H107" s="67">
        <f t="shared" si="56"/>
        <v>405.92155947794635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4.5474735088646412E-13</v>
      </c>
      <c r="O107" s="13">
        <f>N107*VLOOKUP('Données projet'!$B$9,Paramètres!$A$1:$I$89,3,0)*VLOOKUP('Données projet'!$B$9,Paramètres!$A$1:$I$89,5,0)</f>
        <v>2.1873347577638923E-13</v>
      </c>
      <c r="P107" s="13">
        <f t="shared" si="87"/>
        <v>2.999861355695181E-12</v>
      </c>
      <c r="Q107" s="20">
        <f t="shared" si="107"/>
        <v>5.6057193314796512E-12</v>
      </c>
      <c r="R107" s="59">
        <f t="shared" si="55"/>
        <v>293.33333333333894</v>
      </c>
      <c r="S107" s="59">
        <f ca="1">AVERAGE(OFFSET($R$3,0,0,'Données projet'!$E$9+1,1))-AVERAGE(OFFSET($H$3,0,0,'Données projet'!$E$9+1,1))</f>
        <v>234.10156575337737</v>
      </c>
      <c r="T107" s="59">
        <f t="shared" si="88"/>
        <v>285.68635263076646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105.24527319317143</v>
      </c>
      <c r="AA107" s="21">
        <f>EXP(-LN(2)/25)*AA106+(1-EXP(-LN(2)/25))/(LN(2)/25)*Calculateur!V107*Calculateur!X107*VLOOKUP('Données projet'!$B$9,Paramètres!$A$1:$I$89,3,0)*0.475*44/12</f>
        <v>47.924185020483023</v>
      </c>
      <c r="AB107" s="21">
        <f>EXP(-LN(2)/2)*AB106+(1-EXP(-LN(2)/2))/(LN(2)/2)*V107*Y107*VLOOKUP('Données projet'!$B$9,Paramètres!$A$1:$I$89,3,0)*0.475*44/12</f>
        <v>3.1582756951158766E-10</v>
      </c>
      <c r="AC107" s="22">
        <f t="shared" si="57"/>
        <v>153.16945821397027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0</v>
      </c>
      <c r="AJ107" s="13">
        <f>AI107*VLOOKUP('Données projet'!$B$10,Paramètres!$A$1:$I$89,3,0)*VLOOKUP('Données projet'!$B$10,Paramètres!$A$1:$I$89,5,0)</f>
        <v>0</v>
      </c>
      <c r="AK107" s="13" t="e">
        <f t="shared" si="89"/>
        <v>#NUM!</v>
      </c>
      <c r="AL107" s="20" t="e">
        <f t="shared" si="58"/>
        <v>#NUM!</v>
      </c>
      <c r="AM107" s="59" t="e">
        <f t="shared" si="59"/>
        <v>#NUM!</v>
      </c>
      <c r="AN107" s="59">
        <f ca="1">AVERAGE(OFFSET($AM$3,0,0,'Données projet'!$E$10+1,1))-AVERAGE(OFFSET($H$3,0,0,'Données projet'!$E$10+1,1))</f>
        <v>179.44051550872138</v>
      </c>
      <c r="AO107" s="59">
        <f t="shared" si="90"/>
        <v>272.9500808380069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34.854181845884582</v>
      </c>
      <c r="AV107" s="21">
        <f>EXP(-LN(2)/25)*AV106+(1-EXP(-LN(2)/25))/(LN(2)/25)*Calculateur!AQ107*Calculateur!AS107*VLOOKUP('Données projet'!$B$10,Paramètres!$A$1:$I$89,3,0)*0.475*44/12</f>
        <v>42.696965796165905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77.551147642050495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-1.1368683772161603E-13</v>
      </c>
      <c r="BE107" s="13">
        <f>BD107*VLOOKUP('Données projet'!$B$11,Paramètres!$A$1:$I$89,3,0)*VLOOKUP('Données projet'!$B$11,Paramètres!$A$1:$I$89,5,0)</f>
        <v>-6.3550942286383367E-14</v>
      </c>
      <c r="BF107" s="13" t="e">
        <f t="shared" si="91"/>
        <v>#NUM!</v>
      </c>
      <c r="BG107" s="20" t="e">
        <f t="shared" si="61"/>
        <v>#NUM!</v>
      </c>
      <c r="BH107" s="59" t="e">
        <f t="shared" si="62"/>
        <v>#NUM!</v>
      </c>
      <c r="BI107" s="59">
        <f ca="1">AVERAGE(OFFSET($BH$3,0,0,'Données projet'!$E$11+1,1))-AVERAGE(OFFSET($H$3,0,0,'Données projet'!$E$11+1,1))</f>
        <v>278.5296012747549</v>
      </c>
      <c r="BJ107" s="59">
        <f t="shared" si="92"/>
        <v>370.55343097937077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85.886973511891227</v>
      </c>
      <c r="BQ107" s="21">
        <f>EXP(-LN(2)/25)*BQ106+(1-EXP(-LN(2)/25))/(LN(2)/25)*Calculateur!BL107*Calculateur!BN107*VLOOKUP('Données projet'!$B$11,Paramètres!$A$1:$I$89,3,0)*0.475*44/12</f>
        <v>14.806813182183246</v>
      </c>
      <c r="BR107" s="21">
        <f>EXP(-LN(2)/2)*BR106+(1-EXP(-LN(2)/2))/(LN(2)/2)*BL107*BO107*VLOOKUP('Données projet'!$B$11,Paramètres!$A$1:$I$89,3,0)*0.475*44/12</f>
        <v>1.4397913047959261E-6</v>
      </c>
      <c r="BS107" s="22">
        <f t="shared" si="63"/>
        <v>100.69378813386578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266.99999999999983</v>
      </c>
      <c r="BZ107" s="13">
        <f>BY107*VLOOKUP('Données projet'!$B$12,Paramètres!$A$1:$I$89,3,0)*VLOOKUP('Données projet'!$B$12,Paramètres!$A$1:$I$89,5,0)</f>
        <v>212.42519999999985</v>
      </c>
      <c r="CA107" s="13">
        <f t="shared" si="93"/>
        <v>52.465198231787184</v>
      </c>
      <c r="CB107" s="20">
        <f t="shared" si="64"/>
        <v>461.35077692036231</v>
      </c>
      <c r="CC107" s="59">
        <f t="shared" si="65"/>
        <v>754.68411025369562</v>
      </c>
      <c r="CD107" s="59">
        <f ca="1">AVERAGE(OFFSET($CC$3,0,0,'Données projet'!$E$12+1,1))-AVERAGE(OFFSET($H$3,0,0,'Données projet'!$E$12+1,1))</f>
        <v>225.2323446080772</v>
      </c>
      <c r="CE107" s="59">
        <f t="shared" si="94"/>
        <v>222.29030402759292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17.89950576480139</v>
      </c>
      <c r="CL107" s="21">
        <f>EXP(-LN(2)/25)*CL106+(1-EXP(-LN(2)/25))/(LN(2)/25)*Calculateur!CG107*Calculateur!CI107*VLOOKUP('Données projet'!$B$12,Paramètres!$A$1:$I$89,3,0)*0.475*44/12</f>
        <v>4.2815390170029284</v>
      </c>
      <c r="CM107" s="21">
        <f>EXP(-LN(2)/2)*CM106+(1-EXP(-LN(2)/2))/(LN(2)/2)*CG107*CJ107*VLOOKUP('Données projet'!$B$12,Paramètres!$A$1:$I$89,3,0)*0.475*44/12</f>
        <v>0</v>
      </c>
      <c r="CN107" s="22">
        <f t="shared" si="66"/>
        <v>22.181044781804317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5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50.505000000000116</v>
      </c>
      <c r="D108" s="11">
        <f t="shared" si="86"/>
        <v>14.744101739679099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503.67727658699749</v>
      </c>
      <c r="H108" s="67">
        <f t="shared" si="56"/>
        <v>406.9755188632746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4.5474735088646412E-13</v>
      </c>
      <c r="O108" s="13">
        <f>N108*VLOOKUP('Données projet'!$B$9,Paramètres!$A$1:$I$89,3,0)*VLOOKUP('Données projet'!$B$9,Paramètres!$A$1:$I$89,5,0)</f>
        <v>2.1873347577638923E-13</v>
      </c>
      <c r="P108" s="13">
        <f t="shared" si="87"/>
        <v>2.999861355695181E-12</v>
      </c>
      <c r="Q108" s="20">
        <f t="shared" si="107"/>
        <v>5.6057193314796512E-12</v>
      </c>
      <c r="R108" s="59">
        <f t="shared" si="55"/>
        <v>293.33333333333894</v>
      </c>
      <c r="S108" s="59">
        <f ca="1">AVERAGE(OFFSET($R$3,0,0,'Données projet'!$E$9+1,1))-AVERAGE(OFFSET($H$3,0,0,'Données projet'!$E$9+1,1))</f>
        <v>234.10156575337737</v>
      </c>
      <c r="T108" s="59">
        <f t="shared" si="88"/>
        <v>285.68635263076646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103.18147757913142</v>
      </c>
      <c r="AA108" s="21">
        <f>EXP(-LN(2)/25)*AA107+(1-EXP(-LN(2)/25))/(LN(2)/25)*Calculateur!V108*Calculateur!X108*VLOOKUP('Données projet'!$B$9,Paramètres!$A$1:$I$89,3,0)*0.475*44/12</f>
        <v>46.613695660874555</v>
      </c>
      <c r="AB108" s="21">
        <f>EXP(-LN(2)/2)*AB107+(1-EXP(-LN(2)/2))/(LN(2)/2)*V108*Y108*VLOOKUP('Données projet'!$B$9,Paramètres!$A$1:$I$89,3,0)*0.475*44/12</f>
        <v>2.2332381608730934E-10</v>
      </c>
      <c r="AC108" s="22">
        <f t="shared" si="57"/>
        <v>149.7951732402293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0</v>
      </c>
      <c r="AJ108" s="13">
        <f>AI108*VLOOKUP('Données projet'!$B$10,Paramètres!$A$1:$I$89,3,0)*VLOOKUP('Données projet'!$B$10,Paramètres!$A$1:$I$89,5,0)</f>
        <v>0</v>
      </c>
      <c r="AK108" s="13" t="e">
        <f t="shared" si="89"/>
        <v>#NUM!</v>
      </c>
      <c r="AL108" s="20" t="e">
        <f t="shared" si="58"/>
        <v>#NUM!</v>
      </c>
      <c r="AM108" s="59" t="e">
        <f t="shared" si="59"/>
        <v>#NUM!</v>
      </c>
      <c r="AN108" s="59">
        <f ca="1">AVERAGE(OFFSET($AM$3,0,0,'Données projet'!$E$10+1,1))-AVERAGE(OFFSET($H$3,0,0,'Données projet'!$E$10+1,1))</f>
        <v>179.44051550872138</v>
      </c>
      <c r="AO108" s="59">
        <f t="shared" si="90"/>
        <v>272.9500808380069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34.170712598838563</v>
      </c>
      <c r="AV108" s="21">
        <f>EXP(-LN(2)/25)*AV107+(1-EXP(-LN(2)/25))/(LN(2)/25)*Calculateur!AQ108*Calculateur!AS108*VLOOKUP('Données projet'!$B$10,Paramètres!$A$1:$I$89,3,0)*0.475*44/12</f>
        <v>41.5294150211339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75.700127619972463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-1.1368683772161603E-13</v>
      </c>
      <c r="BE108" s="13">
        <f>BD108*VLOOKUP('Données projet'!$B$11,Paramètres!$A$1:$I$89,3,0)*VLOOKUP('Données projet'!$B$11,Paramètres!$A$1:$I$89,5,0)</f>
        <v>-6.3550942286383367E-14</v>
      </c>
      <c r="BF108" s="13" t="e">
        <f t="shared" si="91"/>
        <v>#NUM!</v>
      </c>
      <c r="BG108" s="20" t="e">
        <f t="shared" si="61"/>
        <v>#NUM!</v>
      </c>
      <c r="BH108" s="59" t="e">
        <f t="shared" si="62"/>
        <v>#NUM!</v>
      </c>
      <c r="BI108" s="59">
        <f ca="1">AVERAGE(OFFSET($BH$3,0,0,'Données projet'!$E$11+1,1))-AVERAGE(OFFSET($H$3,0,0,'Données projet'!$E$11+1,1))</f>
        <v>278.5296012747549</v>
      </c>
      <c r="BJ108" s="59">
        <f t="shared" si="92"/>
        <v>370.55343097937077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84.202782347204206</v>
      </c>
      <c r="BQ108" s="21">
        <f>EXP(-LN(2)/25)*BQ107+(1-EXP(-LN(2)/25))/(LN(2)/25)*Calculateur!BL108*Calculateur!BN108*VLOOKUP('Données projet'!$B$11,Paramètres!$A$1:$I$89,3,0)*0.475*44/12</f>
        <v>14.401920097059982</v>
      </c>
      <c r="BR108" s="21">
        <f>EXP(-LN(2)/2)*BR107+(1-EXP(-LN(2)/2))/(LN(2)/2)*BL108*BO108*VLOOKUP('Données projet'!$B$11,Paramètres!$A$1:$I$89,3,0)*0.475*44/12</f>
        <v>1.0180861951146267E-6</v>
      </c>
      <c r="BS108" s="22">
        <f t="shared" si="63"/>
        <v>98.604703462350386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266.99999999999983</v>
      </c>
      <c r="BZ108" s="13">
        <f>BY108*VLOOKUP('Données projet'!$B$12,Paramètres!$A$1:$I$89,3,0)*VLOOKUP('Données projet'!$B$12,Paramètres!$A$1:$I$89,5,0)</f>
        <v>212.42519999999985</v>
      </c>
      <c r="CA108" s="13">
        <f t="shared" si="93"/>
        <v>52.465198231787184</v>
      </c>
      <c r="CB108" s="20">
        <f t="shared" si="64"/>
        <v>461.35077692036231</v>
      </c>
      <c r="CC108" s="59">
        <f t="shared" si="65"/>
        <v>754.68411025369562</v>
      </c>
      <c r="CD108" s="59">
        <f ca="1">AVERAGE(OFFSET($CC$3,0,0,'Données projet'!$E$12+1,1))-AVERAGE(OFFSET($H$3,0,0,'Données projet'!$E$12+1,1))</f>
        <v>225.2323446080772</v>
      </c>
      <c r="CE108" s="59">
        <f t="shared" si="94"/>
        <v>222.29030402759292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17.548507374374125</v>
      </c>
      <c r="CL108" s="21">
        <f>EXP(-LN(2)/25)*CL107+(1-EXP(-LN(2)/25))/(LN(2)/25)*Calculateur!CG108*Calculateur!CI108*VLOOKUP('Données projet'!$B$12,Paramètres!$A$1:$I$89,3,0)*0.475*44/12</f>
        <v>4.1644601074266321</v>
      </c>
      <c r="CM108" s="21">
        <f>EXP(-LN(2)/2)*CM107+(1-EXP(-LN(2)/2))/(LN(2)/2)*CG108*CJ108*VLOOKUP('Données projet'!$B$12,Paramètres!$A$1:$I$89,3,0)*0.475*44/12</f>
        <v>0</v>
      </c>
      <c r="CN108" s="22">
        <f t="shared" si="66"/>
        <v>21.712967481800757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5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50.986000000000118</v>
      </c>
      <c r="D109" s="11">
        <f t="shared" si="86"/>
        <v>14.868108335768225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508.34750294277325</v>
      </c>
      <c r="H109" s="67">
        <f t="shared" si="56"/>
        <v>408.0292386847965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4.5474735088646412E-13</v>
      </c>
      <c r="O109" s="13">
        <f>N109*VLOOKUP('Données projet'!$B$9,Paramètres!$A$1:$I$89,3,0)*VLOOKUP('Données projet'!$B$9,Paramètres!$A$1:$I$89,5,0)</f>
        <v>2.1873347577638923E-13</v>
      </c>
      <c r="P109" s="13">
        <f t="shared" si="87"/>
        <v>2.999861355695181E-12</v>
      </c>
      <c r="Q109" s="20">
        <f t="shared" si="107"/>
        <v>5.6057193314796512E-12</v>
      </c>
      <c r="R109" s="59">
        <f t="shared" si="55"/>
        <v>293.33333333333894</v>
      </c>
      <c r="S109" s="59">
        <f ca="1">AVERAGE(OFFSET($R$3,0,0,'Données projet'!$E$9+1,1))-AVERAGE(OFFSET($H$3,0,0,'Données projet'!$E$9+1,1))</f>
        <v>234.10156575337737</v>
      </c>
      <c r="T109" s="59">
        <f t="shared" si="88"/>
        <v>285.68635263076646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101.15815173829172</v>
      </c>
      <c r="AA109" s="21">
        <f>EXP(-LN(2)/25)*AA108+(1-EXP(-LN(2)/25))/(LN(2)/25)*Calculateur!V109*Calculateur!X109*VLOOKUP('Données projet'!$B$9,Paramètres!$A$1:$I$89,3,0)*0.475*44/12</f>
        <v>45.33904170172022</v>
      </c>
      <c r="AB109" s="21">
        <f>EXP(-LN(2)/2)*AB108+(1-EXP(-LN(2)/2))/(LN(2)/2)*V109*Y109*VLOOKUP('Données projet'!$B$9,Paramètres!$A$1:$I$89,3,0)*0.475*44/12</f>
        <v>1.5791378475579383E-10</v>
      </c>
      <c r="AC109" s="22">
        <f t="shared" si="57"/>
        <v>146.49719344016984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0</v>
      </c>
      <c r="AJ109" s="13">
        <f>AI109*VLOOKUP('Données projet'!$B$10,Paramètres!$A$1:$I$89,3,0)*VLOOKUP('Données projet'!$B$10,Paramètres!$A$1:$I$89,5,0)</f>
        <v>0</v>
      </c>
      <c r="AK109" s="13" t="e">
        <f t="shared" si="89"/>
        <v>#NUM!</v>
      </c>
      <c r="AL109" s="20" t="e">
        <f t="shared" si="58"/>
        <v>#NUM!</v>
      </c>
      <c r="AM109" s="59" t="e">
        <f t="shared" si="59"/>
        <v>#NUM!</v>
      </c>
      <c r="AN109" s="59">
        <f ca="1">AVERAGE(OFFSET($AM$3,0,0,'Données projet'!$E$10+1,1))-AVERAGE(OFFSET($H$3,0,0,'Données projet'!$E$10+1,1))</f>
        <v>179.44051550872138</v>
      </c>
      <c r="AO109" s="59">
        <f t="shared" si="90"/>
        <v>272.9500808380069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33.500645766852038</v>
      </c>
      <c r="AV109" s="21">
        <f>EXP(-LN(2)/25)*AV108+(1-EXP(-LN(2)/25))/(LN(2)/25)*Calculateur!AQ109*Calculateur!AS109*VLOOKUP('Données projet'!$B$10,Paramètres!$A$1:$I$89,3,0)*0.475*44/12</f>
        <v>40.393790983443978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73.894436750296023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-1.1368683772161603E-13</v>
      </c>
      <c r="BE109" s="13">
        <f>BD109*VLOOKUP('Données projet'!$B$11,Paramètres!$A$1:$I$89,3,0)*VLOOKUP('Données projet'!$B$11,Paramètres!$A$1:$I$89,5,0)</f>
        <v>-6.3550942286383367E-14</v>
      </c>
      <c r="BF109" s="13" t="e">
        <f t="shared" si="91"/>
        <v>#NUM!</v>
      </c>
      <c r="BG109" s="20" t="e">
        <f t="shared" si="61"/>
        <v>#NUM!</v>
      </c>
      <c r="BH109" s="59" t="e">
        <f t="shared" si="62"/>
        <v>#NUM!</v>
      </c>
      <c r="BI109" s="59">
        <f ca="1">AVERAGE(OFFSET($BH$3,0,0,'Données projet'!$E$11+1,1))-AVERAGE(OFFSET($H$3,0,0,'Données projet'!$E$11+1,1))</f>
        <v>278.5296012747549</v>
      </c>
      <c r="BJ109" s="59">
        <f t="shared" si="92"/>
        <v>370.55343097937077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82.551617144001526</v>
      </c>
      <c r="BQ109" s="21">
        <f>EXP(-LN(2)/25)*BQ108+(1-EXP(-LN(2)/25))/(LN(2)/25)*Calculateur!BL109*Calculateur!BN109*VLOOKUP('Données projet'!$B$11,Paramètres!$A$1:$I$89,3,0)*0.475*44/12</f>
        <v>14.008098834641816</v>
      </c>
      <c r="BR109" s="21">
        <f>EXP(-LN(2)/2)*BR108+(1-EXP(-LN(2)/2))/(LN(2)/2)*BL109*BO109*VLOOKUP('Données projet'!$B$11,Paramètres!$A$1:$I$89,3,0)*0.475*44/12</f>
        <v>7.1989565239796306E-7</v>
      </c>
      <c r="BS109" s="22">
        <f t="shared" si="63"/>
        <v>96.559716698538992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266.99999999999983</v>
      </c>
      <c r="BZ109" s="13">
        <f>BY109*VLOOKUP('Données projet'!$B$12,Paramètres!$A$1:$I$89,3,0)*VLOOKUP('Données projet'!$B$12,Paramètres!$A$1:$I$89,5,0)</f>
        <v>212.42519999999985</v>
      </c>
      <c r="CA109" s="13">
        <f t="shared" si="93"/>
        <v>52.465198231787184</v>
      </c>
      <c r="CB109" s="20">
        <f t="shared" si="64"/>
        <v>461.35077692036231</v>
      </c>
      <c r="CC109" s="59">
        <f t="shared" si="65"/>
        <v>754.68411025369562</v>
      </c>
      <c r="CD109" s="59">
        <f ca="1">AVERAGE(OFFSET($CC$3,0,0,'Données projet'!$E$12+1,1))-AVERAGE(OFFSET($H$3,0,0,'Données projet'!$E$12+1,1))</f>
        <v>225.2323446080772</v>
      </c>
      <c r="CE109" s="59">
        <f t="shared" si="94"/>
        <v>222.29030402759292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17.204391848295263</v>
      </c>
      <c r="CL109" s="21">
        <f>EXP(-LN(2)/25)*CL108+(1-EXP(-LN(2)/25))/(LN(2)/25)*Calculateur!CG109*Calculateur!CI109*VLOOKUP('Données projet'!$B$12,Paramètres!$A$1:$I$89,3,0)*0.475*44/12</f>
        <v>4.050582726789612</v>
      </c>
      <c r="CM109" s="21">
        <f>EXP(-LN(2)/2)*CM108+(1-EXP(-LN(2)/2))/(LN(2)/2)*CG109*CJ109*VLOOKUP('Données projet'!$B$12,Paramètres!$A$1:$I$89,3,0)*0.475*44/12</f>
        <v>0</v>
      </c>
      <c r="CN109" s="22">
        <f t="shared" si="66"/>
        <v>21.254974575084873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5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51.46700000000012</v>
      </c>
      <c r="D110" s="11">
        <f t="shared" si="86"/>
        <v>14.991978831180672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513.01667869683422</v>
      </c>
      <c r="H110" s="67">
        <f t="shared" si="56"/>
        <v>409.08272146430653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4.5474735088646412E-13</v>
      </c>
      <c r="O110" s="13">
        <f>N110*VLOOKUP('Données projet'!$B$9,Paramètres!$A$1:$I$89,3,0)*VLOOKUP('Données projet'!$B$9,Paramètres!$A$1:$I$89,5,0)</f>
        <v>2.1873347577638923E-13</v>
      </c>
      <c r="P110" s="13">
        <f t="shared" si="87"/>
        <v>2.999861355695181E-12</v>
      </c>
      <c r="Q110" s="20">
        <f t="shared" si="107"/>
        <v>5.6057193314796512E-12</v>
      </c>
      <c r="R110" s="59">
        <f t="shared" si="55"/>
        <v>293.33333333333894</v>
      </c>
      <c r="S110" s="59">
        <f ca="1">AVERAGE(OFFSET($R$3,0,0,'Données projet'!$E$9+1,1))-AVERAGE(OFFSET($H$3,0,0,'Données projet'!$E$9+1,1))</f>
        <v>234.10156575337737</v>
      </c>
      <c r="T110" s="59">
        <f t="shared" si="88"/>
        <v>285.68635263076646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99.174502083083979</v>
      </c>
      <c r="AA110" s="21">
        <f>EXP(-LN(2)/25)*AA109+(1-EXP(-LN(2)/25))/(LN(2)/25)*Calculateur!V110*Calculateur!X110*VLOOKUP('Données projet'!$B$9,Paramètres!$A$1:$I$89,3,0)*0.475*44/12</f>
        <v>44.099243222110104</v>
      </c>
      <c r="AB110" s="21">
        <f>EXP(-LN(2)/2)*AB109+(1-EXP(-LN(2)/2))/(LN(2)/2)*V110*Y110*VLOOKUP('Données projet'!$B$9,Paramètres!$A$1:$I$89,3,0)*0.475*44/12</f>
        <v>1.1166190804365467E-10</v>
      </c>
      <c r="AC110" s="22">
        <f t="shared" si="57"/>
        <v>143.27374530530577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0</v>
      </c>
      <c r="AJ110" s="13">
        <f>AI110*VLOOKUP('Données projet'!$B$10,Paramètres!$A$1:$I$89,3,0)*VLOOKUP('Données projet'!$B$10,Paramètres!$A$1:$I$89,5,0)</f>
        <v>0</v>
      </c>
      <c r="AK110" s="13" t="e">
        <f t="shared" si="89"/>
        <v>#NUM!</v>
      </c>
      <c r="AL110" s="20" t="e">
        <f t="shared" si="58"/>
        <v>#NUM!</v>
      </c>
      <c r="AM110" s="59" t="e">
        <f t="shared" si="59"/>
        <v>#NUM!</v>
      </c>
      <c r="AN110" s="59">
        <f ca="1">AVERAGE(OFFSET($AM$3,0,0,'Données projet'!$E$10+1,1))-AVERAGE(OFFSET($H$3,0,0,'Données projet'!$E$10+1,1))</f>
        <v>179.44051550872138</v>
      </c>
      <c r="AO110" s="59">
        <f t="shared" si="90"/>
        <v>272.9500808380069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32.843718536740361</v>
      </c>
      <c r="AV110" s="21">
        <f>EXP(-LN(2)/25)*AV109+(1-EXP(-LN(2)/25))/(LN(2)/25)*Calculateur!AQ110*Calculateur!AS110*VLOOKUP('Données projet'!$B$10,Paramètres!$A$1:$I$89,3,0)*0.475*44/12</f>
        <v>39.289220644784557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72.132939181524918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-1.1368683772161603E-13</v>
      </c>
      <c r="BE110" s="13">
        <f>BD110*VLOOKUP('Données projet'!$B$11,Paramètres!$A$1:$I$89,3,0)*VLOOKUP('Données projet'!$B$11,Paramètres!$A$1:$I$89,5,0)</f>
        <v>-6.3550942286383367E-14</v>
      </c>
      <c r="BF110" s="13" t="e">
        <f t="shared" si="91"/>
        <v>#NUM!</v>
      </c>
      <c r="BG110" s="20" t="e">
        <f t="shared" si="61"/>
        <v>#NUM!</v>
      </c>
      <c r="BH110" s="59" t="e">
        <f t="shared" si="62"/>
        <v>#NUM!</v>
      </c>
      <c r="BI110" s="59">
        <f ca="1">AVERAGE(OFFSET($BH$3,0,0,'Données projet'!$E$11+1,1))-AVERAGE(OFFSET($H$3,0,0,'Données projet'!$E$11+1,1))</f>
        <v>278.5296012747549</v>
      </c>
      <c r="BJ110" s="59">
        <f t="shared" si="92"/>
        <v>370.55343097937077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80.932830283322318</v>
      </c>
      <c r="BQ110" s="21">
        <f>EXP(-LN(2)/25)*BQ109+(1-EXP(-LN(2)/25))/(LN(2)/25)*Calculateur!BL110*Calculateur!BN110*VLOOKUP('Données projet'!$B$11,Paramètres!$A$1:$I$89,3,0)*0.475*44/12</f>
        <v>13.625046635354634</v>
      </c>
      <c r="BR110" s="21">
        <f>EXP(-LN(2)/2)*BR109+(1-EXP(-LN(2)/2))/(LN(2)/2)*BL110*BO110*VLOOKUP('Données projet'!$B$11,Paramètres!$A$1:$I$89,3,0)*0.475*44/12</f>
        <v>5.0904309755731334E-7</v>
      </c>
      <c r="BS110" s="22">
        <f t="shared" si="63"/>
        <v>94.557877427720058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266.99999999999983</v>
      </c>
      <c r="BZ110" s="13">
        <f>BY110*VLOOKUP('Données projet'!$B$12,Paramètres!$A$1:$I$89,3,0)*VLOOKUP('Données projet'!$B$12,Paramètres!$A$1:$I$89,5,0)</f>
        <v>212.42519999999985</v>
      </c>
      <c r="CA110" s="13">
        <f t="shared" si="93"/>
        <v>52.465198231787184</v>
      </c>
      <c r="CB110" s="20">
        <f t="shared" si="64"/>
        <v>461.35077692036231</v>
      </c>
      <c r="CC110" s="59">
        <f t="shared" si="65"/>
        <v>754.68411025369562</v>
      </c>
      <c r="CD110" s="59">
        <f ca="1">AVERAGE(OFFSET($CC$3,0,0,'Données projet'!$E$12+1,1))-AVERAGE(OFFSET($H$3,0,0,'Données projet'!$E$12+1,1))</f>
        <v>225.2323446080772</v>
      </c>
      <c r="CE110" s="59">
        <f t="shared" si="94"/>
        <v>222.29030402759292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16.867024217793059</v>
      </c>
      <c r="CL110" s="21">
        <f>EXP(-LN(2)/25)*CL109+(1-EXP(-LN(2)/25))/(LN(2)/25)*Calculateur!CG110*Calculateur!CI110*VLOOKUP('Données projet'!$B$12,Paramètres!$A$1:$I$89,3,0)*0.475*44/12</f>
        <v>3.9398193291146621</v>
      </c>
      <c r="CM110" s="21">
        <f>EXP(-LN(2)/2)*CM109+(1-EXP(-LN(2)/2))/(LN(2)/2)*CG110*CJ110*VLOOKUP('Données projet'!$B$12,Paramètres!$A$1:$I$89,3,0)*0.475*44/12</f>
        <v>0</v>
      </c>
      <c r="CN110" s="22">
        <f t="shared" si="66"/>
        <v>20.806843546907722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5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51.948000000000121</v>
      </c>
      <c r="D111" s="11">
        <f t="shared" si="86"/>
        <v>15.115714645211925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517.68481480514572</v>
      </c>
      <c r="H111" s="67">
        <f t="shared" si="56"/>
        <v>410.13596967374428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4.5474735088646412E-13</v>
      </c>
      <c r="O111" s="13">
        <f>N111*VLOOKUP('Données projet'!$B$9,Paramètres!$A$1:$I$89,3,0)*VLOOKUP('Données projet'!$B$9,Paramètres!$A$1:$I$89,5,0)</f>
        <v>2.1873347577638923E-13</v>
      </c>
      <c r="P111" s="13">
        <f t="shared" si="87"/>
        <v>2.999861355695181E-12</v>
      </c>
      <c r="Q111" s="20">
        <f t="shared" si="107"/>
        <v>5.6057193314796512E-12</v>
      </c>
      <c r="R111" s="59">
        <f t="shared" si="55"/>
        <v>293.33333333333894</v>
      </c>
      <c r="S111" s="59">
        <f ca="1">AVERAGE(OFFSET($R$3,0,0,'Données projet'!$E$9+1,1))-AVERAGE(OFFSET($H$3,0,0,'Données projet'!$E$9+1,1))</f>
        <v>234.10156575337737</v>
      </c>
      <c r="T111" s="59">
        <f t="shared" si="88"/>
        <v>285.68635263076646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97.22975058770804</v>
      </c>
      <c r="AA111" s="21">
        <f>EXP(-LN(2)/25)*AA110+(1-EXP(-LN(2)/25))/(LN(2)/25)*Calculateur!V111*Calculateur!X111*VLOOKUP('Données projet'!$B$9,Paramètres!$A$1:$I$89,3,0)*0.475*44/12</f>
        <v>42.89334709712309</v>
      </c>
      <c r="AB111" s="21">
        <f>EXP(-LN(2)/2)*AB110+(1-EXP(-LN(2)/2))/(LN(2)/2)*V111*Y111*VLOOKUP('Données projet'!$B$9,Paramètres!$A$1:$I$89,3,0)*0.475*44/12</f>
        <v>7.8956892377896914E-11</v>
      </c>
      <c r="AC111" s="22">
        <f t="shared" si="57"/>
        <v>140.12309768491008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0</v>
      </c>
      <c r="AJ111" s="13">
        <f>AI111*VLOOKUP('Données projet'!$B$10,Paramètres!$A$1:$I$89,3,0)*VLOOKUP('Données projet'!$B$10,Paramètres!$A$1:$I$89,5,0)</f>
        <v>0</v>
      </c>
      <c r="AK111" s="13" t="e">
        <f t="shared" si="89"/>
        <v>#NUM!</v>
      </c>
      <c r="AL111" s="20" t="e">
        <f t="shared" si="58"/>
        <v>#NUM!</v>
      </c>
      <c r="AM111" s="59" t="e">
        <f t="shared" si="59"/>
        <v>#NUM!</v>
      </c>
      <c r="AN111" s="59">
        <f ca="1">AVERAGE(OFFSET($AM$3,0,0,'Données projet'!$E$10+1,1))-AVERAGE(OFFSET($H$3,0,0,'Données projet'!$E$10+1,1))</f>
        <v>179.44051550872138</v>
      </c>
      <c r="AO111" s="59">
        <f t="shared" si="90"/>
        <v>272.9500808380069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32.19967324892513</v>
      </c>
      <c r="AV111" s="21">
        <f>EXP(-LN(2)/25)*AV110+(1-EXP(-LN(2)/25))/(LN(2)/25)*Calculateur!AQ111*Calculateur!AS111*VLOOKUP('Données projet'!$B$10,Paramètres!$A$1:$I$89,3,0)*0.475*44/12</f>
        <v>38.214854840122605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70.414528089047735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-1.1368683772161603E-13</v>
      </c>
      <c r="BE111" s="13">
        <f>BD111*VLOOKUP('Données projet'!$B$11,Paramètres!$A$1:$I$89,3,0)*VLOOKUP('Données projet'!$B$11,Paramètres!$A$1:$I$89,5,0)</f>
        <v>-6.3550942286383367E-14</v>
      </c>
      <c r="BF111" s="13" t="e">
        <f t="shared" si="91"/>
        <v>#NUM!</v>
      </c>
      <c r="BG111" s="20" t="e">
        <f t="shared" si="61"/>
        <v>#NUM!</v>
      </c>
      <c r="BH111" s="59" t="e">
        <f t="shared" si="62"/>
        <v>#NUM!</v>
      </c>
      <c r="BI111" s="59">
        <f ca="1">AVERAGE(OFFSET($BH$3,0,0,'Données projet'!$E$11+1,1))-AVERAGE(OFFSET($H$3,0,0,'Données projet'!$E$11+1,1))</f>
        <v>278.5296012747549</v>
      </c>
      <c r="BJ111" s="59">
        <f t="shared" si="92"/>
        <v>370.55343097937077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79.345786845618534</v>
      </c>
      <c r="BQ111" s="21">
        <f>EXP(-LN(2)/25)*BQ110+(1-EXP(-LN(2)/25))/(LN(2)/25)*Calculateur!BL111*Calculateur!BN111*VLOOKUP('Données projet'!$B$11,Paramètres!$A$1:$I$89,3,0)*0.475*44/12</f>
        <v>13.252469018600799</v>
      </c>
      <c r="BR111" s="21">
        <f>EXP(-LN(2)/2)*BR110+(1-EXP(-LN(2)/2))/(LN(2)/2)*BL111*BO111*VLOOKUP('Données projet'!$B$11,Paramètres!$A$1:$I$89,3,0)*0.475*44/12</f>
        <v>3.5994782619898153E-7</v>
      </c>
      <c r="BS111" s="22">
        <f t="shared" si="63"/>
        <v>92.598256224167159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266.99999999999983</v>
      </c>
      <c r="BZ111" s="13">
        <f>BY111*VLOOKUP('Données projet'!$B$12,Paramètres!$A$1:$I$89,3,0)*VLOOKUP('Données projet'!$B$12,Paramètres!$A$1:$I$89,5,0)</f>
        <v>212.42519999999985</v>
      </c>
      <c r="CA111" s="13">
        <f t="shared" si="93"/>
        <v>52.465198231787184</v>
      </c>
      <c r="CB111" s="20">
        <f t="shared" si="64"/>
        <v>461.35077692036231</v>
      </c>
      <c r="CC111" s="59">
        <f t="shared" si="65"/>
        <v>754.68411025369562</v>
      </c>
      <c r="CD111" s="59">
        <f ca="1">AVERAGE(OFFSET($CC$3,0,0,'Données projet'!$E$12+1,1))-AVERAGE(OFFSET($H$3,0,0,'Données projet'!$E$12+1,1))</f>
        <v>225.2323446080772</v>
      </c>
      <c r="CE111" s="59">
        <f t="shared" si="94"/>
        <v>222.29030402759292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16.536272160751068</v>
      </c>
      <c r="CL111" s="21">
        <f>EXP(-LN(2)/25)*CL110+(1-EXP(-LN(2)/25))/(LN(2)/25)*Calculateur!CG111*Calculateur!CI111*VLOOKUP('Données projet'!$B$12,Paramètres!$A$1:$I$89,3,0)*0.475*44/12</f>
        <v>3.8320847623739276</v>
      </c>
      <c r="CM111" s="21">
        <f>EXP(-LN(2)/2)*CM110+(1-EXP(-LN(2)/2))/(LN(2)/2)*CG111*CJ111*VLOOKUP('Données projet'!$B$12,Paramètres!$A$1:$I$89,3,0)*0.475*44/12</f>
        <v>0</v>
      </c>
      <c r="CN111" s="22">
        <f t="shared" si="66"/>
        <v>20.368356923124995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5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52.429000000000123</v>
      </c>
      <c r="D112" s="11">
        <f t="shared" si="86"/>
        <v>15.239317169358381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522.3519220090833</v>
      </c>
      <c r="H112" s="67">
        <f t="shared" si="56"/>
        <v>411.18898573663273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4.5474735088646412E-13</v>
      </c>
      <c r="O112" s="13">
        <f>N112*VLOOKUP('Données projet'!$B$9,Paramètres!$A$1:$I$89,3,0)*VLOOKUP('Données projet'!$B$9,Paramètres!$A$1:$I$89,5,0)</f>
        <v>2.1873347577638923E-13</v>
      </c>
      <c r="P112" s="13">
        <f t="shared" si="87"/>
        <v>2.999861355695181E-12</v>
      </c>
      <c r="Q112" s="20">
        <f t="shared" si="107"/>
        <v>5.6057193314796512E-12</v>
      </c>
      <c r="R112" s="59">
        <f t="shared" si="55"/>
        <v>293.33333333333894</v>
      </c>
      <c r="S112" s="59">
        <f ca="1">AVERAGE(OFFSET($R$3,0,0,'Données projet'!$E$9+1,1))-AVERAGE(OFFSET($H$3,0,0,'Données projet'!$E$9+1,1))</f>
        <v>234.10156575337737</v>
      </c>
      <c r="T112" s="59">
        <f t="shared" si="88"/>
        <v>285.68635263076646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95.323134482975135</v>
      </c>
      <c r="AA112" s="21">
        <f>EXP(-LN(2)/25)*AA111+(1-EXP(-LN(2)/25))/(LN(2)/25)*Calculateur!V112*Calculateur!X112*VLOOKUP('Données projet'!$B$9,Paramètres!$A$1:$I$89,3,0)*0.475*44/12</f>
        <v>41.720426265089166</v>
      </c>
      <c r="AB112" s="21">
        <f>EXP(-LN(2)/2)*AB111+(1-EXP(-LN(2)/2))/(LN(2)/2)*V112*Y112*VLOOKUP('Données projet'!$B$9,Paramètres!$A$1:$I$89,3,0)*0.475*44/12</f>
        <v>5.5830954021827336E-11</v>
      </c>
      <c r="AC112" s="22">
        <f t="shared" si="57"/>
        <v>137.04356074812011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0</v>
      </c>
      <c r="AJ112" s="13">
        <f>AI112*VLOOKUP('Données projet'!$B$10,Paramètres!$A$1:$I$89,3,0)*VLOOKUP('Données projet'!$B$10,Paramètres!$A$1:$I$89,5,0)</f>
        <v>0</v>
      </c>
      <c r="AK112" s="13" t="e">
        <f t="shared" si="89"/>
        <v>#NUM!</v>
      </c>
      <c r="AL112" s="20" t="e">
        <f t="shared" si="58"/>
        <v>#NUM!</v>
      </c>
      <c r="AM112" s="59" t="e">
        <f t="shared" si="59"/>
        <v>#NUM!</v>
      </c>
      <c r="AN112" s="59">
        <f ca="1">AVERAGE(OFFSET($AM$3,0,0,'Données projet'!$E$10+1,1))-AVERAGE(OFFSET($H$3,0,0,'Données projet'!$E$10+1,1))</f>
        <v>179.44051550872138</v>
      </c>
      <c r="AO112" s="59">
        <f t="shared" si="90"/>
        <v>272.9500808380069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31.568257296375116</v>
      </c>
      <c r="AV112" s="21">
        <f>EXP(-LN(2)/25)*AV111+(1-EXP(-LN(2)/25))/(LN(2)/25)*Calculateur!AQ112*Calculateur!AS112*VLOOKUP('Données projet'!$B$10,Paramètres!$A$1:$I$89,3,0)*0.475*44/12</f>
        <v>37.16986762488758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68.738124921262695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-1.1368683772161603E-13</v>
      </c>
      <c r="BE112" s="13">
        <f>BD112*VLOOKUP('Données projet'!$B$11,Paramètres!$A$1:$I$89,3,0)*VLOOKUP('Données projet'!$B$11,Paramètres!$A$1:$I$89,5,0)</f>
        <v>-6.3550942286383367E-14</v>
      </c>
      <c r="BF112" s="13" t="e">
        <f t="shared" si="91"/>
        <v>#NUM!</v>
      </c>
      <c r="BG112" s="20" t="e">
        <f t="shared" si="61"/>
        <v>#NUM!</v>
      </c>
      <c r="BH112" s="59" t="e">
        <f t="shared" si="62"/>
        <v>#NUM!</v>
      </c>
      <c r="BI112" s="59">
        <f ca="1">AVERAGE(OFFSET($BH$3,0,0,'Données projet'!$E$11+1,1))-AVERAGE(OFFSET($H$3,0,0,'Données projet'!$E$11+1,1))</f>
        <v>278.5296012747549</v>
      </c>
      <c r="BJ112" s="59">
        <f t="shared" si="92"/>
        <v>370.55343097937077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77.789864361727211</v>
      </c>
      <c r="BQ112" s="21">
        <f>EXP(-LN(2)/25)*BQ111+(1-EXP(-LN(2)/25))/(LN(2)/25)*Calculateur!BL112*Calculateur!BN112*VLOOKUP('Données projet'!$B$11,Paramètres!$A$1:$I$89,3,0)*0.475*44/12</f>
        <v>12.890079556370104</v>
      </c>
      <c r="BR112" s="21">
        <f>EXP(-LN(2)/2)*BR111+(1-EXP(-LN(2)/2))/(LN(2)/2)*BL112*BO112*VLOOKUP('Données projet'!$B$11,Paramètres!$A$1:$I$89,3,0)*0.475*44/12</f>
        <v>2.5452154877865667E-7</v>
      </c>
      <c r="BS112" s="22">
        <f t="shared" si="63"/>
        <v>90.67994417261886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266.99999999999983</v>
      </c>
      <c r="BZ112" s="13">
        <f>BY112*VLOOKUP('Données projet'!$B$12,Paramètres!$A$1:$I$89,3,0)*VLOOKUP('Données projet'!$B$12,Paramètres!$A$1:$I$89,5,0)</f>
        <v>212.42519999999985</v>
      </c>
      <c r="CA112" s="13">
        <f t="shared" si="93"/>
        <v>52.465198231787184</v>
      </c>
      <c r="CB112" s="20">
        <f t="shared" si="64"/>
        <v>461.35077692036231</v>
      </c>
      <c r="CC112" s="59">
        <f t="shared" si="65"/>
        <v>754.68411025369562</v>
      </c>
      <c r="CD112" s="59">
        <f ca="1">AVERAGE(OFFSET($CC$3,0,0,'Données projet'!$E$12+1,1))-AVERAGE(OFFSET($H$3,0,0,'Données projet'!$E$12+1,1))</f>
        <v>225.2323446080772</v>
      </c>
      <c r="CE112" s="59">
        <f t="shared" si="94"/>
        <v>222.29030402759292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16.212005949808834</v>
      </c>
      <c r="CL112" s="21">
        <f>EXP(-LN(2)/25)*CL111+(1-EXP(-LN(2)/25))/(LN(2)/25)*Calculateur!CG112*Calculateur!CI112*VLOOKUP('Données projet'!$B$12,Paramètres!$A$1:$I$89,3,0)*0.475*44/12</f>
        <v>3.7272962030262331</v>
      </c>
      <c r="CM112" s="21">
        <f>EXP(-LN(2)/2)*CM111+(1-EXP(-LN(2)/2))/(LN(2)/2)*CG112*CJ112*VLOOKUP('Données projet'!$B$12,Paramètres!$A$1:$I$89,3,0)*0.475*44/12</f>
        <v>0</v>
      </c>
      <c r="CN112" s="22">
        <f t="shared" si="66"/>
        <v>19.939302152835069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5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52.910000000000124</v>
      </c>
      <c r="D113" s="11">
        <f t="shared" si="86"/>
        <v>15.362787768111703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527.018010841565</v>
      </c>
      <c r="H113" s="67">
        <f t="shared" si="56"/>
        <v>412.2417720294614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4.5474735088646412E-13</v>
      </c>
      <c r="O113" s="13">
        <f>N113*VLOOKUP('Données projet'!$B$9,Paramètres!$A$1:$I$89,3,0)*VLOOKUP('Données projet'!$B$9,Paramètres!$A$1:$I$89,5,0)</f>
        <v>2.1873347577638923E-13</v>
      </c>
      <c r="P113" s="13">
        <f t="shared" si="87"/>
        <v>2.999861355695181E-12</v>
      </c>
      <c r="Q113" s="20">
        <f t="shared" si="107"/>
        <v>5.6057193314796512E-12</v>
      </c>
      <c r="R113" s="59">
        <f t="shared" si="55"/>
        <v>293.33333333333894</v>
      </c>
      <c r="S113" s="59">
        <f ca="1">AVERAGE(OFFSET($R$3,0,0,'Données projet'!$E$9+1,1))-AVERAGE(OFFSET($H$3,0,0,'Données projet'!$E$9+1,1))</f>
        <v>234.10156575337737</v>
      </c>
      <c r="T113" s="59">
        <f t="shared" si="88"/>
        <v>285.68635263076646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93.453905957135049</v>
      </c>
      <c r="AA113" s="21">
        <f>EXP(-LN(2)/25)*AA112+(1-EXP(-LN(2)/25))/(LN(2)/25)*Calculateur!V113*Calculateur!X113*VLOOKUP('Données projet'!$B$9,Paramètres!$A$1:$I$89,3,0)*0.475*44/12</f>
        <v>40.579579014888438</v>
      </c>
      <c r="AB113" s="21">
        <f>EXP(-LN(2)/2)*AB112+(1-EXP(-LN(2)/2))/(LN(2)/2)*V113*Y113*VLOOKUP('Données projet'!$B$9,Paramètres!$A$1:$I$89,3,0)*0.475*44/12</f>
        <v>3.9478446188948457E-11</v>
      </c>
      <c r="AC113" s="22">
        <f t="shared" si="57"/>
        <v>134.03348497206295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0</v>
      </c>
      <c r="AJ113" s="13">
        <f>AI113*VLOOKUP('Données projet'!$B$10,Paramètres!$A$1:$I$89,3,0)*VLOOKUP('Données projet'!$B$10,Paramètres!$A$1:$I$89,5,0)</f>
        <v>0</v>
      </c>
      <c r="AK113" s="13" t="e">
        <f t="shared" si="89"/>
        <v>#NUM!</v>
      </c>
      <c r="AL113" s="20" t="e">
        <f t="shared" si="58"/>
        <v>#NUM!</v>
      </c>
      <c r="AM113" s="59" t="e">
        <f t="shared" si="59"/>
        <v>#NUM!</v>
      </c>
      <c r="AN113" s="59">
        <f ca="1">AVERAGE(OFFSET($AM$3,0,0,'Données projet'!$E$10+1,1))-AVERAGE(OFFSET($H$3,0,0,'Données projet'!$E$10+1,1))</f>
        <v>179.44051550872138</v>
      </c>
      <c r="AO113" s="59">
        <f t="shared" si="90"/>
        <v>272.9500808380069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30.949223025528902</v>
      </c>
      <c r="AV113" s="21">
        <f>EXP(-LN(2)/25)*AV112+(1-EXP(-LN(2)/25))/(LN(2)/25)*Calculateur!AQ113*Calculateur!AS113*VLOOKUP('Données projet'!$B$10,Paramètres!$A$1:$I$89,3,0)*0.475*44/12</f>
        <v>36.153455640006641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67.102678665535535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-1.1368683772161603E-13</v>
      </c>
      <c r="BE113" s="13">
        <f>BD113*VLOOKUP('Données projet'!$B$11,Paramètres!$A$1:$I$89,3,0)*VLOOKUP('Données projet'!$B$11,Paramètres!$A$1:$I$89,5,0)</f>
        <v>-6.3550942286383367E-14</v>
      </c>
      <c r="BF113" s="13" t="e">
        <f t="shared" si="91"/>
        <v>#NUM!</v>
      </c>
      <c r="BG113" s="20" t="e">
        <f t="shared" si="61"/>
        <v>#NUM!</v>
      </c>
      <c r="BH113" s="59" t="e">
        <f t="shared" si="62"/>
        <v>#NUM!</v>
      </c>
      <c r="BI113" s="59">
        <f ca="1">AVERAGE(OFFSET($BH$3,0,0,'Données projet'!$E$11+1,1))-AVERAGE(OFFSET($H$3,0,0,'Données projet'!$E$11+1,1))</f>
        <v>278.5296012747549</v>
      </c>
      <c r="BJ113" s="59">
        <f t="shared" si="92"/>
        <v>370.55343097937077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76.264452568725986</v>
      </c>
      <c r="BQ113" s="21">
        <f>EXP(-LN(2)/25)*BQ112+(1-EXP(-LN(2)/25))/(LN(2)/25)*Calculateur!BL113*Calculateur!BN113*VLOOKUP('Données projet'!$B$11,Paramètres!$A$1:$I$89,3,0)*0.475*44/12</f>
        <v>12.53759965304134</v>
      </c>
      <c r="BR113" s="21">
        <f>EXP(-LN(2)/2)*BR112+(1-EXP(-LN(2)/2))/(LN(2)/2)*BL113*BO113*VLOOKUP('Données projet'!$B$11,Paramètres!$A$1:$I$89,3,0)*0.475*44/12</f>
        <v>1.7997391309949077E-7</v>
      </c>
      <c r="BS113" s="22">
        <f t="shared" si="63"/>
        <v>88.802052401741236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266.99999999999983</v>
      </c>
      <c r="BZ113" s="13">
        <f>BY113*VLOOKUP('Données projet'!$B$12,Paramètres!$A$1:$I$89,3,0)*VLOOKUP('Données projet'!$B$12,Paramètres!$A$1:$I$89,5,0)</f>
        <v>212.42519999999985</v>
      </c>
      <c r="CA113" s="13">
        <f t="shared" si="93"/>
        <v>52.465198231787184</v>
      </c>
      <c r="CB113" s="20">
        <f t="shared" si="64"/>
        <v>461.35077692036231</v>
      </c>
      <c r="CC113" s="59">
        <f t="shared" si="65"/>
        <v>754.68411025369562</v>
      </c>
      <c r="CD113" s="59">
        <f ca="1">AVERAGE(OFFSET($CC$3,0,0,'Données projet'!$E$12+1,1))-AVERAGE(OFFSET($H$3,0,0,'Données projet'!$E$12+1,1))</f>
        <v>225.2323446080772</v>
      </c>
      <c r="CE113" s="59">
        <f t="shared" si="94"/>
        <v>222.29030402759292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15.894098401480319</v>
      </c>
      <c r="CL113" s="21">
        <f>EXP(-LN(2)/25)*CL112+(1-EXP(-LN(2)/25))/(LN(2)/25)*Calculateur!CG113*Calculateur!CI113*VLOOKUP('Données projet'!$B$12,Paramètres!$A$1:$I$89,3,0)*0.475*44/12</f>
        <v>3.6253730923444922</v>
      </c>
      <c r="CM113" s="21">
        <f>EXP(-LN(2)/2)*CM112+(1-EXP(-LN(2)/2))/(LN(2)/2)*CG113*CJ113*VLOOKUP('Données projet'!$B$12,Paramètres!$A$1:$I$89,3,0)*0.475*44/12</f>
        <v>0</v>
      </c>
      <c r="CN113" s="22">
        <f t="shared" si="66"/>
        <v>19.51947149382481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5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53.391000000000126</v>
      </c>
      <c r="D114" s="11">
        <f t="shared" si="86"/>
        <v>15.486127779723555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531.68309163295476</v>
      </c>
      <c r="H114" s="67">
        <f t="shared" si="56"/>
        <v>413.29433088301869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4.5474735088646412E-13</v>
      </c>
      <c r="O114" s="13">
        <f>N114*VLOOKUP('Données projet'!$B$9,Paramètres!$A$1:$I$89,3,0)*VLOOKUP('Données projet'!$B$9,Paramètres!$A$1:$I$89,5,0)</f>
        <v>2.1873347577638923E-13</v>
      </c>
      <c r="P114" s="13">
        <f t="shared" si="87"/>
        <v>2.999861355695181E-12</v>
      </c>
      <c r="Q114" s="20">
        <f t="shared" si="107"/>
        <v>5.6057193314796512E-12</v>
      </c>
      <c r="R114" s="59">
        <f t="shared" si="55"/>
        <v>293.33333333333894</v>
      </c>
      <c r="S114" s="59">
        <f ca="1">AVERAGE(OFFSET($R$3,0,0,'Données projet'!$E$9+1,1))-AVERAGE(OFFSET($H$3,0,0,'Données projet'!$E$9+1,1))</f>
        <v>234.10156575337737</v>
      </c>
      <c r="T114" s="59">
        <f t="shared" si="88"/>
        <v>285.68635263076646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91.621331862569861</v>
      </c>
      <c r="AA114" s="21">
        <f>EXP(-LN(2)/25)*AA113+(1-EXP(-LN(2)/25))/(LN(2)/25)*Calculateur!V114*Calculateur!X114*VLOOKUP('Données projet'!$B$9,Paramètres!$A$1:$I$89,3,0)*0.475*44/12</f>
        <v>39.469928292738999</v>
      </c>
      <c r="AB114" s="21">
        <f>EXP(-LN(2)/2)*AB113+(1-EXP(-LN(2)/2))/(LN(2)/2)*V114*Y114*VLOOKUP('Données projet'!$B$9,Paramètres!$A$1:$I$89,3,0)*0.475*44/12</f>
        <v>2.7915477010913668E-11</v>
      </c>
      <c r="AC114" s="22">
        <f t="shared" si="57"/>
        <v>131.09126015533678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0</v>
      </c>
      <c r="AJ114" s="13">
        <f>AI114*VLOOKUP('Données projet'!$B$10,Paramètres!$A$1:$I$89,3,0)*VLOOKUP('Données projet'!$B$10,Paramètres!$A$1:$I$89,5,0)</f>
        <v>0</v>
      </c>
      <c r="AK114" s="13" t="e">
        <f t="shared" si="89"/>
        <v>#NUM!</v>
      </c>
      <c r="AL114" s="20" t="e">
        <f t="shared" si="58"/>
        <v>#NUM!</v>
      </c>
      <c r="AM114" s="59" t="e">
        <f t="shared" si="59"/>
        <v>#NUM!</v>
      </c>
      <c r="AN114" s="59">
        <f ca="1">AVERAGE(OFFSET($AM$3,0,0,'Données projet'!$E$10+1,1))-AVERAGE(OFFSET($H$3,0,0,'Données projet'!$E$10+1,1))</f>
        <v>179.44051550872138</v>
      </c>
      <c r="AO114" s="59">
        <f t="shared" si="90"/>
        <v>272.9500808380069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30.342327639160359</v>
      </c>
      <c r="AV114" s="21">
        <f>EXP(-LN(2)/25)*AV113+(1-EXP(-LN(2)/25))/(LN(2)/25)*Calculateur!AQ114*Calculateur!AS114*VLOOKUP('Données projet'!$B$10,Paramètres!$A$1:$I$89,3,0)*0.475*44/12</f>
        <v>35.164837494303057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65.507165133463417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-1.1368683772161603E-13</v>
      </c>
      <c r="BE114" s="13">
        <f>BD114*VLOOKUP('Données projet'!$B$11,Paramètres!$A$1:$I$89,3,0)*VLOOKUP('Données projet'!$B$11,Paramètres!$A$1:$I$89,5,0)</f>
        <v>-6.3550942286383367E-14</v>
      </c>
      <c r="BF114" s="13" t="e">
        <f t="shared" si="91"/>
        <v>#NUM!</v>
      </c>
      <c r="BG114" s="20" t="e">
        <f t="shared" si="61"/>
        <v>#NUM!</v>
      </c>
      <c r="BH114" s="59" t="e">
        <f t="shared" si="62"/>
        <v>#NUM!</v>
      </c>
      <c r="BI114" s="59">
        <f ca="1">AVERAGE(OFFSET($BH$3,0,0,'Données projet'!$E$11+1,1))-AVERAGE(OFFSET($H$3,0,0,'Données projet'!$E$11+1,1))</f>
        <v>278.5296012747549</v>
      </c>
      <c r="BJ114" s="59">
        <f t="shared" si="92"/>
        <v>370.55343097937077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74.768953170576196</v>
      </c>
      <c r="BQ114" s="21">
        <f>EXP(-LN(2)/25)*BQ113+(1-EXP(-LN(2)/25))/(LN(2)/25)*Calculateur!BL114*Calculateur!BN114*VLOOKUP('Données projet'!$B$11,Paramètres!$A$1:$I$89,3,0)*0.475*44/12</f>
        <v>12.194758331205215</v>
      </c>
      <c r="BR114" s="21">
        <f>EXP(-LN(2)/2)*BR113+(1-EXP(-LN(2)/2))/(LN(2)/2)*BL114*BO114*VLOOKUP('Données projet'!$B$11,Paramètres!$A$1:$I$89,3,0)*0.475*44/12</f>
        <v>1.2726077438932834E-7</v>
      </c>
      <c r="BS114" s="22">
        <f t="shared" si="63"/>
        <v>86.96371162904218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266.99999999999983</v>
      </c>
      <c r="BZ114" s="13">
        <f>BY114*VLOOKUP('Données projet'!$B$12,Paramètres!$A$1:$I$89,3,0)*VLOOKUP('Données projet'!$B$12,Paramètres!$A$1:$I$89,5,0)</f>
        <v>212.42519999999985</v>
      </c>
      <c r="CA114" s="13">
        <f t="shared" si="93"/>
        <v>52.465198231787184</v>
      </c>
      <c r="CB114" s="20">
        <f t="shared" si="64"/>
        <v>461.35077692036231</v>
      </c>
      <c r="CC114" s="59">
        <f t="shared" si="65"/>
        <v>754.68411025369562</v>
      </c>
      <c r="CD114" s="59">
        <f ca="1">AVERAGE(OFFSET($CC$3,0,0,'Données projet'!$E$12+1,1))-AVERAGE(OFFSET($H$3,0,0,'Données projet'!$E$12+1,1))</f>
        <v>225.2323446080772</v>
      </c>
      <c r="CE114" s="59">
        <f t="shared" si="94"/>
        <v>222.29030402759292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15.582424826270067</v>
      </c>
      <c r="CL114" s="21">
        <f>EXP(-LN(2)/25)*CL113+(1-EXP(-LN(2)/25))/(LN(2)/25)*Calculateur!CG114*Calculateur!CI114*VLOOKUP('Données projet'!$B$12,Paramètres!$A$1:$I$89,3,0)*0.475*44/12</f>
        <v>3.5262370744842473</v>
      </c>
      <c r="CM114" s="21">
        <f>EXP(-LN(2)/2)*CM113+(1-EXP(-LN(2)/2))/(LN(2)/2)*CG114*CJ114*VLOOKUP('Données projet'!$B$12,Paramètres!$A$1:$I$89,3,0)*0.475*44/12</f>
        <v>0</v>
      </c>
      <c r="CN114" s="22">
        <f t="shared" si="66"/>
        <v>19.108661900754313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5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53.872000000000128</v>
      </c>
      <c r="D115" s="11">
        <f t="shared" si="86"/>
        <v>15.609338516941946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536.34717451674589</v>
      </c>
      <c r="H115" s="67">
        <f t="shared" si="56"/>
        <v>414.34666458367406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4.5474735088646412E-13</v>
      </c>
      <c r="O115" s="13">
        <f>N115*VLOOKUP('Données projet'!$B$9,Paramètres!$A$1:$I$89,3,0)*VLOOKUP('Données projet'!$B$9,Paramètres!$A$1:$I$89,5,0)</f>
        <v>2.1873347577638923E-13</v>
      </c>
      <c r="P115" s="13">
        <f t="shared" si="87"/>
        <v>2.999861355695181E-12</v>
      </c>
      <c r="Q115" s="20">
        <f t="shared" si="107"/>
        <v>5.6057193314796512E-12</v>
      </c>
      <c r="R115" s="59">
        <f t="shared" si="55"/>
        <v>293.33333333333894</v>
      </c>
      <c r="S115" s="59">
        <f ca="1">AVERAGE(OFFSET($R$3,0,0,'Données projet'!$E$9+1,1))-AVERAGE(OFFSET($H$3,0,0,'Données projet'!$E$9+1,1))</f>
        <v>234.10156575337737</v>
      </c>
      <c r="T115" s="59">
        <f t="shared" si="88"/>
        <v>285.68635263076646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89.824693428239271</v>
      </c>
      <c r="AA115" s="21">
        <f>EXP(-LN(2)/25)*AA114+(1-EXP(-LN(2)/25))/(LN(2)/25)*Calculateur!V115*Calculateur!X115*VLOOKUP('Données projet'!$B$9,Paramètres!$A$1:$I$89,3,0)*0.475*44/12</f>
        <v>38.390621027940732</v>
      </c>
      <c r="AB115" s="21">
        <f>EXP(-LN(2)/2)*AB114+(1-EXP(-LN(2)/2))/(LN(2)/2)*V115*Y115*VLOOKUP('Données projet'!$B$9,Paramètres!$A$1:$I$89,3,0)*0.475*44/12</f>
        <v>1.9739223094474228E-11</v>
      </c>
      <c r="AC115" s="22">
        <f t="shared" si="57"/>
        <v>128.21531445619976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0</v>
      </c>
      <c r="AJ115" s="13">
        <f>AI115*VLOOKUP('Données projet'!$B$10,Paramètres!$A$1:$I$89,3,0)*VLOOKUP('Données projet'!$B$10,Paramètres!$A$1:$I$89,5,0)</f>
        <v>0</v>
      </c>
      <c r="AK115" s="13" t="e">
        <f t="shared" si="89"/>
        <v>#NUM!</v>
      </c>
      <c r="AL115" s="20" t="e">
        <f t="shared" si="58"/>
        <v>#NUM!</v>
      </c>
      <c r="AM115" s="59" t="e">
        <f t="shared" si="59"/>
        <v>#NUM!</v>
      </c>
      <c r="AN115" s="59">
        <f ca="1">AVERAGE(OFFSET($AM$3,0,0,'Données projet'!$E$10+1,1))-AVERAGE(OFFSET($H$3,0,0,'Données projet'!$E$10+1,1))</f>
        <v>179.44051550872138</v>
      </c>
      <c r="AO115" s="59">
        <f t="shared" si="90"/>
        <v>272.9500808380069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29.747333101148872</v>
      </c>
      <c r="AV115" s="21">
        <f>EXP(-LN(2)/25)*AV114+(1-EXP(-LN(2)/25))/(LN(2)/25)*Calculateur!AQ115*Calculateur!AS115*VLOOKUP('Données projet'!$B$10,Paramètres!$A$1:$I$89,3,0)*0.475*44/12</f>
        <v>34.203253163782904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63.950586264931772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-1.1368683772161603E-13</v>
      </c>
      <c r="BE115" s="13">
        <f>BD115*VLOOKUP('Données projet'!$B$11,Paramètres!$A$1:$I$89,3,0)*VLOOKUP('Données projet'!$B$11,Paramètres!$A$1:$I$89,5,0)</f>
        <v>-6.3550942286383367E-14</v>
      </c>
      <c r="BF115" s="13" t="e">
        <f t="shared" si="91"/>
        <v>#NUM!</v>
      </c>
      <c r="BG115" s="20" t="e">
        <f t="shared" si="61"/>
        <v>#NUM!</v>
      </c>
      <c r="BH115" s="59" t="e">
        <f t="shared" si="62"/>
        <v>#NUM!</v>
      </c>
      <c r="BI115" s="59">
        <f ca="1">AVERAGE(OFFSET($BH$3,0,0,'Données projet'!$E$11+1,1))-AVERAGE(OFFSET($H$3,0,0,'Données projet'!$E$11+1,1))</f>
        <v>278.5296012747549</v>
      </c>
      <c r="BJ115" s="59">
        <f t="shared" si="92"/>
        <v>370.55343097937077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73.302779603459555</v>
      </c>
      <c r="BQ115" s="21">
        <f>EXP(-LN(2)/25)*BQ114+(1-EXP(-LN(2)/25))/(LN(2)/25)*Calculateur!BL115*Calculateur!BN115*VLOOKUP('Données projet'!$B$11,Paramètres!$A$1:$I$89,3,0)*0.475*44/12</f>
        <v>11.861292023343939</v>
      </c>
      <c r="BR115" s="21">
        <f>EXP(-LN(2)/2)*BR114+(1-EXP(-LN(2)/2))/(LN(2)/2)*BL115*BO115*VLOOKUP('Données projet'!$B$11,Paramètres!$A$1:$I$89,3,0)*0.475*44/12</f>
        <v>8.9986956549745383E-8</v>
      </c>
      <c r="BS115" s="22">
        <f t="shared" si="63"/>
        <v>85.164071716790446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266.99999999999983</v>
      </c>
      <c r="BZ115" s="13">
        <f>BY115*VLOOKUP('Données projet'!$B$12,Paramètres!$A$1:$I$89,3,0)*VLOOKUP('Données projet'!$B$12,Paramètres!$A$1:$I$89,5,0)</f>
        <v>212.42519999999985</v>
      </c>
      <c r="CA115" s="13">
        <f t="shared" si="93"/>
        <v>52.465198231787184</v>
      </c>
      <c r="CB115" s="20">
        <f t="shared" si="64"/>
        <v>461.35077692036231</v>
      </c>
      <c r="CC115" s="59">
        <f t="shared" si="65"/>
        <v>754.68411025369562</v>
      </c>
      <c r="CD115" s="59">
        <f ca="1">AVERAGE(OFFSET($CC$3,0,0,'Données projet'!$E$12+1,1))-AVERAGE(OFFSET($H$3,0,0,'Données projet'!$E$12+1,1))</f>
        <v>225.2323446080772</v>
      </c>
      <c r="CE115" s="59">
        <f t="shared" si="94"/>
        <v>222.29030402759292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15.276862979767579</v>
      </c>
      <c r="CL115" s="21">
        <f>EXP(-LN(2)/25)*CL114+(1-EXP(-LN(2)/25))/(LN(2)/25)*Calculateur!CG115*Calculateur!CI115*VLOOKUP('Données projet'!$B$12,Paramètres!$A$1:$I$89,3,0)*0.475*44/12</f>
        <v>3.4298119362457271</v>
      </c>
      <c r="CM115" s="21">
        <f>EXP(-LN(2)/2)*CM114+(1-EXP(-LN(2)/2))/(LN(2)/2)*CG115*CJ115*VLOOKUP('Données projet'!$B$12,Paramètres!$A$1:$I$89,3,0)*0.475*44/12</f>
        <v>0</v>
      </c>
      <c r="CN115" s="22">
        <f t="shared" si="66"/>
        <v>18.706674916013306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5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54.353000000000129</v>
      </c>
      <c r="D116" s="11">
        <f t="shared" si="86"/>
        <v>15.732421267720559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541.010269435037</v>
      </c>
      <c r="H116" s="67">
        <f t="shared" si="56"/>
        <v>415.39877537461348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4.5474735088646412E-13</v>
      </c>
      <c r="O116" s="13">
        <f>N116*VLOOKUP('Données projet'!$B$9,Paramètres!$A$1:$I$89,3,0)*VLOOKUP('Données projet'!$B$9,Paramètres!$A$1:$I$89,5,0)</f>
        <v>2.1873347577638923E-13</v>
      </c>
      <c r="P116" s="13">
        <f t="shared" si="87"/>
        <v>2.999861355695181E-12</v>
      </c>
      <c r="Q116" s="20">
        <f t="shared" si="107"/>
        <v>5.6057193314796512E-12</v>
      </c>
      <c r="R116" s="59">
        <f t="shared" si="55"/>
        <v>293.33333333333894</v>
      </c>
      <c r="S116" s="59">
        <f ca="1">AVERAGE(OFFSET($R$3,0,0,'Données projet'!$E$9+1,1))-AVERAGE(OFFSET($H$3,0,0,'Données projet'!$E$9+1,1))</f>
        <v>234.10156575337737</v>
      </c>
      <c r="T116" s="59">
        <f t="shared" si="88"/>
        <v>285.68635263076646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88.063285977764664</v>
      </c>
      <c r="AA116" s="21">
        <f>EXP(-LN(2)/25)*AA115+(1-EXP(-LN(2)/25))/(LN(2)/25)*Calculateur!V116*Calculateur!X116*VLOOKUP('Données projet'!$B$9,Paramètres!$A$1:$I$89,3,0)*0.475*44/12</f>
        <v>37.340827477056678</v>
      </c>
      <c r="AB116" s="21">
        <f>EXP(-LN(2)/2)*AB115+(1-EXP(-LN(2)/2))/(LN(2)/2)*V116*Y116*VLOOKUP('Données projet'!$B$9,Paramètres!$A$1:$I$89,3,0)*0.475*44/12</f>
        <v>1.3957738505456834E-11</v>
      </c>
      <c r="AC116" s="22">
        <f t="shared" si="57"/>
        <v>125.4041134548353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0</v>
      </c>
      <c r="AJ116" s="13">
        <f>AI116*VLOOKUP('Données projet'!$B$10,Paramètres!$A$1:$I$89,3,0)*VLOOKUP('Données projet'!$B$10,Paramètres!$A$1:$I$89,5,0)</f>
        <v>0</v>
      </c>
      <c r="AK116" s="13" t="e">
        <f t="shared" si="89"/>
        <v>#NUM!</v>
      </c>
      <c r="AL116" s="20" t="e">
        <f t="shared" si="58"/>
        <v>#NUM!</v>
      </c>
      <c r="AM116" s="59" t="e">
        <f t="shared" si="59"/>
        <v>#NUM!</v>
      </c>
      <c r="AN116" s="59">
        <f ca="1">AVERAGE(OFFSET($AM$3,0,0,'Données projet'!$E$10+1,1))-AVERAGE(OFFSET($H$3,0,0,'Données projet'!$E$10+1,1))</f>
        <v>179.44051550872138</v>
      </c>
      <c r="AO116" s="59">
        <f t="shared" si="90"/>
        <v>272.9500808380069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29.164006043116956</v>
      </c>
      <c r="AV116" s="21">
        <f>EXP(-LN(2)/25)*AV115+(1-EXP(-LN(2)/25))/(LN(2)/25)*Calculateur!AQ116*Calculateur!AS116*VLOOKUP('Données projet'!$B$10,Paramètres!$A$1:$I$89,3,0)*0.475*44/12</f>
        <v>33.267963407348347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62.431969450465303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-1.1368683772161603E-13</v>
      </c>
      <c r="BE116" s="13">
        <f>BD116*VLOOKUP('Données projet'!$B$11,Paramètres!$A$1:$I$89,3,0)*VLOOKUP('Données projet'!$B$11,Paramètres!$A$1:$I$89,5,0)</f>
        <v>-6.3550942286383367E-14</v>
      </c>
      <c r="BF116" s="13" t="e">
        <f t="shared" si="91"/>
        <v>#NUM!</v>
      </c>
      <c r="BG116" s="20" t="e">
        <f t="shared" si="61"/>
        <v>#NUM!</v>
      </c>
      <c r="BH116" s="59" t="e">
        <f t="shared" si="62"/>
        <v>#NUM!</v>
      </c>
      <c r="BI116" s="59">
        <f ca="1">AVERAGE(OFFSET($BH$3,0,0,'Données projet'!$E$11+1,1))-AVERAGE(OFFSET($H$3,0,0,'Données projet'!$E$11+1,1))</f>
        <v>278.5296012747549</v>
      </c>
      <c r="BJ116" s="59">
        <f t="shared" si="92"/>
        <v>370.55343097937077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71.865356805716502</v>
      </c>
      <c r="BQ116" s="21">
        <f>EXP(-LN(2)/25)*BQ115+(1-EXP(-LN(2)/25))/(LN(2)/25)*Calculateur!BL116*Calculateur!BN116*VLOOKUP('Données projet'!$B$11,Paramètres!$A$1:$I$89,3,0)*0.475*44/12</f>
        <v>11.536944369207362</v>
      </c>
      <c r="BR116" s="21">
        <f>EXP(-LN(2)/2)*BR115+(1-EXP(-LN(2)/2))/(LN(2)/2)*BL116*BO116*VLOOKUP('Données projet'!$B$11,Paramètres!$A$1:$I$89,3,0)*0.475*44/12</f>
        <v>6.3630387194664168E-8</v>
      </c>
      <c r="BS116" s="22">
        <f t="shared" si="63"/>
        <v>83.402301238554244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266.99999999999983</v>
      </c>
      <c r="BZ116" s="13">
        <f>BY116*VLOOKUP('Données projet'!$B$12,Paramètres!$A$1:$I$89,3,0)*VLOOKUP('Données projet'!$B$12,Paramètres!$A$1:$I$89,5,0)</f>
        <v>212.42519999999985</v>
      </c>
      <c r="CA116" s="13">
        <f t="shared" si="93"/>
        <v>52.465198231787184</v>
      </c>
      <c r="CB116" s="20">
        <f t="shared" si="64"/>
        <v>461.35077692036231</v>
      </c>
      <c r="CC116" s="59">
        <f t="shared" si="65"/>
        <v>754.68411025369562</v>
      </c>
      <c r="CD116" s="59">
        <f ca="1">AVERAGE(OFFSET($CC$3,0,0,'Données projet'!$E$12+1,1))-AVERAGE(OFFSET($H$3,0,0,'Données projet'!$E$12+1,1))</f>
        <v>225.2323446080772</v>
      </c>
      <c r="CE116" s="59">
        <f t="shared" si="94"/>
        <v>222.29030402759292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14.977293014700681</v>
      </c>
      <c r="CL116" s="21">
        <f>EXP(-LN(2)/25)*CL115+(1-EXP(-LN(2)/25))/(LN(2)/25)*Calculateur!CG116*Calculateur!CI116*VLOOKUP('Données projet'!$B$12,Paramètres!$A$1:$I$89,3,0)*0.475*44/12</f>
        <v>3.3360235484831171</v>
      </c>
      <c r="CM116" s="21">
        <f>EXP(-LN(2)/2)*CM115+(1-EXP(-LN(2)/2))/(LN(2)/2)*CG116*CJ116*VLOOKUP('Données projet'!$B$12,Paramètres!$A$1:$I$89,3,0)*0.475*44/12</f>
        <v>0</v>
      </c>
      <c r="CN116" s="22">
        <f t="shared" si="66"/>
        <v>18.313316563183797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5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54.834000000000131</v>
      </c>
      <c r="D117" s="11">
        <f t="shared" si="86"/>
        <v>15.855377295902201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545.67238614380744</v>
      </c>
      <c r="H117" s="67">
        <f t="shared" si="56"/>
        <v>416.45066545702986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4.5474735088646412E-13</v>
      </c>
      <c r="O117" s="13">
        <f>N117*VLOOKUP('Données projet'!$B$9,Paramètres!$A$1:$I$89,3,0)*VLOOKUP('Données projet'!$B$9,Paramètres!$A$1:$I$89,5,0)</f>
        <v>2.1873347577638923E-13</v>
      </c>
      <c r="P117" s="13">
        <f t="shared" si="87"/>
        <v>2.999861355695181E-12</v>
      </c>
      <c r="Q117" s="20">
        <f t="shared" si="107"/>
        <v>5.6057193314796512E-12</v>
      </c>
      <c r="R117" s="59">
        <f t="shared" si="55"/>
        <v>293.33333333333894</v>
      </c>
      <c r="S117" s="59">
        <f ca="1">AVERAGE(OFFSET($R$3,0,0,'Données projet'!$E$9+1,1))-AVERAGE(OFFSET($H$3,0,0,'Données projet'!$E$9+1,1))</f>
        <v>234.10156575337737</v>
      </c>
      <c r="T117" s="59">
        <f t="shared" si="88"/>
        <v>285.68635263076646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86.336418653041392</v>
      </c>
      <c r="AA117" s="21">
        <f>EXP(-LN(2)/25)*AA116+(1-EXP(-LN(2)/25))/(LN(2)/25)*Calculateur!V117*Calculateur!X117*VLOOKUP('Données projet'!$B$9,Paramètres!$A$1:$I$89,3,0)*0.475*44/12</f>
        <v>36.319740586027791</v>
      </c>
      <c r="AB117" s="21">
        <f>EXP(-LN(2)/2)*AB116+(1-EXP(-LN(2)/2))/(LN(2)/2)*V117*Y117*VLOOKUP('Données projet'!$B$9,Paramètres!$A$1:$I$89,3,0)*0.475*44/12</f>
        <v>9.8696115472371142E-12</v>
      </c>
      <c r="AC117" s="22">
        <f t="shared" si="57"/>
        <v>122.65615923907906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0</v>
      </c>
      <c r="AJ117" s="13">
        <f>AI117*VLOOKUP('Données projet'!$B$10,Paramètres!$A$1:$I$89,3,0)*VLOOKUP('Données projet'!$B$10,Paramètres!$A$1:$I$89,5,0)</f>
        <v>0</v>
      </c>
      <c r="AK117" s="13" t="e">
        <f t="shared" si="89"/>
        <v>#NUM!</v>
      </c>
      <c r="AL117" s="20" t="e">
        <f t="shared" si="58"/>
        <v>#NUM!</v>
      </c>
      <c r="AM117" s="59" t="e">
        <f t="shared" si="59"/>
        <v>#NUM!</v>
      </c>
      <c r="AN117" s="59">
        <f ca="1">AVERAGE(OFFSET($AM$3,0,0,'Données projet'!$E$10+1,1))-AVERAGE(OFFSET($H$3,0,0,'Données projet'!$E$10+1,1))</f>
        <v>179.44051550872138</v>
      </c>
      <c r="AO117" s="59">
        <f t="shared" si="90"/>
        <v>272.9500808380069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28.59211767289867</v>
      </c>
      <c r="AV117" s="21">
        <f>EXP(-LN(2)/25)*AV116+(1-EXP(-LN(2)/25))/(LN(2)/25)*Calculateur!AQ117*Calculateur!AS117*VLOOKUP('Données projet'!$B$10,Paramètres!$A$1:$I$89,3,0)*0.475*44/12</f>
        <v>32.358249198488245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60.950366871386919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-1.1368683772161603E-13</v>
      </c>
      <c r="BE117" s="13">
        <f>BD117*VLOOKUP('Données projet'!$B$11,Paramètres!$A$1:$I$89,3,0)*VLOOKUP('Données projet'!$B$11,Paramètres!$A$1:$I$89,5,0)</f>
        <v>-6.3550942286383367E-14</v>
      </c>
      <c r="BF117" s="13" t="e">
        <f t="shared" si="91"/>
        <v>#NUM!</v>
      </c>
      <c r="BG117" s="20" t="e">
        <f t="shared" si="61"/>
        <v>#NUM!</v>
      </c>
      <c r="BH117" s="59" t="e">
        <f t="shared" si="62"/>
        <v>#NUM!</v>
      </c>
      <c r="BI117" s="59">
        <f ca="1">AVERAGE(OFFSET($BH$3,0,0,'Données projet'!$E$11+1,1))-AVERAGE(OFFSET($H$3,0,0,'Données projet'!$E$11+1,1))</f>
        <v>278.5296012747549</v>
      </c>
      <c r="BJ117" s="59">
        <f t="shared" si="92"/>
        <v>370.55343097937077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70.456120992295851</v>
      </c>
      <c r="BQ117" s="21">
        <f>EXP(-LN(2)/25)*BQ116+(1-EXP(-LN(2)/25))/(LN(2)/25)*Calculateur!BL117*Calculateur!BN117*VLOOKUP('Données projet'!$B$11,Paramètres!$A$1:$I$89,3,0)*0.475*44/12</f>
        <v>11.221466018729849</v>
      </c>
      <c r="BR117" s="21">
        <f>EXP(-LN(2)/2)*BR116+(1-EXP(-LN(2)/2))/(LN(2)/2)*BL117*BO117*VLOOKUP('Données projet'!$B$11,Paramètres!$A$1:$I$89,3,0)*0.475*44/12</f>
        <v>4.4993478274872691E-8</v>
      </c>
      <c r="BS117" s="22">
        <f t="shared" si="63"/>
        <v>81.677587056019192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266.99999999999983</v>
      </c>
      <c r="BZ117" s="13">
        <f>BY117*VLOOKUP('Données projet'!$B$12,Paramètres!$A$1:$I$89,3,0)*VLOOKUP('Données projet'!$B$12,Paramètres!$A$1:$I$89,5,0)</f>
        <v>212.42519999999985</v>
      </c>
      <c r="CA117" s="13">
        <f t="shared" si="93"/>
        <v>52.465198231787184</v>
      </c>
      <c r="CB117" s="20">
        <f t="shared" si="64"/>
        <v>461.35077692036231</v>
      </c>
      <c r="CC117" s="59">
        <f t="shared" si="65"/>
        <v>754.68411025369562</v>
      </c>
      <c r="CD117" s="59">
        <f ca="1">AVERAGE(OFFSET($CC$3,0,0,'Données projet'!$E$12+1,1))-AVERAGE(OFFSET($H$3,0,0,'Données projet'!$E$12+1,1))</f>
        <v>225.2323446080772</v>
      </c>
      <c r="CE117" s="59">
        <f t="shared" si="94"/>
        <v>222.29030402759292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14.683597433929108</v>
      </c>
      <c r="CL117" s="21">
        <f>EXP(-LN(2)/25)*CL116+(1-EXP(-LN(2)/25))/(LN(2)/25)*Calculateur!CG117*Calculateur!CI117*VLOOKUP('Données projet'!$B$12,Paramètres!$A$1:$I$89,3,0)*0.475*44/12</f>
        <v>3.2447998091159924</v>
      </c>
      <c r="CM117" s="21">
        <f>EXP(-LN(2)/2)*CM116+(1-EXP(-LN(2)/2))/(LN(2)/2)*CG117*CJ117*VLOOKUP('Données projet'!$B$12,Paramètres!$A$1:$I$89,3,0)*0.475*44/12</f>
        <v>0</v>
      </c>
      <c r="CN117" s="22">
        <f t="shared" si="66"/>
        <v>17.928397243045101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5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55.315000000000133</v>
      </c>
      <c r="D118" s="11">
        <f t="shared" si="86"/>
        <v>15.978207841877643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550.33353421800382</v>
      </c>
      <c r="H118" s="67">
        <f t="shared" si="56"/>
        <v>417.5023369912704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4.5474735088646412E-13</v>
      </c>
      <c r="O118" s="13">
        <f>N118*VLOOKUP('Données projet'!$B$9,Paramètres!$A$1:$I$89,3,0)*VLOOKUP('Données projet'!$B$9,Paramètres!$A$1:$I$89,5,0)</f>
        <v>2.1873347577638923E-13</v>
      </c>
      <c r="P118" s="13">
        <f t="shared" si="87"/>
        <v>2.999861355695181E-12</v>
      </c>
      <c r="Q118" s="20">
        <f t="shared" si="107"/>
        <v>5.6057193314796512E-12</v>
      </c>
      <c r="R118" s="59">
        <f t="shared" si="55"/>
        <v>293.33333333333894</v>
      </c>
      <c r="S118" s="59">
        <f ca="1">AVERAGE(OFFSET($R$3,0,0,'Données projet'!$E$9+1,1))-AVERAGE(OFFSET($H$3,0,0,'Données projet'!$E$9+1,1))</f>
        <v>234.10156575337737</v>
      </c>
      <c r="T118" s="59">
        <f t="shared" si="88"/>
        <v>285.68635263076646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84.643414143270888</v>
      </c>
      <c r="AA118" s="21">
        <f>EXP(-LN(2)/25)*AA117+(1-EXP(-LN(2)/25))/(LN(2)/25)*Calculateur!V118*Calculateur!X118*VLOOKUP('Données projet'!$B$9,Paramètres!$A$1:$I$89,3,0)*0.475*44/12</f>
        <v>35.326575369730712</v>
      </c>
      <c r="AB118" s="21">
        <f>EXP(-LN(2)/2)*AB117+(1-EXP(-LN(2)/2))/(LN(2)/2)*V118*Y118*VLOOKUP('Données projet'!$B$9,Paramètres!$A$1:$I$89,3,0)*0.475*44/12</f>
        <v>6.978869252728417E-12</v>
      </c>
      <c r="AC118" s="22">
        <f t="shared" si="57"/>
        <v>119.96998951300857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0</v>
      </c>
      <c r="AJ118" s="13">
        <f>AI118*VLOOKUP('Données projet'!$B$10,Paramètres!$A$1:$I$89,3,0)*VLOOKUP('Données projet'!$B$10,Paramètres!$A$1:$I$89,5,0)</f>
        <v>0</v>
      </c>
      <c r="AK118" s="13" t="e">
        <f t="shared" si="89"/>
        <v>#NUM!</v>
      </c>
      <c r="AL118" s="20" t="e">
        <f t="shared" si="58"/>
        <v>#NUM!</v>
      </c>
      <c r="AM118" s="59" t="e">
        <f t="shared" si="59"/>
        <v>#NUM!</v>
      </c>
      <c r="AN118" s="59">
        <f ca="1">AVERAGE(OFFSET($AM$3,0,0,'Données projet'!$E$10+1,1))-AVERAGE(OFFSET($H$3,0,0,'Données projet'!$E$10+1,1))</f>
        <v>179.44051550872138</v>
      </c>
      <c r="AO118" s="59">
        <f t="shared" si="90"/>
        <v>272.9500808380069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28.031443684802902</v>
      </c>
      <c r="AV118" s="21">
        <f>EXP(-LN(2)/25)*AV117+(1-EXP(-LN(2)/25))/(LN(2)/25)*Calculateur!AQ118*Calculateur!AS118*VLOOKUP('Données projet'!$B$10,Paramètres!$A$1:$I$89,3,0)*0.475*44/12</f>
        <v>31.473411172509216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59.504854857312118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-1.1368683772161603E-13</v>
      </c>
      <c r="BE118" s="13">
        <f>BD118*VLOOKUP('Données projet'!$B$11,Paramètres!$A$1:$I$89,3,0)*VLOOKUP('Données projet'!$B$11,Paramètres!$A$1:$I$89,5,0)</f>
        <v>-6.3550942286383367E-14</v>
      </c>
      <c r="BF118" s="13" t="e">
        <f t="shared" si="91"/>
        <v>#NUM!</v>
      </c>
      <c r="BG118" s="20" t="e">
        <f t="shared" si="61"/>
        <v>#NUM!</v>
      </c>
      <c r="BH118" s="59" t="e">
        <f t="shared" si="62"/>
        <v>#NUM!</v>
      </c>
      <c r="BI118" s="59">
        <f ca="1">AVERAGE(OFFSET($BH$3,0,0,'Données projet'!$E$11+1,1))-AVERAGE(OFFSET($H$3,0,0,'Données projet'!$E$11+1,1))</f>
        <v>278.5296012747549</v>
      </c>
      <c r="BJ118" s="59">
        <f t="shared" si="92"/>
        <v>370.55343097937077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69.074519433627401</v>
      </c>
      <c r="BQ118" s="21">
        <f>EXP(-LN(2)/25)*BQ117+(1-EXP(-LN(2)/25))/(LN(2)/25)*Calculateur!BL118*Calculateur!BN118*VLOOKUP('Données projet'!$B$11,Paramètres!$A$1:$I$89,3,0)*0.475*44/12</f>
        <v>10.914614440336431</v>
      </c>
      <c r="BR118" s="21">
        <f>EXP(-LN(2)/2)*BR117+(1-EXP(-LN(2)/2))/(LN(2)/2)*BL118*BO118*VLOOKUP('Données projet'!$B$11,Paramètres!$A$1:$I$89,3,0)*0.475*44/12</f>
        <v>3.1815193597332084E-8</v>
      </c>
      <c r="BS118" s="22">
        <f t="shared" si="63"/>
        <v>79.989133905779028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266.99999999999983</v>
      </c>
      <c r="BZ118" s="13">
        <f>BY118*VLOOKUP('Données projet'!$B$12,Paramètres!$A$1:$I$89,3,0)*VLOOKUP('Données projet'!$B$12,Paramètres!$A$1:$I$89,5,0)</f>
        <v>212.42519999999985</v>
      </c>
      <c r="CA118" s="13">
        <f t="shared" si="93"/>
        <v>52.465198231787184</v>
      </c>
      <c r="CB118" s="20">
        <f t="shared" si="64"/>
        <v>461.35077692036231</v>
      </c>
      <c r="CC118" s="59">
        <f t="shared" si="65"/>
        <v>754.68411025369562</v>
      </c>
      <c r="CD118" s="59">
        <f ca="1">AVERAGE(OFFSET($CC$3,0,0,'Données projet'!$E$12+1,1))-AVERAGE(OFFSET($H$3,0,0,'Données projet'!$E$12+1,1))</f>
        <v>225.2323446080772</v>
      </c>
      <c r="CE118" s="59">
        <f t="shared" si="94"/>
        <v>222.29030402759292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14.395661044359851</v>
      </c>
      <c r="CL118" s="21">
        <f>EXP(-LN(2)/25)*CL117+(1-EXP(-LN(2)/25))/(LN(2)/25)*Calculateur!CG118*Calculateur!CI118*VLOOKUP('Données projet'!$B$12,Paramètres!$A$1:$I$89,3,0)*0.475*44/12</f>
        <v>3.1560705876991095</v>
      </c>
      <c r="CM118" s="21">
        <f>EXP(-LN(2)/2)*CM117+(1-EXP(-LN(2)/2))/(LN(2)/2)*CG118*CJ118*VLOOKUP('Données projet'!$B$12,Paramètres!$A$1:$I$89,3,0)*0.475*44/12</f>
        <v>0</v>
      </c>
      <c r="CN118" s="22">
        <f t="shared" si="66"/>
        <v>17.55173163205896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5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55.796000000000134</v>
      </c>
      <c r="D119" s="11">
        <f t="shared" si="86"/>
        <v>16.100914123220836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554.9937230564426</v>
      </c>
      <c r="H119" s="67">
        <f t="shared" si="56"/>
        <v>418.55379209794313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4.5474735088646412E-13</v>
      </c>
      <c r="O119" s="13">
        <f>N119*VLOOKUP('Données projet'!$B$9,Paramètres!$A$1:$I$89,3,0)*VLOOKUP('Données projet'!$B$9,Paramètres!$A$1:$I$89,5,0)</f>
        <v>2.1873347577638923E-13</v>
      </c>
      <c r="P119" s="13">
        <f t="shared" si="87"/>
        <v>2.999861355695181E-12</v>
      </c>
      <c r="Q119" s="20">
        <f t="shared" si="107"/>
        <v>5.6057193314796512E-12</v>
      </c>
      <c r="R119" s="59">
        <f t="shared" si="55"/>
        <v>293.33333333333894</v>
      </c>
      <c r="S119" s="59">
        <f ca="1">AVERAGE(OFFSET($R$3,0,0,'Données projet'!$E$9+1,1))-AVERAGE(OFFSET($H$3,0,0,'Données projet'!$E$9+1,1))</f>
        <v>234.10156575337737</v>
      </c>
      <c r="T119" s="59">
        <f t="shared" si="88"/>
        <v>285.68635263076646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82.983608419306194</v>
      </c>
      <c r="AA119" s="21">
        <f>EXP(-LN(2)/25)*AA118+(1-EXP(-LN(2)/25))/(LN(2)/25)*Calculateur!V119*Calculateur!X119*VLOOKUP('Données projet'!$B$9,Paramètres!$A$1:$I$89,3,0)*0.475*44/12</f>
        <v>34.36056830850157</v>
      </c>
      <c r="AB119" s="21">
        <f>EXP(-LN(2)/2)*AB118+(1-EXP(-LN(2)/2))/(LN(2)/2)*V119*Y119*VLOOKUP('Données projet'!$B$9,Paramètres!$A$1:$I$89,3,0)*0.475*44/12</f>
        <v>4.9348057736185571E-12</v>
      </c>
      <c r="AC119" s="22">
        <f t="shared" si="57"/>
        <v>117.34417672781269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0</v>
      </c>
      <c r="AJ119" s="13">
        <f>AI119*VLOOKUP('Données projet'!$B$10,Paramètres!$A$1:$I$89,3,0)*VLOOKUP('Données projet'!$B$10,Paramètres!$A$1:$I$89,5,0)</f>
        <v>0</v>
      </c>
      <c r="AK119" s="13" t="e">
        <f t="shared" si="89"/>
        <v>#NUM!</v>
      </c>
      <c r="AL119" s="20" t="e">
        <f t="shared" si="58"/>
        <v>#NUM!</v>
      </c>
      <c r="AM119" s="59" t="e">
        <f t="shared" si="59"/>
        <v>#NUM!</v>
      </c>
      <c r="AN119" s="59">
        <f ca="1">AVERAGE(OFFSET($AM$3,0,0,'Données projet'!$E$10+1,1))-AVERAGE(OFFSET($H$3,0,0,'Données projet'!$E$10+1,1))</f>
        <v>179.44051550872138</v>
      </c>
      <c r="AO119" s="59">
        <f t="shared" si="90"/>
        <v>272.9500808380069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27.481764171636328</v>
      </c>
      <c r="AV119" s="21">
        <f>EXP(-LN(2)/25)*AV118+(1-EXP(-LN(2)/25))/(LN(2)/25)*Calculateur!AQ119*Calculateur!AS119*VLOOKUP('Données projet'!$B$10,Paramètres!$A$1:$I$89,3,0)*0.475*44/12</f>
        <v>30.612769088882192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58.094533260518517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-1.1368683772161603E-13</v>
      </c>
      <c r="BE119" s="13">
        <f>BD119*VLOOKUP('Données projet'!$B$11,Paramètres!$A$1:$I$89,3,0)*VLOOKUP('Données projet'!$B$11,Paramètres!$A$1:$I$89,5,0)</f>
        <v>-6.3550942286383367E-14</v>
      </c>
      <c r="BF119" s="13" t="e">
        <f t="shared" si="91"/>
        <v>#NUM!</v>
      </c>
      <c r="BG119" s="20" t="e">
        <f t="shared" si="61"/>
        <v>#NUM!</v>
      </c>
      <c r="BH119" s="59" t="e">
        <f t="shared" si="62"/>
        <v>#NUM!</v>
      </c>
      <c r="BI119" s="59">
        <f ca="1">AVERAGE(OFFSET($BH$3,0,0,'Données projet'!$E$11+1,1))-AVERAGE(OFFSET($H$3,0,0,'Données projet'!$E$11+1,1))</f>
        <v>278.5296012747549</v>
      </c>
      <c r="BJ119" s="59">
        <f t="shared" si="92"/>
        <v>370.55343097937077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67.720010238830696</v>
      </c>
      <c r="BQ119" s="21">
        <f>EXP(-LN(2)/25)*BQ118+(1-EXP(-LN(2)/25))/(LN(2)/25)*Calculateur!BL119*Calculateur!BN119*VLOOKUP('Données projet'!$B$11,Paramètres!$A$1:$I$89,3,0)*0.475*44/12</f>
        <v>10.616153734490803</v>
      </c>
      <c r="BR119" s="21">
        <f>EXP(-LN(2)/2)*BR118+(1-EXP(-LN(2)/2))/(LN(2)/2)*BL119*BO119*VLOOKUP('Données projet'!$B$11,Paramètres!$A$1:$I$89,3,0)*0.475*44/12</f>
        <v>2.2496739137436346E-8</v>
      </c>
      <c r="BS119" s="22">
        <f t="shared" si="63"/>
        <v>78.336163995818239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266.99999999999983</v>
      </c>
      <c r="BZ119" s="13">
        <f>BY119*VLOOKUP('Données projet'!$B$12,Paramètres!$A$1:$I$89,3,0)*VLOOKUP('Données projet'!$B$12,Paramètres!$A$1:$I$89,5,0)</f>
        <v>212.42519999999985</v>
      </c>
      <c r="CA119" s="13">
        <f t="shared" si="93"/>
        <v>52.465198231787184</v>
      </c>
      <c r="CB119" s="20">
        <f t="shared" si="64"/>
        <v>461.35077692036231</v>
      </c>
      <c r="CC119" s="59">
        <f t="shared" si="65"/>
        <v>754.68411025369562</v>
      </c>
      <c r="CD119" s="59">
        <f ca="1">AVERAGE(OFFSET($CC$3,0,0,'Données projet'!$E$12+1,1))-AVERAGE(OFFSET($H$3,0,0,'Données projet'!$E$12+1,1))</f>
        <v>225.2323446080772</v>
      </c>
      <c r="CE119" s="59">
        <f t="shared" si="94"/>
        <v>222.29030402759292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14.113370911766191</v>
      </c>
      <c r="CL119" s="21">
        <f>EXP(-LN(2)/25)*CL118+(1-EXP(-LN(2)/25))/(LN(2)/25)*Calculateur!CG119*Calculateur!CI119*VLOOKUP('Données projet'!$B$12,Paramètres!$A$1:$I$89,3,0)*0.475*44/12</f>
        <v>3.0697676715079383</v>
      </c>
      <c r="CM119" s="21">
        <f>EXP(-LN(2)/2)*CM118+(1-EXP(-LN(2)/2))/(LN(2)/2)*CG119*CJ119*VLOOKUP('Données projet'!$B$12,Paramètres!$A$1:$I$89,3,0)*0.475*44/12</f>
        <v>0</v>
      </c>
      <c r="CN119" s="22">
        <f t="shared" si="66"/>
        <v>17.183138583274129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5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56.277000000000136</v>
      </c>
      <c r="D120" s="11">
        <f t="shared" si="86"/>
        <v>16.22349733530163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559.65296188653986</v>
      </c>
      <c r="H120" s="67">
        <f t="shared" si="56"/>
        <v>419.60503285898386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4.5474735088646412E-13</v>
      </c>
      <c r="O120" s="13">
        <f>N120*VLOOKUP('Données projet'!$B$9,Paramètres!$A$1:$I$89,3,0)*VLOOKUP('Données projet'!$B$9,Paramètres!$A$1:$I$89,5,0)</f>
        <v>2.1873347577638923E-13</v>
      </c>
      <c r="P120" s="13">
        <f t="shared" si="87"/>
        <v>2.999861355695181E-12</v>
      </c>
      <c r="Q120" s="20">
        <f t="shared" si="107"/>
        <v>5.6057193314796512E-12</v>
      </c>
      <c r="R120" s="59">
        <f t="shared" si="55"/>
        <v>293.33333333333894</v>
      </c>
      <c r="S120" s="59">
        <f ca="1">AVERAGE(OFFSET($R$3,0,0,'Données projet'!$E$9+1,1))-AVERAGE(OFFSET($H$3,0,0,'Données projet'!$E$9+1,1))</f>
        <v>234.10156575337737</v>
      </c>
      <c r="T120" s="59">
        <f t="shared" si="88"/>
        <v>285.68635263076646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81.356350473206916</v>
      </c>
      <c r="AA120" s="21">
        <f>EXP(-LN(2)/25)*AA119+(1-EXP(-LN(2)/25))/(LN(2)/25)*Calculateur!V120*Calculateur!X120*VLOOKUP('Données projet'!$B$9,Paramètres!$A$1:$I$89,3,0)*0.475*44/12</f>
        <v>33.420976761161839</v>
      </c>
      <c r="AB120" s="21">
        <f>EXP(-LN(2)/2)*AB119+(1-EXP(-LN(2)/2))/(LN(2)/2)*V120*Y120*VLOOKUP('Données projet'!$B$9,Paramètres!$A$1:$I$89,3,0)*0.475*44/12</f>
        <v>3.4894346263642085E-12</v>
      </c>
      <c r="AC120" s="22">
        <f t="shared" si="57"/>
        <v>114.77732723437225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0</v>
      </c>
      <c r="AJ120" s="13">
        <f>AI120*VLOOKUP('Données projet'!$B$10,Paramètres!$A$1:$I$89,3,0)*VLOOKUP('Données projet'!$B$10,Paramètres!$A$1:$I$89,5,0)</f>
        <v>0</v>
      </c>
      <c r="AK120" s="13" t="e">
        <f t="shared" si="89"/>
        <v>#NUM!</v>
      </c>
      <c r="AL120" s="20" t="e">
        <f t="shared" si="58"/>
        <v>#NUM!</v>
      </c>
      <c r="AM120" s="59" t="e">
        <f t="shared" si="59"/>
        <v>#NUM!</v>
      </c>
      <c r="AN120" s="59">
        <f ca="1">AVERAGE(OFFSET($AM$3,0,0,'Données projet'!$E$10+1,1))-AVERAGE(OFFSET($H$3,0,0,'Données projet'!$E$10+1,1))</f>
        <v>179.44051550872138</v>
      </c>
      <c r="AO120" s="59">
        <f t="shared" si="90"/>
        <v>272.9500808380069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26.942863538451554</v>
      </c>
      <c r="AV120" s="21">
        <f>EXP(-LN(2)/25)*AV119+(1-EXP(-LN(2)/25))/(LN(2)/25)*Calculateur!AQ120*Calculateur!AS120*VLOOKUP('Données projet'!$B$10,Paramètres!$A$1:$I$89,3,0)*0.475*44/12</f>
        <v>29.775661308291149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56.718524846742703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-1.1368683772161603E-13</v>
      </c>
      <c r="BE120" s="13">
        <f>BD120*VLOOKUP('Données projet'!$B$11,Paramètres!$A$1:$I$89,3,0)*VLOOKUP('Données projet'!$B$11,Paramètres!$A$1:$I$89,5,0)</f>
        <v>-6.3550942286383367E-14</v>
      </c>
      <c r="BF120" s="13" t="e">
        <f t="shared" si="91"/>
        <v>#NUM!</v>
      </c>
      <c r="BG120" s="20" t="e">
        <f t="shared" si="61"/>
        <v>#NUM!</v>
      </c>
      <c r="BH120" s="59" t="e">
        <f t="shared" si="62"/>
        <v>#NUM!</v>
      </c>
      <c r="BI120" s="59">
        <f ca="1">AVERAGE(OFFSET($BH$3,0,0,'Données projet'!$E$11+1,1))-AVERAGE(OFFSET($H$3,0,0,'Données projet'!$E$11+1,1))</f>
        <v>278.5296012747549</v>
      </c>
      <c r="BJ120" s="59">
        <f t="shared" si="92"/>
        <v>370.55343097937077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66.392062143174925</v>
      </c>
      <c r="BQ120" s="21">
        <f>EXP(-LN(2)/25)*BQ119+(1-EXP(-LN(2)/25))/(LN(2)/25)*Calculateur!BL120*Calculateur!BN120*VLOOKUP('Données projet'!$B$11,Paramètres!$A$1:$I$89,3,0)*0.475*44/12</f>
        <v>10.32585445234189</v>
      </c>
      <c r="BR120" s="21">
        <f>EXP(-LN(2)/2)*BR119+(1-EXP(-LN(2)/2))/(LN(2)/2)*BL120*BO120*VLOOKUP('Données projet'!$B$11,Paramètres!$A$1:$I$89,3,0)*0.475*44/12</f>
        <v>1.5907596798666042E-8</v>
      </c>
      <c r="BS120" s="22">
        <f t="shared" si="63"/>
        <v>76.717916611424414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266.99999999999983</v>
      </c>
      <c r="BZ120" s="13">
        <f>BY120*VLOOKUP('Données projet'!$B$12,Paramètres!$A$1:$I$89,3,0)*VLOOKUP('Données projet'!$B$12,Paramètres!$A$1:$I$89,5,0)</f>
        <v>212.42519999999985</v>
      </c>
      <c r="CA120" s="13">
        <f t="shared" si="93"/>
        <v>52.465198231787184</v>
      </c>
      <c r="CB120" s="20">
        <f t="shared" si="64"/>
        <v>461.35077692036231</v>
      </c>
      <c r="CC120" s="59">
        <f t="shared" si="65"/>
        <v>754.68411025369562</v>
      </c>
      <c r="CD120" s="59">
        <f ca="1">AVERAGE(OFFSET($CC$3,0,0,'Données projet'!$E$12+1,1))-AVERAGE(OFFSET($H$3,0,0,'Données projet'!$E$12+1,1))</f>
        <v>225.2323446080772</v>
      </c>
      <c r="CE120" s="59">
        <f t="shared" si="94"/>
        <v>222.29030402759292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13.836616316492712</v>
      </c>
      <c r="CL120" s="21">
        <f>EXP(-LN(2)/25)*CL119+(1-EXP(-LN(2)/25))/(LN(2)/25)*Calculateur!CG120*Calculateur!CI120*VLOOKUP('Données projet'!$B$12,Paramètres!$A$1:$I$89,3,0)*0.475*44/12</f>
        <v>2.9858247130984878</v>
      </c>
      <c r="CM120" s="21">
        <f>EXP(-LN(2)/2)*CM119+(1-EXP(-LN(2)/2))/(LN(2)/2)*CG120*CJ120*VLOOKUP('Données projet'!$B$12,Paramètres!$A$1:$I$89,3,0)*0.475*44/12</f>
        <v>0</v>
      </c>
      <c r="CN120" s="22">
        <f t="shared" si="66"/>
        <v>16.8224410295912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5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56.758000000000138</v>
      </c>
      <c r="D121" s="11">
        <f t="shared" si="86"/>
        <v>16.345958651876956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564.31125976887586</v>
      </c>
      <c r="H121" s="67">
        <f t="shared" si="56"/>
        <v>420.65606131868589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4.5474735088646412E-13</v>
      </c>
      <c r="O121" s="13">
        <f>N121*VLOOKUP('Données projet'!$B$9,Paramètres!$A$1:$I$89,3,0)*VLOOKUP('Données projet'!$B$9,Paramètres!$A$1:$I$89,5,0)</f>
        <v>2.1873347577638923E-13</v>
      </c>
      <c r="P121" s="13">
        <f t="shared" si="87"/>
        <v>2.999861355695181E-12</v>
      </c>
      <c r="Q121" s="20">
        <f t="shared" si="107"/>
        <v>5.6057193314796512E-12</v>
      </c>
      <c r="R121" s="59">
        <f t="shared" si="55"/>
        <v>293.33333333333894</v>
      </c>
      <c r="S121" s="59">
        <f ca="1">AVERAGE(OFFSET($R$3,0,0,'Données projet'!$E$9+1,1))-AVERAGE(OFFSET($H$3,0,0,'Données projet'!$E$9+1,1))</f>
        <v>234.10156575337737</v>
      </c>
      <c r="T121" s="59">
        <f t="shared" si="88"/>
        <v>285.68635263076646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79.761002062901298</v>
      </c>
      <c r="AA121" s="21">
        <f>EXP(-LN(2)/25)*AA120+(1-EXP(-LN(2)/25))/(LN(2)/25)*Calculateur!V121*Calculateur!X121*VLOOKUP('Données projet'!$B$9,Paramètres!$A$1:$I$89,3,0)*0.475*44/12</f>
        <v>32.507078394095082</v>
      </c>
      <c r="AB121" s="21">
        <f>EXP(-LN(2)/2)*AB120+(1-EXP(-LN(2)/2))/(LN(2)/2)*V121*Y121*VLOOKUP('Données projet'!$B$9,Paramètres!$A$1:$I$89,3,0)*0.475*44/12</f>
        <v>2.4674028868092786E-12</v>
      </c>
      <c r="AC121" s="22">
        <f t="shared" si="57"/>
        <v>112.26808045699886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0</v>
      </c>
      <c r="AJ121" s="13">
        <f>AI121*VLOOKUP('Données projet'!$B$10,Paramètres!$A$1:$I$89,3,0)*VLOOKUP('Données projet'!$B$10,Paramètres!$A$1:$I$89,5,0)</f>
        <v>0</v>
      </c>
      <c r="AK121" s="13" t="e">
        <f t="shared" si="89"/>
        <v>#NUM!</v>
      </c>
      <c r="AL121" s="20" t="e">
        <f t="shared" si="58"/>
        <v>#NUM!</v>
      </c>
      <c r="AM121" s="59" t="e">
        <f t="shared" si="59"/>
        <v>#NUM!</v>
      </c>
      <c r="AN121" s="59">
        <f ca="1">AVERAGE(OFFSET($AM$3,0,0,'Données projet'!$E$10+1,1))-AVERAGE(OFFSET($H$3,0,0,'Données projet'!$E$10+1,1))</f>
        <v>179.44051550872138</v>
      </c>
      <c r="AO121" s="59">
        <f t="shared" si="90"/>
        <v>272.9500808380069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26.414530417986601</v>
      </c>
      <c r="AV121" s="21">
        <f>EXP(-LN(2)/25)*AV120+(1-EXP(-LN(2)/25))/(LN(2)/25)*Calculateur!AQ121*Calculateur!AS121*VLOOKUP('Données projet'!$B$10,Paramètres!$A$1:$I$89,3,0)*0.475*44/12</f>
        <v>28.961444283981951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55.375974701968552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-1.1368683772161603E-13</v>
      </c>
      <c r="BE121" s="13">
        <f>BD121*VLOOKUP('Données projet'!$B$11,Paramètres!$A$1:$I$89,3,0)*VLOOKUP('Données projet'!$B$11,Paramètres!$A$1:$I$89,5,0)</f>
        <v>-6.3550942286383367E-14</v>
      </c>
      <c r="BF121" s="13" t="e">
        <f t="shared" si="91"/>
        <v>#NUM!</v>
      </c>
      <c r="BG121" s="20" t="e">
        <f t="shared" si="61"/>
        <v>#NUM!</v>
      </c>
      <c r="BH121" s="59" t="e">
        <f t="shared" si="62"/>
        <v>#NUM!</v>
      </c>
      <c r="BI121" s="59">
        <f ca="1">AVERAGE(OFFSET($BH$3,0,0,'Données projet'!$E$11+1,1))-AVERAGE(OFFSET($H$3,0,0,'Données projet'!$E$11+1,1))</f>
        <v>278.5296012747549</v>
      </c>
      <c r="BJ121" s="59">
        <f t="shared" si="92"/>
        <v>370.55343097937077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65.090154299706612</v>
      </c>
      <c r="BQ121" s="21">
        <f>EXP(-LN(2)/25)*BQ120+(1-EXP(-LN(2)/25))/(LN(2)/25)*Calculateur!BL121*Calculateur!BN121*VLOOKUP('Données projet'!$B$11,Paramètres!$A$1:$I$89,3,0)*0.475*44/12</f>
        <v>10.043493419329515</v>
      </c>
      <c r="BR121" s="21">
        <f>EXP(-LN(2)/2)*BR120+(1-EXP(-LN(2)/2))/(LN(2)/2)*BL121*BO121*VLOOKUP('Données projet'!$B$11,Paramètres!$A$1:$I$89,3,0)*0.475*44/12</f>
        <v>1.1248369568718173E-8</v>
      </c>
      <c r="BS121" s="22">
        <f t="shared" si="63"/>
        <v>75.133647730284508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266.99999999999983</v>
      </c>
      <c r="BZ121" s="13">
        <f>BY121*VLOOKUP('Données projet'!$B$12,Paramètres!$A$1:$I$89,3,0)*VLOOKUP('Données projet'!$B$12,Paramètres!$A$1:$I$89,5,0)</f>
        <v>212.42519999999985</v>
      </c>
      <c r="CA121" s="13">
        <f t="shared" si="93"/>
        <v>52.465198231787184</v>
      </c>
      <c r="CB121" s="20">
        <f t="shared" si="64"/>
        <v>461.35077692036231</v>
      </c>
      <c r="CC121" s="59">
        <f t="shared" si="65"/>
        <v>754.68411025369562</v>
      </c>
      <c r="CD121" s="59">
        <f ca="1">AVERAGE(OFFSET($CC$3,0,0,'Données projet'!$E$12+1,1))-AVERAGE(OFFSET($H$3,0,0,'Données projet'!$E$12+1,1))</f>
        <v>225.2323446080772</v>
      </c>
      <c r="CE121" s="59">
        <f t="shared" si="94"/>
        <v>222.29030402759292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13.565288710028911</v>
      </c>
      <c r="CL121" s="21">
        <f>EXP(-LN(2)/25)*CL120+(1-EXP(-LN(2)/25))/(LN(2)/25)*Calculateur!CG121*Calculateur!CI121*VLOOKUP('Données projet'!$B$12,Paramètres!$A$1:$I$89,3,0)*0.475*44/12</f>
        <v>2.9041771793011124</v>
      </c>
      <c r="CM121" s="21">
        <f>EXP(-LN(2)/2)*CM120+(1-EXP(-LN(2)/2))/(LN(2)/2)*CG121*CJ121*VLOOKUP('Données projet'!$B$12,Paramètres!$A$1:$I$89,3,0)*0.475*44/12</f>
        <v>0</v>
      </c>
      <c r="CN121" s="22">
        <f t="shared" si="66"/>
        <v>16.469465889330024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5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57.239000000000139</v>
      </c>
      <c r="D122" s="11">
        <f t="shared" si="86"/>
        <v>16.468299225661315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568.9686256015973</v>
      </c>
      <c r="H122" s="67">
        <f t="shared" si="56"/>
        <v>421.70687948469367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4.5474735088646412E-13</v>
      </c>
      <c r="O122" s="13">
        <f>N122*VLOOKUP('Données projet'!$B$9,Paramètres!$A$1:$I$89,3,0)*VLOOKUP('Données projet'!$B$9,Paramètres!$A$1:$I$89,5,0)</f>
        <v>2.1873347577638923E-13</v>
      </c>
      <c r="P122" s="13">
        <f t="shared" si="87"/>
        <v>2.999861355695181E-12</v>
      </c>
      <c r="Q122" s="20">
        <f t="shared" si="107"/>
        <v>5.6057193314796512E-12</v>
      </c>
      <c r="R122" s="59">
        <f t="shared" si="55"/>
        <v>293.33333333333894</v>
      </c>
      <c r="S122" s="59">
        <f ca="1">AVERAGE(OFFSET($R$3,0,0,'Données projet'!$E$9+1,1))-AVERAGE(OFFSET($H$3,0,0,'Données projet'!$E$9+1,1))</f>
        <v>234.10156575337737</v>
      </c>
      <c r="T122" s="59">
        <f t="shared" si="88"/>
        <v>285.68635263076646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78.196937461855327</v>
      </c>
      <c r="AA122" s="21">
        <f>EXP(-LN(2)/25)*AA121+(1-EXP(-LN(2)/25))/(LN(2)/25)*Calculateur!V122*Calculateur!X122*VLOOKUP('Données projet'!$B$9,Paramètres!$A$1:$I$89,3,0)*0.475*44/12</f>
        <v>31.618170625935594</v>
      </c>
      <c r="AB122" s="21">
        <f>EXP(-LN(2)/2)*AB121+(1-EXP(-LN(2)/2))/(LN(2)/2)*V122*Y122*VLOOKUP('Données projet'!$B$9,Paramètres!$A$1:$I$89,3,0)*0.475*44/12</f>
        <v>1.7447173131821042E-12</v>
      </c>
      <c r="AC122" s="22">
        <f t="shared" si="57"/>
        <v>109.81510808779267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0</v>
      </c>
      <c r="AJ122" s="13">
        <f>AI122*VLOOKUP('Données projet'!$B$10,Paramètres!$A$1:$I$89,3,0)*VLOOKUP('Données projet'!$B$10,Paramètres!$A$1:$I$89,5,0)</f>
        <v>0</v>
      </c>
      <c r="AK122" s="13" t="e">
        <f t="shared" si="89"/>
        <v>#NUM!</v>
      </c>
      <c r="AL122" s="20" t="e">
        <f t="shared" si="58"/>
        <v>#NUM!</v>
      </c>
      <c r="AM122" s="59" t="e">
        <f t="shared" si="59"/>
        <v>#NUM!</v>
      </c>
      <c r="AN122" s="59">
        <f ca="1">AVERAGE(OFFSET($AM$3,0,0,'Données projet'!$E$10+1,1))-AVERAGE(OFFSET($H$3,0,0,'Données projet'!$E$10+1,1))</f>
        <v>179.44051550872138</v>
      </c>
      <c r="AO122" s="59">
        <f t="shared" si="90"/>
        <v>272.9500808380069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25.896557587762583</v>
      </c>
      <c r="AV122" s="21">
        <f>EXP(-LN(2)/25)*AV121+(1-EXP(-LN(2)/25))/(LN(2)/25)*Calculateur!AQ122*Calculateur!AS122*VLOOKUP('Données projet'!$B$10,Paramètres!$A$1:$I$89,3,0)*0.475*44/12</f>
        <v>28.1694920670203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54.066049654782887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-1.1368683772161603E-13</v>
      </c>
      <c r="BE122" s="13">
        <f>BD122*VLOOKUP('Données projet'!$B$11,Paramètres!$A$1:$I$89,3,0)*VLOOKUP('Données projet'!$B$11,Paramètres!$A$1:$I$89,5,0)</f>
        <v>-6.3550942286383367E-14</v>
      </c>
      <c r="BF122" s="13" t="e">
        <f t="shared" si="91"/>
        <v>#NUM!</v>
      </c>
      <c r="BG122" s="20" t="e">
        <f t="shared" si="61"/>
        <v>#NUM!</v>
      </c>
      <c r="BH122" s="59" t="e">
        <f t="shared" si="62"/>
        <v>#NUM!</v>
      </c>
      <c r="BI122" s="59">
        <f ca="1">AVERAGE(OFFSET($BH$3,0,0,'Données projet'!$E$11+1,1))-AVERAGE(OFFSET($H$3,0,0,'Données projet'!$E$11+1,1))</f>
        <v>278.5296012747549</v>
      </c>
      <c r="BJ122" s="59">
        <f t="shared" si="92"/>
        <v>370.55343097937077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63.813776074963336</v>
      </c>
      <c r="BQ122" s="21">
        <f>EXP(-LN(2)/25)*BQ121+(1-EXP(-LN(2)/25))/(LN(2)/25)*Calculateur!BL122*Calculateur!BN122*VLOOKUP('Données projet'!$B$11,Paramètres!$A$1:$I$89,3,0)*0.475*44/12</f>
        <v>9.7688535636135843</v>
      </c>
      <c r="BR122" s="21">
        <f>EXP(-LN(2)/2)*BR121+(1-EXP(-LN(2)/2))/(LN(2)/2)*BL122*BO122*VLOOKUP('Données projet'!$B$11,Paramètres!$A$1:$I$89,3,0)*0.475*44/12</f>
        <v>7.953798399333021E-9</v>
      </c>
      <c r="BS122" s="22">
        <f t="shared" si="63"/>
        <v>73.582629646530719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266.99999999999983</v>
      </c>
      <c r="BZ122" s="13">
        <f>BY122*VLOOKUP('Données projet'!$B$12,Paramètres!$A$1:$I$89,3,0)*VLOOKUP('Données projet'!$B$12,Paramètres!$A$1:$I$89,5,0)</f>
        <v>212.42519999999985</v>
      </c>
      <c r="CA122" s="13">
        <f t="shared" si="93"/>
        <v>52.465198231787184</v>
      </c>
      <c r="CB122" s="20">
        <f t="shared" si="64"/>
        <v>461.35077692036231</v>
      </c>
      <c r="CC122" s="59">
        <f t="shared" si="65"/>
        <v>754.68411025369562</v>
      </c>
      <c r="CD122" s="59">
        <f ca="1">AVERAGE(OFFSET($CC$3,0,0,'Données projet'!$E$12+1,1))-AVERAGE(OFFSET($H$3,0,0,'Données projet'!$E$12+1,1))</f>
        <v>225.2323446080772</v>
      </c>
      <c r="CE122" s="59">
        <f t="shared" si="94"/>
        <v>222.29030402759292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13.299281672434367</v>
      </c>
      <c r="CL122" s="21">
        <f>EXP(-LN(2)/25)*CL121+(1-EXP(-LN(2)/25))/(LN(2)/25)*Calculateur!CG122*Calculateur!CI122*VLOOKUP('Données projet'!$B$12,Paramètres!$A$1:$I$89,3,0)*0.475*44/12</f>
        <v>2.8247623016090833</v>
      </c>
      <c r="CM122" s="21">
        <f>EXP(-LN(2)/2)*CM121+(1-EXP(-LN(2)/2))/(LN(2)/2)*CG122*CJ122*VLOOKUP('Données projet'!$B$12,Paramètres!$A$1:$I$89,3,0)*0.475*44/12</f>
        <v>0</v>
      </c>
      <c r="CN122" s="22">
        <f t="shared" si="66"/>
        <v>16.124043974043449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5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57.720000000000141</v>
      </c>
      <c r="D123" s="11">
        <f t="shared" si="86"/>
        <v>16.590520188877683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573.62506812467097</v>
      </c>
      <c r="H123" s="67">
        <f t="shared" si="56"/>
        <v>422.75748932896221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4.5474735088646412E-13</v>
      </c>
      <c r="O123" s="13">
        <f>N123*VLOOKUP('Données projet'!$B$9,Paramètres!$A$1:$I$89,3,0)*VLOOKUP('Données projet'!$B$9,Paramètres!$A$1:$I$89,5,0)</f>
        <v>2.1873347577638923E-13</v>
      </c>
      <c r="P123" s="13">
        <f t="shared" si="87"/>
        <v>2.999861355695181E-12</v>
      </c>
      <c r="Q123" s="20">
        <f t="shared" si="107"/>
        <v>5.6057193314796512E-12</v>
      </c>
      <c r="R123" s="59">
        <f t="shared" si="55"/>
        <v>293.33333333333894</v>
      </c>
      <c r="S123" s="59">
        <f ca="1">AVERAGE(OFFSET($R$3,0,0,'Données projet'!$E$9+1,1))-AVERAGE(OFFSET($H$3,0,0,'Données projet'!$E$9+1,1))</f>
        <v>234.10156575337737</v>
      </c>
      <c r="T123" s="59">
        <f t="shared" si="88"/>
        <v>285.68635263076646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76.663543213650669</v>
      </c>
      <c r="AA123" s="21">
        <f>EXP(-LN(2)/25)*AA122+(1-EXP(-LN(2)/25))/(LN(2)/25)*Calculateur!V123*Calculateur!X123*VLOOKUP('Données projet'!$B$9,Paramètres!$A$1:$I$89,3,0)*0.475*44/12</f>
        <v>30.753570087442057</v>
      </c>
      <c r="AB123" s="21">
        <f>EXP(-LN(2)/2)*AB122+(1-EXP(-LN(2)/2))/(LN(2)/2)*V123*Y123*VLOOKUP('Données projet'!$B$9,Paramètres!$A$1:$I$89,3,0)*0.475*44/12</f>
        <v>1.2337014434046393E-12</v>
      </c>
      <c r="AC123" s="22">
        <f t="shared" si="57"/>
        <v>107.41711330109396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0</v>
      </c>
      <c r="AJ123" s="13">
        <f>AI123*VLOOKUP('Données projet'!$B$10,Paramètres!$A$1:$I$89,3,0)*VLOOKUP('Données projet'!$B$10,Paramètres!$A$1:$I$89,5,0)</f>
        <v>0</v>
      </c>
      <c r="AK123" s="13" t="e">
        <f t="shared" si="89"/>
        <v>#NUM!</v>
      </c>
      <c r="AL123" s="20" t="e">
        <f t="shared" si="58"/>
        <v>#NUM!</v>
      </c>
      <c r="AM123" s="59" t="e">
        <f t="shared" si="59"/>
        <v>#NUM!</v>
      </c>
      <c r="AN123" s="59">
        <f ca="1">AVERAGE(OFFSET($AM$3,0,0,'Données projet'!$E$10+1,1))-AVERAGE(OFFSET($H$3,0,0,'Données projet'!$E$10+1,1))</f>
        <v>179.44051550872138</v>
      </c>
      <c r="AO123" s="59">
        <f t="shared" si="90"/>
        <v>272.9500808380069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25.388741888807026</v>
      </c>
      <c r="AV123" s="21">
        <f>EXP(-LN(2)/25)*AV122+(1-EXP(-LN(2)/25))/(LN(2)/25)*Calculateur!AQ123*Calculateur!AS123*VLOOKUP('Données projet'!$B$10,Paramètres!$A$1:$I$89,3,0)*0.475*44/12</f>
        <v>27.399195825078426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52.787937713885455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-1.1368683772161603E-13</v>
      </c>
      <c r="BE123" s="13">
        <f>BD123*VLOOKUP('Données projet'!$B$11,Paramètres!$A$1:$I$89,3,0)*VLOOKUP('Données projet'!$B$11,Paramètres!$A$1:$I$89,5,0)</f>
        <v>-6.3550942286383367E-14</v>
      </c>
      <c r="BF123" s="13" t="e">
        <f t="shared" si="91"/>
        <v>#NUM!</v>
      </c>
      <c r="BG123" s="20" t="e">
        <f t="shared" si="61"/>
        <v>#NUM!</v>
      </c>
      <c r="BH123" s="59" t="e">
        <f t="shared" si="62"/>
        <v>#NUM!</v>
      </c>
      <c r="BI123" s="59">
        <f ca="1">AVERAGE(OFFSET($BH$3,0,0,'Données projet'!$E$11+1,1))-AVERAGE(OFFSET($H$3,0,0,'Données projet'!$E$11+1,1))</f>
        <v>278.5296012747549</v>
      </c>
      <c r="BJ123" s="59">
        <f t="shared" si="92"/>
        <v>370.55343097937077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62.562426848693427</v>
      </c>
      <c r="BQ123" s="21">
        <f>EXP(-LN(2)/25)*BQ122+(1-EXP(-LN(2)/25))/(LN(2)/25)*Calculateur!BL123*Calculateur!BN123*VLOOKUP('Données projet'!$B$11,Paramètres!$A$1:$I$89,3,0)*0.475*44/12</f>
        <v>9.5017237491948894</v>
      </c>
      <c r="BR123" s="21">
        <f>EXP(-LN(2)/2)*BR122+(1-EXP(-LN(2)/2))/(LN(2)/2)*BL123*BO123*VLOOKUP('Données projet'!$B$11,Paramètres!$A$1:$I$89,3,0)*0.475*44/12</f>
        <v>5.6241847843590864E-9</v>
      </c>
      <c r="BS123" s="22">
        <f t="shared" si="63"/>
        <v>72.064150603512502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266.99999999999983</v>
      </c>
      <c r="BZ123" s="13">
        <f>BY123*VLOOKUP('Données projet'!$B$12,Paramètres!$A$1:$I$89,3,0)*VLOOKUP('Données projet'!$B$12,Paramètres!$A$1:$I$89,5,0)</f>
        <v>212.42519999999985</v>
      </c>
      <c r="CA123" s="13">
        <f t="shared" si="93"/>
        <v>52.465198231787184</v>
      </c>
      <c r="CB123" s="20">
        <f t="shared" si="64"/>
        <v>461.35077692036231</v>
      </c>
      <c r="CC123" s="59">
        <f t="shared" si="65"/>
        <v>754.68411025369562</v>
      </c>
      <c r="CD123" s="59">
        <f ca="1">AVERAGE(OFFSET($CC$3,0,0,'Données projet'!$E$12+1,1))-AVERAGE(OFFSET($H$3,0,0,'Données projet'!$E$12+1,1))</f>
        <v>225.2323446080772</v>
      </c>
      <c r="CE123" s="59">
        <f t="shared" si="94"/>
        <v>222.29030402759292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13.038490870598778</v>
      </c>
      <c r="CL123" s="21">
        <f>EXP(-LN(2)/25)*CL122+(1-EXP(-LN(2)/25))/(LN(2)/25)*Calculateur!CG123*Calculateur!CI123*VLOOKUP('Données projet'!$B$12,Paramètres!$A$1:$I$89,3,0)*0.475*44/12</f>
        <v>2.7475190279237895</v>
      </c>
      <c r="CM123" s="21">
        <f>EXP(-LN(2)/2)*CM122+(1-EXP(-LN(2)/2))/(LN(2)/2)*CG123*CJ123*VLOOKUP('Données projet'!$B$12,Paramètres!$A$1:$I$89,3,0)*0.475*44/12</f>
        <v>0</v>
      </c>
      <c r="CN123" s="22">
        <f t="shared" si="66"/>
        <v>15.786009898522568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5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58.201000000000143</v>
      </c>
      <c r="D124" s="11">
        <f t="shared" si="86"/>
        <v>16.712622653789325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578.28059592398893</v>
      </c>
      <c r="H124" s="67">
        <f t="shared" si="56"/>
        <v>423.80789278868326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4.5474735088646412E-13</v>
      </c>
      <c r="O124" s="13">
        <f>N124*VLOOKUP('Données projet'!$B$9,Paramètres!$A$1:$I$89,3,0)*VLOOKUP('Données projet'!$B$9,Paramètres!$A$1:$I$89,5,0)</f>
        <v>2.1873347577638923E-13</v>
      </c>
      <c r="P124" s="13">
        <f t="shared" si="87"/>
        <v>2.999861355695181E-12</v>
      </c>
      <c r="Q124" s="20">
        <f t="shared" si="107"/>
        <v>5.6057193314796512E-12</v>
      </c>
      <c r="R124" s="59">
        <f t="shared" si="55"/>
        <v>293.33333333333894</v>
      </c>
      <c r="S124" s="59">
        <f ca="1">AVERAGE(OFFSET($R$3,0,0,'Données projet'!$E$9+1,1))-AVERAGE(OFFSET($H$3,0,0,'Données projet'!$E$9+1,1))</f>
        <v>234.10156575337737</v>
      </c>
      <c r="T124" s="59">
        <f t="shared" si="88"/>
        <v>285.68635263076646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75.160217891375154</v>
      </c>
      <c r="AA124" s="21">
        <f>EXP(-LN(2)/25)*AA123+(1-EXP(-LN(2)/25))/(LN(2)/25)*Calculateur!V124*Calculateur!X124*VLOOKUP('Données projet'!$B$9,Paramètres!$A$1:$I$89,3,0)*0.475*44/12</f>
        <v>29.91261209614099</v>
      </c>
      <c r="AB124" s="21">
        <f>EXP(-LN(2)/2)*AB123+(1-EXP(-LN(2)/2))/(LN(2)/2)*V124*Y124*VLOOKUP('Données projet'!$B$9,Paramètres!$A$1:$I$89,3,0)*0.475*44/12</f>
        <v>8.7235865659105212E-13</v>
      </c>
      <c r="AC124" s="22">
        <f t="shared" si="57"/>
        <v>105.07282998751701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0</v>
      </c>
      <c r="AJ124" s="13">
        <f>AI124*VLOOKUP('Données projet'!$B$10,Paramètres!$A$1:$I$89,3,0)*VLOOKUP('Données projet'!$B$10,Paramètres!$A$1:$I$89,5,0)</f>
        <v>0</v>
      </c>
      <c r="AK124" s="13" t="e">
        <f t="shared" si="89"/>
        <v>#NUM!</v>
      </c>
      <c r="AL124" s="20" t="e">
        <f t="shared" si="58"/>
        <v>#NUM!</v>
      </c>
      <c r="AM124" s="59" t="e">
        <f t="shared" si="59"/>
        <v>#NUM!</v>
      </c>
      <c r="AN124" s="59">
        <f ca="1">AVERAGE(OFFSET($AM$3,0,0,'Données projet'!$E$10+1,1))-AVERAGE(OFFSET($H$3,0,0,'Données projet'!$E$10+1,1))</f>
        <v>179.44051550872138</v>
      </c>
      <c r="AO124" s="59">
        <f t="shared" si="90"/>
        <v>272.9500808380069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24.890884145970997</v>
      </c>
      <c r="AV124" s="21">
        <f>EXP(-LN(2)/25)*AV123+(1-EXP(-LN(2)/25))/(LN(2)/25)*Calculateur!AQ124*Calculateur!AS124*VLOOKUP('Données projet'!$B$10,Paramètres!$A$1:$I$89,3,0)*0.475*44/12</f>
        <v>26.649963374380569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51.540847520351562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-1.1368683772161603E-13</v>
      </c>
      <c r="BE124" s="13">
        <f>BD124*VLOOKUP('Données projet'!$B$11,Paramètres!$A$1:$I$89,3,0)*VLOOKUP('Données projet'!$B$11,Paramètres!$A$1:$I$89,5,0)</f>
        <v>-6.3550942286383367E-14</v>
      </c>
      <c r="BF124" s="13" t="e">
        <f t="shared" si="91"/>
        <v>#NUM!</v>
      </c>
      <c r="BG124" s="20" t="e">
        <f t="shared" si="61"/>
        <v>#NUM!</v>
      </c>
      <c r="BH124" s="59" t="e">
        <f t="shared" si="62"/>
        <v>#NUM!</v>
      </c>
      <c r="BI124" s="59">
        <f ca="1">AVERAGE(OFFSET($BH$3,0,0,'Données projet'!$E$11+1,1))-AVERAGE(OFFSET($H$3,0,0,'Données projet'!$E$11+1,1))</f>
        <v>278.5296012747549</v>
      </c>
      <c r="BJ124" s="59">
        <f t="shared" si="92"/>
        <v>370.55343097937077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61.335615817503005</v>
      </c>
      <c r="BQ124" s="21">
        <f>EXP(-LN(2)/25)*BQ123+(1-EXP(-LN(2)/25))/(LN(2)/25)*Calculateur!BL124*Calculateur!BN124*VLOOKUP('Données projet'!$B$11,Paramètres!$A$1:$I$89,3,0)*0.475*44/12</f>
        <v>9.2418986135992203</v>
      </c>
      <c r="BR124" s="21">
        <f>EXP(-LN(2)/2)*BR123+(1-EXP(-LN(2)/2))/(LN(2)/2)*BL124*BO124*VLOOKUP('Données projet'!$B$11,Paramètres!$A$1:$I$89,3,0)*0.475*44/12</f>
        <v>3.9768991996665105E-9</v>
      </c>
      <c r="BS124" s="22">
        <f t="shared" si="63"/>
        <v>70.577514435079124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266.99999999999983</v>
      </c>
      <c r="BZ124" s="13">
        <f>BY124*VLOOKUP('Données projet'!$B$12,Paramètres!$A$1:$I$89,3,0)*VLOOKUP('Données projet'!$B$12,Paramètres!$A$1:$I$89,5,0)</f>
        <v>212.42519999999985</v>
      </c>
      <c r="CA124" s="13">
        <f t="shared" si="93"/>
        <v>52.465198231787184</v>
      </c>
      <c r="CB124" s="20">
        <f t="shared" si="64"/>
        <v>461.35077692036231</v>
      </c>
      <c r="CC124" s="59">
        <f t="shared" si="65"/>
        <v>754.68411025369562</v>
      </c>
      <c r="CD124" s="59">
        <f ca="1">AVERAGE(OFFSET($CC$3,0,0,'Données projet'!$E$12+1,1))-AVERAGE(OFFSET($H$3,0,0,'Données projet'!$E$12+1,1))</f>
        <v>225.2323446080772</v>
      </c>
      <c r="CE124" s="59">
        <f t="shared" si="94"/>
        <v>222.29030402759292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12.782814017320504</v>
      </c>
      <c r="CL124" s="21">
        <f>EXP(-LN(2)/25)*CL123+(1-EXP(-LN(2)/25))/(LN(2)/25)*Calculateur!CG124*Calculateur!CI124*VLOOKUP('Données projet'!$B$12,Paramètres!$A$1:$I$89,3,0)*0.475*44/12</f>
        <v>2.6723879756194675</v>
      </c>
      <c r="CM124" s="21">
        <f>EXP(-LN(2)/2)*CM123+(1-EXP(-LN(2)/2))/(LN(2)/2)*CG124*CJ124*VLOOKUP('Données projet'!$B$12,Paramètres!$A$1:$I$89,3,0)*0.475*44/12</f>
        <v>0</v>
      </c>
      <c r="CN124" s="22">
        <f t="shared" si="66"/>
        <v>15.455201992939973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5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58.682000000000144</v>
      </c>
      <c r="D125" s="11">
        <f t="shared" si="86"/>
        <v>16.834607713213771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582.93521743533552</v>
      </c>
      <c r="H125" s="67">
        <f t="shared" si="56"/>
        <v>424.85809176718089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4.5474735088646412E-13</v>
      </c>
      <c r="O125" s="13">
        <f>N125*VLOOKUP('Données projet'!$B$9,Paramètres!$A$1:$I$89,3,0)*VLOOKUP('Données projet'!$B$9,Paramètres!$A$1:$I$89,5,0)</f>
        <v>2.1873347577638923E-13</v>
      </c>
      <c r="P125" s="13">
        <f t="shared" si="87"/>
        <v>2.999861355695181E-12</v>
      </c>
      <c r="Q125" s="20">
        <f t="shared" si="107"/>
        <v>5.6057193314796512E-12</v>
      </c>
      <c r="R125" s="59">
        <f t="shared" si="55"/>
        <v>293.33333333333894</v>
      </c>
      <c r="S125" s="59">
        <f ca="1">AVERAGE(OFFSET($R$3,0,0,'Données projet'!$E$9+1,1))-AVERAGE(OFFSET($H$3,0,0,'Données projet'!$E$9+1,1))</f>
        <v>234.10156575337737</v>
      </c>
      <c r="T125" s="59">
        <f t="shared" si="88"/>
        <v>285.68635263076646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73.686371861731558</v>
      </c>
      <c r="AA125" s="21">
        <f>EXP(-LN(2)/25)*AA124+(1-EXP(-LN(2)/25))/(LN(2)/25)*Calculateur!V125*Calculateur!X125*VLOOKUP('Données projet'!$B$9,Paramètres!$A$1:$I$89,3,0)*0.475*44/12</f>
        <v>29.094650145336111</v>
      </c>
      <c r="AB125" s="21">
        <f>EXP(-LN(2)/2)*AB124+(1-EXP(-LN(2)/2))/(LN(2)/2)*V125*Y125*VLOOKUP('Données projet'!$B$9,Paramètres!$A$1:$I$89,3,0)*0.475*44/12</f>
        <v>6.1685072170231964E-13</v>
      </c>
      <c r="AC125" s="22">
        <f t="shared" si="57"/>
        <v>102.78102200706827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0</v>
      </c>
      <c r="AJ125" s="13">
        <f>AI125*VLOOKUP('Données projet'!$B$10,Paramètres!$A$1:$I$89,3,0)*VLOOKUP('Données projet'!$B$10,Paramètres!$A$1:$I$89,5,0)</f>
        <v>0</v>
      </c>
      <c r="AK125" s="13" t="e">
        <f t="shared" si="89"/>
        <v>#NUM!</v>
      </c>
      <c r="AL125" s="20" t="e">
        <f t="shared" si="58"/>
        <v>#NUM!</v>
      </c>
      <c r="AM125" s="59" t="e">
        <f t="shared" si="59"/>
        <v>#NUM!</v>
      </c>
      <c r="AN125" s="59">
        <f ca="1">AVERAGE(OFFSET($AM$3,0,0,'Données projet'!$E$10+1,1))-AVERAGE(OFFSET($H$3,0,0,'Données projet'!$E$10+1,1))</f>
        <v>179.44051550872138</v>
      </c>
      <c r="AO125" s="59">
        <f t="shared" si="90"/>
        <v>272.9500808380069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24.402789089808742</v>
      </c>
      <c r="AV125" s="21">
        <f>EXP(-LN(2)/25)*AV124+(1-EXP(-LN(2)/25))/(LN(2)/25)*Calculateur!AQ125*Calculateur!AS125*VLOOKUP('Données projet'!$B$10,Paramètres!$A$1:$I$89,3,0)*0.475*44/12</f>
        <v>25.921218724447467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50.324007814256206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-1.1368683772161603E-13</v>
      </c>
      <c r="BE125" s="13">
        <f>BD125*VLOOKUP('Données projet'!$B$11,Paramètres!$A$1:$I$89,3,0)*VLOOKUP('Données projet'!$B$11,Paramètres!$A$1:$I$89,5,0)</f>
        <v>-6.3550942286383367E-14</v>
      </c>
      <c r="BF125" s="13" t="e">
        <f t="shared" si="91"/>
        <v>#NUM!</v>
      </c>
      <c r="BG125" s="20" t="e">
        <f t="shared" si="61"/>
        <v>#NUM!</v>
      </c>
      <c r="BH125" s="59" t="e">
        <f t="shared" si="62"/>
        <v>#NUM!</v>
      </c>
      <c r="BI125" s="59">
        <f ca="1">AVERAGE(OFFSET($BH$3,0,0,'Données projet'!$E$11+1,1))-AVERAGE(OFFSET($H$3,0,0,'Données projet'!$E$11+1,1))</f>
        <v>278.5296012747549</v>
      </c>
      <c r="BJ125" s="59">
        <f t="shared" si="92"/>
        <v>370.55343097937077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60.132861802353389</v>
      </c>
      <c r="BQ125" s="21">
        <f>EXP(-LN(2)/25)*BQ124+(1-EXP(-LN(2)/25))/(LN(2)/25)*Calculateur!BL125*Calculateur!BN125*VLOOKUP('Données projet'!$B$11,Paramètres!$A$1:$I$89,3,0)*0.475*44/12</f>
        <v>8.989178410000024</v>
      </c>
      <c r="BR125" s="21">
        <f>EXP(-LN(2)/2)*BR124+(1-EXP(-LN(2)/2))/(LN(2)/2)*BL125*BO125*VLOOKUP('Données projet'!$B$11,Paramètres!$A$1:$I$89,3,0)*0.475*44/12</f>
        <v>2.8120923921795432E-9</v>
      </c>
      <c r="BS125" s="22">
        <f t="shared" si="63"/>
        <v>69.122040215165498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266.99999999999983</v>
      </c>
      <c r="BZ125" s="13">
        <f>BY125*VLOOKUP('Données projet'!$B$12,Paramètres!$A$1:$I$89,3,0)*VLOOKUP('Données projet'!$B$12,Paramètres!$A$1:$I$89,5,0)</f>
        <v>212.42519999999985</v>
      </c>
      <c r="CA125" s="13">
        <f t="shared" si="93"/>
        <v>52.465198231787184</v>
      </c>
      <c r="CB125" s="20">
        <f t="shared" si="64"/>
        <v>461.35077692036231</v>
      </c>
      <c r="CC125" s="59">
        <f t="shared" si="65"/>
        <v>754.68411025369562</v>
      </c>
      <c r="CD125" s="59">
        <f ca="1">AVERAGE(OFFSET($CC$3,0,0,'Données projet'!$E$12+1,1))-AVERAGE(OFFSET($H$3,0,0,'Données projet'!$E$12+1,1))</f>
        <v>225.2323446080772</v>
      </c>
      <c r="CE125" s="59">
        <f t="shared" si="94"/>
        <v>222.29030402759292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12.532150831187534</v>
      </c>
      <c r="CL125" s="21">
        <f>EXP(-LN(2)/25)*CL124+(1-EXP(-LN(2)/25))/(LN(2)/25)*Calculateur!CG125*Calculateur!CI125*VLOOKUP('Données projet'!$B$12,Paramètres!$A$1:$I$89,3,0)*0.475*44/12</f>
        <v>2.5993113858913772</v>
      </c>
      <c r="CM125" s="21">
        <f>EXP(-LN(2)/2)*CM124+(1-EXP(-LN(2)/2))/(LN(2)/2)*CG125*CJ125*VLOOKUP('Données projet'!$B$12,Paramètres!$A$1:$I$89,3,0)*0.475*44/12</f>
        <v>0</v>
      </c>
      <c r="CN125" s="22">
        <f t="shared" si="66"/>
        <v>15.131462217078912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5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59.163000000000146</v>
      </c>
      <c r="D126" s="11">
        <f t="shared" si="86"/>
        <v>16.956476441019255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587.58894094821994</v>
      </c>
      <c r="H126" s="67">
        <f t="shared" si="56"/>
        <v>425.90808813477543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4.5474735088646412E-13</v>
      </c>
      <c r="O126" s="13">
        <f>N126*VLOOKUP('Données projet'!$B$9,Paramètres!$A$1:$I$89,3,0)*VLOOKUP('Données projet'!$B$9,Paramètres!$A$1:$I$89,5,0)</f>
        <v>2.1873347577638923E-13</v>
      </c>
      <c r="P126" s="13">
        <f t="shared" si="87"/>
        <v>2.999861355695181E-12</v>
      </c>
      <c r="Q126" s="20">
        <f t="shared" si="107"/>
        <v>5.6057193314796512E-12</v>
      </c>
      <c r="R126" s="59">
        <f t="shared" si="55"/>
        <v>293.33333333333894</v>
      </c>
      <c r="S126" s="59">
        <f ca="1">AVERAGE(OFFSET($R$3,0,0,'Données projet'!$E$9+1,1))-AVERAGE(OFFSET($H$3,0,0,'Données projet'!$E$9+1,1))</f>
        <v>234.10156575337737</v>
      </c>
      <c r="T126" s="59">
        <f t="shared" si="88"/>
        <v>285.68635263076646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72.241427053771957</v>
      </c>
      <c r="AA126" s="21">
        <f>EXP(-LN(2)/25)*AA125+(1-EXP(-LN(2)/25))/(LN(2)/25)*Calculateur!V126*Calculateur!X126*VLOOKUP('Données projet'!$B$9,Paramètres!$A$1:$I$89,3,0)*0.475*44/12</f>
        <v>28.299055407090741</v>
      </c>
      <c r="AB126" s="21">
        <f>EXP(-LN(2)/2)*AB125+(1-EXP(-LN(2)/2))/(LN(2)/2)*V126*Y126*VLOOKUP('Données projet'!$B$9,Paramètres!$A$1:$I$89,3,0)*0.475*44/12</f>
        <v>4.3617932829552606E-13</v>
      </c>
      <c r="AC126" s="22">
        <f t="shared" si="57"/>
        <v>100.54048246086315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0</v>
      </c>
      <c r="AJ126" s="13">
        <f>AI126*VLOOKUP('Données projet'!$B$10,Paramètres!$A$1:$I$89,3,0)*VLOOKUP('Données projet'!$B$10,Paramètres!$A$1:$I$89,5,0)</f>
        <v>0</v>
      </c>
      <c r="AK126" s="13" t="e">
        <f t="shared" si="89"/>
        <v>#NUM!</v>
      </c>
      <c r="AL126" s="20" t="e">
        <f t="shared" si="58"/>
        <v>#NUM!</v>
      </c>
      <c r="AM126" s="59" t="e">
        <f t="shared" si="59"/>
        <v>#NUM!</v>
      </c>
      <c r="AN126" s="59">
        <f ca="1">AVERAGE(OFFSET($AM$3,0,0,'Données projet'!$E$10+1,1))-AVERAGE(OFFSET($H$3,0,0,'Données projet'!$E$10+1,1))</f>
        <v>179.44051550872138</v>
      </c>
      <c r="AO126" s="59">
        <f t="shared" si="90"/>
        <v>272.9500808380069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23.924265279989243</v>
      </c>
      <c r="AV126" s="21">
        <f>EXP(-LN(2)/25)*AV125+(1-EXP(-LN(2)/25))/(LN(2)/25)*Calculateur!AQ126*Calculateur!AS126*VLOOKUP('Données projet'!$B$10,Paramètres!$A$1:$I$89,3,0)*0.475*44/12</f>
        <v>25.212401635289801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49.136666915279044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-1.1368683772161603E-13</v>
      </c>
      <c r="BE126" s="13">
        <f>BD126*VLOOKUP('Données projet'!$B$11,Paramètres!$A$1:$I$89,3,0)*VLOOKUP('Données projet'!$B$11,Paramètres!$A$1:$I$89,5,0)</f>
        <v>-6.3550942286383367E-14</v>
      </c>
      <c r="BF126" s="13" t="e">
        <f t="shared" si="91"/>
        <v>#NUM!</v>
      </c>
      <c r="BG126" s="20" t="e">
        <f t="shared" si="61"/>
        <v>#NUM!</v>
      </c>
      <c r="BH126" s="59" t="e">
        <f t="shared" si="62"/>
        <v>#NUM!</v>
      </c>
      <c r="BI126" s="59">
        <f ca="1">AVERAGE(OFFSET($BH$3,0,0,'Données projet'!$E$11+1,1))-AVERAGE(OFFSET($H$3,0,0,'Données projet'!$E$11+1,1))</f>
        <v>278.5296012747549</v>
      </c>
      <c r="BJ126" s="59">
        <f t="shared" si="92"/>
        <v>370.55343097937077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58.953693059833341</v>
      </c>
      <c r="BQ126" s="21">
        <f>EXP(-LN(2)/25)*BQ125+(1-EXP(-LN(2)/25))/(LN(2)/25)*Calculateur!BL126*Calculateur!BN126*VLOOKUP('Données projet'!$B$11,Paramètres!$A$1:$I$89,3,0)*0.475*44/12</f>
        <v>8.7433688536582252</v>
      </c>
      <c r="BR126" s="21">
        <f>EXP(-LN(2)/2)*BR125+(1-EXP(-LN(2)/2))/(LN(2)/2)*BL126*BO126*VLOOKUP('Données projet'!$B$11,Paramètres!$A$1:$I$89,3,0)*0.475*44/12</f>
        <v>1.9884495998332552E-9</v>
      </c>
      <c r="BS126" s="22">
        <f t="shared" si="63"/>
        <v>67.69706191548002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266.99999999999983</v>
      </c>
      <c r="BZ126" s="13">
        <f>BY126*VLOOKUP('Données projet'!$B$12,Paramètres!$A$1:$I$89,3,0)*VLOOKUP('Données projet'!$B$12,Paramètres!$A$1:$I$89,5,0)</f>
        <v>212.42519999999985</v>
      </c>
      <c r="CA126" s="13">
        <f t="shared" si="93"/>
        <v>52.465198231787184</v>
      </c>
      <c r="CB126" s="20">
        <f t="shared" si="64"/>
        <v>461.35077692036231</v>
      </c>
      <c r="CC126" s="59">
        <f t="shared" si="65"/>
        <v>754.68411025369562</v>
      </c>
      <c r="CD126" s="59">
        <f ca="1">AVERAGE(OFFSET($CC$3,0,0,'Données projet'!$E$12+1,1))-AVERAGE(OFFSET($H$3,0,0,'Données projet'!$E$12+1,1))</f>
        <v>225.2323446080772</v>
      </c>
      <c r="CE126" s="59">
        <f t="shared" si="94"/>
        <v>222.29030402759292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12.286402997245185</v>
      </c>
      <c r="CL126" s="21">
        <f>EXP(-LN(2)/25)*CL125+(1-EXP(-LN(2)/25))/(LN(2)/25)*Calculateur!CG126*Calculateur!CI126*VLOOKUP('Données projet'!$B$12,Paramètres!$A$1:$I$89,3,0)*0.475*44/12</f>
        <v>2.5282330793523324</v>
      </c>
      <c r="CM126" s="21">
        <f>EXP(-LN(2)/2)*CM125+(1-EXP(-LN(2)/2))/(LN(2)/2)*CG126*CJ126*VLOOKUP('Données projet'!$B$12,Paramètres!$A$1:$I$89,3,0)*0.475*44/12</f>
        <v>0</v>
      </c>
      <c r="CN126" s="22">
        <f t="shared" si="66"/>
        <v>14.814636076597518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5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59.644000000000148</v>
      </c>
      <c r="D127" s="11">
        <f t="shared" si="86"/>
        <v>17.07822989260459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592.24177460958037</v>
      </c>
      <c r="H127" s="67">
        <f t="shared" si="56"/>
        <v>426.95788372961988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4.5474735088646412E-13</v>
      </c>
      <c r="O127" s="13">
        <f>N127*VLOOKUP('Données projet'!$B$9,Paramètres!$A$1:$I$89,3,0)*VLOOKUP('Données projet'!$B$9,Paramètres!$A$1:$I$89,5,0)</f>
        <v>2.1873347577638923E-13</v>
      </c>
      <c r="P127" s="13">
        <f t="shared" si="87"/>
        <v>2.999861355695181E-12</v>
      </c>
      <c r="Q127" s="20">
        <f t="shared" si="107"/>
        <v>5.6057193314796512E-12</v>
      </c>
      <c r="R127" s="59">
        <f t="shared" si="55"/>
        <v>293.33333333333894</v>
      </c>
      <c r="S127" s="59">
        <f ca="1">AVERAGE(OFFSET($R$3,0,0,'Données projet'!$E$9+1,1))-AVERAGE(OFFSET($H$3,0,0,'Données projet'!$E$9+1,1))</f>
        <v>234.10156575337737</v>
      </c>
      <c r="T127" s="59">
        <f t="shared" si="88"/>
        <v>285.68635263076646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70.824816732167136</v>
      </c>
      <c r="AA127" s="21">
        <f>EXP(-LN(2)/25)*AA126+(1-EXP(-LN(2)/25))/(LN(2)/25)*Calculateur!V127*Calculateur!X127*VLOOKUP('Données projet'!$B$9,Paramètres!$A$1:$I$89,3,0)*0.475*44/12</f>
        <v>27.5252162488012</v>
      </c>
      <c r="AB127" s="21">
        <f>EXP(-LN(2)/2)*AB126+(1-EXP(-LN(2)/2))/(LN(2)/2)*V127*Y127*VLOOKUP('Données projet'!$B$9,Paramètres!$A$1:$I$89,3,0)*0.475*44/12</f>
        <v>3.0842536085115982E-13</v>
      </c>
      <c r="AC127" s="22">
        <f t="shared" si="57"/>
        <v>98.350032980968649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0</v>
      </c>
      <c r="AJ127" s="13">
        <f>AI127*VLOOKUP('Données projet'!$B$10,Paramètres!$A$1:$I$89,3,0)*VLOOKUP('Données projet'!$B$10,Paramètres!$A$1:$I$89,5,0)</f>
        <v>0</v>
      </c>
      <c r="AK127" s="13" t="e">
        <f t="shared" si="89"/>
        <v>#NUM!</v>
      </c>
      <c r="AL127" s="20" t="e">
        <f t="shared" si="58"/>
        <v>#NUM!</v>
      </c>
      <c r="AM127" s="59" t="e">
        <f t="shared" si="59"/>
        <v>#NUM!</v>
      </c>
      <c r="AN127" s="59">
        <f ca="1">AVERAGE(OFFSET($AM$3,0,0,'Données projet'!$E$10+1,1))-AVERAGE(OFFSET($H$3,0,0,'Données projet'!$E$10+1,1))</f>
        <v>179.44051550872138</v>
      </c>
      <c r="AO127" s="59">
        <f t="shared" si="90"/>
        <v>272.9500808380069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23.455125030209597</v>
      </c>
      <c r="AV127" s="21">
        <f>EXP(-LN(2)/25)*AV126+(1-EXP(-LN(2)/25))/(LN(2)/25)*Calculateur!AQ127*Calculateur!AS127*VLOOKUP('Données projet'!$B$10,Paramètres!$A$1:$I$89,3,0)*0.475*44/12</f>
        <v>24.522967186710222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47.978092216919819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-1.1368683772161603E-13</v>
      </c>
      <c r="BE127" s="13">
        <f>BD127*VLOOKUP('Données projet'!$B$11,Paramètres!$A$1:$I$89,3,0)*VLOOKUP('Données projet'!$B$11,Paramètres!$A$1:$I$89,5,0)</f>
        <v>-6.3550942286383367E-14</v>
      </c>
      <c r="BF127" s="13" t="e">
        <f t="shared" si="91"/>
        <v>#NUM!</v>
      </c>
      <c r="BG127" s="20" t="e">
        <f t="shared" si="61"/>
        <v>#NUM!</v>
      </c>
      <c r="BH127" s="59" t="e">
        <f t="shared" si="62"/>
        <v>#NUM!</v>
      </c>
      <c r="BI127" s="59">
        <f ca="1">AVERAGE(OFFSET($BH$3,0,0,'Données projet'!$E$11+1,1))-AVERAGE(OFFSET($H$3,0,0,'Données projet'!$E$11+1,1))</f>
        <v>278.5296012747549</v>
      </c>
      <c r="BJ127" s="59">
        <f t="shared" si="92"/>
        <v>370.55343097937077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57.797647097132199</v>
      </c>
      <c r="BQ127" s="21">
        <f>EXP(-LN(2)/25)*BQ126+(1-EXP(-LN(2)/25))/(LN(2)/25)*Calculateur!BL127*Calculateur!BN127*VLOOKUP('Données projet'!$B$11,Paramètres!$A$1:$I$89,3,0)*0.475*44/12</f>
        <v>8.5042809725611566</v>
      </c>
      <c r="BR127" s="21">
        <f>EXP(-LN(2)/2)*BR126+(1-EXP(-LN(2)/2))/(LN(2)/2)*BL127*BO127*VLOOKUP('Données projet'!$B$11,Paramètres!$A$1:$I$89,3,0)*0.475*44/12</f>
        <v>1.4060461960897716E-9</v>
      </c>
      <c r="BS127" s="22">
        <f t="shared" si="63"/>
        <v>66.301928071099411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266.99999999999983</v>
      </c>
      <c r="BZ127" s="13">
        <f>BY127*VLOOKUP('Données projet'!$B$12,Paramètres!$A$1:$I$89,3,0)*VLOOKUP('Données projet'!$B$12,Paramètres!$A$1:$I$89,5,0)</f>
        <v>212.42519999999985</v>
      </c>
      <c r="CA127" s="13">
        <f t="shared" si="93"/>
        <v>52.465198231787184</v>
      </c>
      <c r="CB127" s="20">
        <f t="shared" si="64"/>
        <v>461.35077692036231</v>
      </c>
      <c r="CC127" s="59">
        <f t="shared" si="65"/>
        <v>754.68411025369562</v>
      </c>
      <c r="CD127" s="59">
        <f ca="1">AVERAGE(OFFSET($CC$3,0,0,'Données projet'!$E$12+1,1))-AVERAGE(OFFSET($H$3,0,0,'Données projet'!$E$12+1,1))</f>
        <v>225.2323446080772</v>
      </c>
      <c r="CE127" s="59">
        <f t="shared" si="94"/>
        <v>222.29030402759292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12.045474128435067</v>
      </c>
      <c r="CL127" s="21">
        <f>EXP(-LN(2)/25)*CL126+(1-EXP(-LN(2)/25))/(LN(2)/25)*Calculateur!CG127*Calculateur!CI127*VLOOKUP('Données projet'!$B$12,Paramètres!$A$1:$I$89,3,0)*0.475*44/12</f>
        <v>2.4590984128434434</v>
      </c>
      <c r="CM127" s="21">
        <f>EXP(-LN(2)/2)*CM126+(1-EXP(-LN(2)/2))/(LN(2)/2)*CG127*CJ127*VLOOKUP('Données projet'!$B$12,Paramètres!$A$1:$I$89,3,0)*0.475*44/12</f>
        <v>0</v>
      </c>
      <c r="CN127" s="22">
        <f t="shared" si="66"/>
        <v>14.504572541278511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5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60.125000000000149</v>
      </c>
      <c r="D128" s="11">
        <f t="shared" si="86"/>
        <v>17.199869105363234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596.89372642736646</v>
      </c>
      <c r="H128" s="67">
        <f t="shared" si="56"/>
        <v>428.00748035850785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4.5474735088646412E-13</v>
      </c>
      <c r="O128" s="13">
        <f>N128*VLOOKUP('Données projet'!$B$9,Paramètres!$A$1:$I$89,3,0)*VLOOKUP('Données projet'!$B$9,Paramètres!$A$1:$I$89,5,0)</f>
        <v>2.1873347577638923E-13</v>
      </c>
      <c r="P128" s="13">
        <f t="shared" si="87"/>
        <v>2.999861355695181E-12</v>
      </c>
      <c r="Q128" s="20">
        <f t="shared" si="107"/>
        <v>5.6057193314796512E-12</v>
      </c>
      <c r="R128" s="59">
        <f t="shared" si="55"/>
        <v>293.33333333333894</v>
      </c>
      <c r="S128" s="59">
        <f ca="1">AVERAGE(OFFSET($R$3,0,0,'Données projet'!$E$9+1,1))-AVERAGE(OFFSET($H$3,0,0,'Données projet'!$E$9+1,1))</f>
        <v>234.10156575337737</v>
      </c>
      <c r="T128" s="59">
        <f t="shared" si="88"/>
        <v>285.68635263076646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69.435985274922004</v>
      </c>
      <c r="AA128" s="21">
        <f>EXP(-LN(2)/25)*AA127+(1-EXP(-LN(2)/25))/(LN(2)/25)*Calculateur!V128*Calculateur!X128*VLOOKUP('Données projet'!$B$9,Paramètres!$A$1:$I$89,3,0)*0.475*44/12</f>
        <v>26.772537762989518</v>
      </c>
      <c r="AB128" s="21">
        <f>EXP(-LN(2)/2)*AB127+(1-EXP(-LN(2)/2))/(LN(2)/2)*V128*Y128*VLOOKUP('Données projet'!$B$9,Paramètres!$A$1:$I$89,3,0)*0.475*44/12</f>
        <v>2.1808966414776303E-13</v>
      </c>
      <c r="AC128" s="22">
        <f t="shared" si="57"/>
        <v>96.208523037911732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0</v>
      </c>
      <c r="AJ128" s="13">
        <f>AI128*VLOOKUP('Données projet'!$B$10,Paramètres!$A$1:$I$89,3,0)*VLOOKUP('Données projet'!$B$10,Paramètres!$A$1:$I$89,5,0)</f>
        <v>0</v>
      </c>
      <c r="AK128" s="13" t="e">
        <f t="shared" si="89"/>
        <v>#NUM!</v>
      </c>
      <c r="AL128" s="20" t="e">
        <f t="shared" si="58"/>
        <v>#NUM!</v>
      </c>
      <c r="AM128" s="59" t="e">
        <f t="shared" si="59"/>
        <v>#NUM!</v>
      </c>
      <c r="AN128" s="59">
        <f ca="1">AVERAGE(OFFSET($AM$3,0,0,'Données projet'!$E$10+1,1))-AVERAGE(OFFSET($H$3,0,0,'Données projet'!$E$10+1,1))</f>
        <v>179.44051550872138</v>
      </c>
      <c r="AO128" s="59">
        <f t="shared" si="90"/>
        <v>272.9500808380069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22.995184334580834</v>
      </c>
      <c r="AV128" s="21">
        <f>EXP(-LN(2)/25)*AV127+(1-EXP(-LN(2)/25))/(LN(2)/25)*Calculateur!AQ128*Calculateur!AS128*VLOOKUP('Données projet'!$B$10,Paramètres!$A$1:$I$89,3,0)*0.475*44/12</f>
        <v>23.852385359382833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46.847569693963663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-1.1368683772161603E-13</v>
      </c>
      <c r="BE128" s="13">
        <f>BD128*VLOOKUP('Données projet'!$B$11,Paramètres!$A$1:$I$89,3,0)*VLOOKUP('Données projet'!$B$11,Paramètres!$A$1:$I$89,5,0)</f>
        <v>-6.3550942286383367E-14</v>
      </c>
      <c r="BF128" s="13" t="e">
        <f t="shared" si="91"/>
        <v>#NUM!</v>
      </c>
      <c r="BG128" s="20" t="e">
        <f t="shared" si="61"/>
        <v>#NUM!</v>
      </c>
      <c r="BH128" s="59" t="e">
        <f t="shared" si="62"/>
        <v>#NUM!</v>
      </c>
      <c r="BI128" s="59">
        <f ca="1">AVERAGE(OFFSET($BH$3,0,0,'Données projet'!$E$11+1,1))-AVERAGE(OFFSET($H$3,0,0,'Données projet'!$E$11+1,1))</f>
        <v>278.5296012747549</v>
      </c>
      <c r="BJ128" s="59">
        <f t="shared" si="92"/>
        <v>370.55343097937077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56.664270490641215</v>
      </c>
      <c r="BQ128" s="21">
        <f>EXP(-LN(2)/25)*BQ127+(1-EXP(-LN(2)/25))/(LN(2)/25)*Calculateur!BL128*Calculateur!BN128*VLOOKUP('Données projet'!$B$11,Paramètres!$A$1:$I$89,3,0)*0.475*44/12</f>
        <v>8.2717309621457726</v>
      </c>
      <c r="BR128" s="21">
        <f>EXP(-LN(2)/2)*BR127+(1-EXP(-LN(2)/2))/(LN(2)/2)*BL128*BO128*VLOOKUP('Données projet'!$B$11,Paramètres!$A$1:$I$89,3,0)*0.475*44/12</f>
        <v>9.9422479991662762E-10</v>
      </c>
      <c r="BS128" s="22">
        <f t="shared" si="63"/>
        <v>64.936001453781202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266.99999999999983</v>
      </c>
      <c r="BZ128" s="13">
        <f>BY128*VLOOKUP('Données projet'!$B$12,Paramètres!$A$1:$I$89,3,0)*VLOOKUP('Données projet'!$B$12,Paramètres!$A$1:$I$89,5,0)</f>
        <v>212.42519999999985</v>
      </c>
      <c r="CA128" s="13">
        <f t="shared" si="93"/>
        <v>52.465198231787184</v>
      </c>
      <c r="CB128" s="20">
        <f t="shared" si="64"/>
        <v>461.35077692036231</v>
      </c>
      <c r="CC128" s="59">
        <f t="shared" si="65"/>
        <v>754.68411025369562</v>
      </c>
      <c r="CD128" s="59">
        <f ca="1">AVERAGE(OFFSET($CC$3,0,0,'Données projet'!$E$12+1,1))-AVERAGE(OFFSET($H$3,0,0,'Données projet'!$E$12+1,1))</f>
        <v>225.2323446080772</v>
      </c>
      <c r="CE128" s="59">
        <f t="shared" si="94"/>
        <v>222.29030402759292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11.809269727790216</v>
      </c>
      <c r="CL128" s="21">
        <f>EXP(-LN(2)/25)*CL127+(1-EXP(-LN(2)/25))/(LN(2)/25)*Calculateur!CG128*Calculateur!CI128*VLOOKUP('Données projet'!$B$12,Paramètres!$A$1:$I$89,3,0)*0.475*44/12</f>
        <v>2.3918542374258744</v>
      </c>
      <c r="CM128" s="21">
        <f>EXP(-LN(2)/2)*CM127+(1-EXP(-LN(2)/2))/(LN(2)/2)*CG128*CJ128*VLOOKUP('Données projet'!$B$12,Paramètres!$A$1:$I$89,3,0)*0.475*44/12</f>
        <v>0</v>
      </c>
      <c r="CN128" s="22">
        <f t="shared" si="66"/>
        <v>14.201123965216091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5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60.606000000000151</v>
      </c>
      <c r="D129" s="11">
        <f t="shared" si="86"/>
        <v>17.321395099131934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601.5448042740021</v>
      </c>
      <c r="H129" s="67">
        <f t="shared" si="56"/>
        <v>429.05687979765503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4.5474735088646412E-13</v>
      </c>
      <c r="O129" s="13">
        <f>N129*VLOOKUP('Données projet'!$B$9,Paramètres!$A$1:$I$89,3,0)*VLOOKUP('Données projet'!$B$9,Paramètres!$A$1:$I$89,5,0)</f>
        <v>2.1873347577638923E-13</v>
      </c>
      <c r="P129" s="13">
        <f t="shared" si="87"/>
        <v>2.999861355695181E-12</v>
      </c>
      <c r="Q129" s="20">
        <f t="shared" si="107"/>
        <v>5.6057193314796512E-12</v>
      </c>
      <c r="R129" s="59">
        <f t="shared" si="55"/>
        <v>293.33333333333894</v>
      </c>
      <c r="S129" s="59">
        <f ca="1">AVERAGE(OFFSET($R$3,0,0,'Données projet'!$E$9+1,1))-AVERAGE(OFFSET($H$3,0,0,'Données projet'!$E$9+1,1))</f>
        <v>234.10156575337737</v>
      </c>
      <c r="T129" s="59">
        <f t="shared" si="88"/>
        <v>285.68635263076646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68.074387955449907</v>
      </c>
      <c r="AA129" s="21">
        <f>EXP(-LN(2)/25)*AA128+(1-EXP(-LN(2)/25))/(LN(2)/25)*Calculateur!V129*Calculateur!X129*VLOOKUP('Données projet'!$B$9,Paramètres!$A$1:$I$89,3,0)*0.475*44/12</f>
        <v>26.040441309953998</v>
      </c>
      <c r="AB129" s="21">
        <f>EXP(-LN(2)/2)*AB128+(1-EXP(-LN(2)/2))/(LN(2)/2)*V129*Y129*VLOOKUP('Données projet'!$B$9,Paramètres!$A$1:$I$89,3,0)*0.475*44/12</f>
        <v>1.5421268042557991E-13</v>
      </c>
      <c r="AC129" s="22">
        <f t="shared" si="57"/>
        <v>94.114829265404055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0</v>
      </c>
      <c r="AJ129" s="13">
        <f>AI129*VLOOKUP('Données projet'!$B$10,Paramètres!$A$1:$I$89,3,0)*VLOOKUP('Données projet'!$B$10,Paramètres!$A$1:$I$89,5,0)</f>
        <v>0</v>
      </c>
      <c r="AK129" s="13" t="e">
        <f t="shared" si="89"/>
        <v>#NUM!</v>
      </c>
      <c r="AL129" s="20" t="e">
        <f t="shared" si="58"/>
        <v>#NUM!</v>
      </c>
      <c r="AM129" s="59" t="e">
        <f t="shared" si="59"/>
        <v>#NUM!</v>
      </c>
      <c r="AN129" s="59">
        <f ca="1">AVERAGE(OFFSET($AM$3,0,0,'Données projet'!$E$10+1,1))-AVERAGE(OFFSET($H$3,0,0,'Données projet'!$E$10+1,1))</f>
        <v>179.44051550872138</v>
      </c>
      <c r="AO129" s="59">
        <f t="shared" si="90"/>
        <v>272.9500808380069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22.544262795457229</v>
      </c>
      <c r="AV129" s="21">
        <f>EXP(-LN(2)/25)*AV128+(1-EXP(-LN(2)/25))/(LN(2)/25)*Calculateur!AQ129*Calculateur!AS129*VLOOKUP('Données projet'!$B$10,Paramètres!$A$1:$I$89,3,0)*0.475*44/12</f>
        <v>23.200140627388077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45.744403422845309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-1.1368683772161603E-13</v>
      </c>
      <c r="BE129" s="13">
        <f>BD129*VLOOKUP('Données projet'!$B$11,Paramètres!$A$1:$I$89,3,0)*VLOOKUP('Données projet'!$B$11,Paramètres!$A$1:$I$89,5,0)</f>
        <v>-6.3550942286383367E-14</v>
      </c>
      <c r="BF129" s="13" t="e">
        <f t="shared" si="91"/>
        <v>#NUM!</v>
      </c>
      <c r="BG129" s="20" t="e">
        <f t="shared" si="61"/>
        <v>#NUM!</v>
      </c>
      <c r="BH129" s="59" t="e">
        <f t="shared" si="62"/>
        <v>#NUM!</v>
      </c>
      <c r="BI129" s="59">
        <f ca="1">AVERAGE(OFFSET($BH$3,0,0,'Données projet'!$E$11+1,1))-AVERAGE(OFFSET($H$3,0,0,'Données projet'!$E$11+1,1))</f>
        <v>278.5296012747549</v>
      </c>
      <c r="BJ129" s="59">
        <f t="shared" si="92"/>
        <v>370.55343097937077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55.553118708112045</v>
      </c>
      <c r="BQ129" s="21">
        <f>EXP(-LN(2)/25)*BQ128+(1-EXP(-LN(2)/25))/(LN(2)/25)*Calculateur!BL129*Calculateur!BN129*VLOOKUP('Données projet'!$B$11,Paramètres!$A$1:$I$89,3,0)*0.475*44/12</f>
        <v>8.0455400439944711</v>
      </c>
      <c r="BR129" s="21">
        <f>EXP(-LN(2)/2)*BR128+(1-EXP(-LN(2)/2))/(LN(2)/2)*BL129*BO129*VLOOKUP('Données projet'!$B$11,Paramètres!$A$1:$I$89,3,0)*0.475*44/12</f>
        <v>7.030230980448858E-10</v>
      </c>
      <c r="BS129" s="22">
        <f t="shared" si="63"/>
        <v>63.598658752809541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266.99999999999983</v>
      </c>
      <c r="BZ129" s="13">
        <f>BY129*VLOOKUP('Données projet'!$B$12,Paramètres!$A$1:$I$89,3,0)*VLOOKUP('Données projet'!$B$12,Paramètres!$A$1:$I$89,5,0)</f>
        <v>212.42519999999985</v>
      </c>
      <c r="CA129" s="13">
        <f t="shared" si="93"/>
        <v>52.465198231787184</v>
      </c>
      <c r="CB129" s="20">
        <f t="shared" si="64"/>
        <v>461.35077692036231</v>
      </c>
      <c r="CC129" s="59">
        <f t="shared" si="65"/>
        <v>754.68411025369562</v>
      </c>
      <c r="CD129" s="59">
        <f ca="1">AVERAGE(OFFSET($CC$3,0,0,'Données projet'!$E$12+1,1))-AVERAGE(OFFSET($H$3,0,0,'Données projet'!$E$12+1,1))</f>
        <v>225.2323446080772</v>
      </c>
      <c r="CE129" s="59">
        <f t="shared" si="94"/>
        <v>222.29030402759292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11.577697151371552</v>
      </c>
      <c r="CL129" s="21">
        <f>EXP(-LN(2)/25)*CL128+(1-EXP(-LN(2)/25))/(LN(2)/25)*Calculateur!CG129*Calculateur!CI129*VLOOKUP('Données projet'!$B$12,Paramètres!$A$1:$I$89,3,0)*0.475*44/12</f>
        <v>2.3264488575213162</v>
      </c>
      <c r="CM129" s="21">
        <f>EXP(-LN(2)/2)*CM128+(1-EXP(-LN(2)/2))/(LN(2)/2)*CG129*CJ129*VLOOKUP('Données projet'!$B$12,Paramètres!$A$1:$I$89,3,0)*0.475*44/12</f>
        <v>0</v>
      </c>
      <c r="CN129" s="22">
        <f t="shared" si="66"/>
        <v>13.904146008892869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5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61.087000000000153</v>
      </c>
      <c r="D130" s="11">
        <f t="shared" si="86"/>
        <v>17.442808876624763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606.19501588973617</v>
      </c>
      <c r="H130" s="67">
        <f t="shared" si="56"/>
        <v>430.10608379345501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4.5474735088646412E-13</v>
      </c>
      <c r="O130" s="13">
        <f>N130*VLOOKUP('Données projet'!$B$9,Paramètres!$A$1:$I$89,3,0)*VLOOKUP('Données projet'!$B$9,Paramètres!$A$1:$I$89,5,0)</f>
        <v>2.1873347577638923E-13</v>
      </c>
      <c r="P130" s="13">
        <f t="shared" si="87"/>
        <v>2.999861355695181E-12</v>
      </c>
      <c r="Q130" s="20">
        <f t="shared" si="107"/>
        <v>5.6057193314796512E-12</v>
      </c>
      <c r="R130" s="59">
        <f t="shared" si="55"/>
        <v>293.33333333333894</v>
      </c>
      <c r="S130" s="59">
        <f ca="1">AVERAGE(OFFSET($R$3,0,0,'Données projet'!$E$9+1,1))-AVERAGE(OFFSET($H$3,0,0,'Données projet'!$E$9+1,1))</f>
        <v>234.10156575337737</v>
      </c>
      <c r="T130" s="59">
        <f t="shared" si="88"/>
        <v>285.68635263076646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66.739490728920302</v>
      </c>
      <c r="AA130" s="21">
        <f>EXP(-LN(2)/25)*AA129+(1-EXP(-LN(2)/25))/(LN(2)/25)*Calculateur!V130*Calculateur!X130*VLOOKUP('Données projet'!$B$9,Paramètres!$A$1:$I$89,3,0)*0.475*44/12</f>
        <v>25.328364072926014</v>
      </c>
      <c r="AB130" s="21">
        <f>EXP(-LN(2)/2)*AB129+(1-EXP(-LN(2)/2))/(LN(2)/2)*V130*Y130*VLOOKUP('Données projet'!$B$9,Paramètres!$A$1:$I$89,3,0)*0.475*44/12</f>
        <v>1.0904483207388152E-13</v>
      </c>
      <c r="AC130" s="22">
        <f t="shared" si="57"/>
        <v>92.067854801846437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0</v>
      </c>
      <c r="AJ130" s="13">
        <f>AI130*VLOOKUP('Données projet'!$B$10,Paramètres!$A$1:$I$89,3,0)*VLOOKUP('Données projet'!$B$10,Paramètres!$A$1:$I$89,5,0)</f>
        <v>0</v>
      </c>
      <c r="AK130" s="13" t="e">
        <f t="shared" si="89"/>
        <v>#NUM!</v>
      </c>
      <c r="AL130" s="20" t="e">
        <f t="shared" si="58"/>
        <v>#NUM!</v>
      </c>
      <c r="AM130" s="59" t="e">
        <f t="shared" si="59"/>
        <v>#NUM!</v>
      </c>
      <c r="AN130" s="59">
        <f ca="1">AVERAGE(OFFSET($AM$3,0,0,'Données projet'!$E$10+1,1))-AVERAGE(OFFSET($H$3,0,0,'Données projet'!$E$10+1,1))</f>
        <v>179.44051550872138</v>
      </c>
      <c r="AO130" s="59">
        <f t="shared" si="90"/>
        <v>272.9500808380069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22.102183552680856</v>
      </c>
      <c r="AV130" s="21">
        <f>EXP(-LN(2)/25)*AV129+(1-EXP(-LN(2)/25))/(LN(2)/25)*Calculateur!AQ130*Calculateur!AS130*VLOOKUP('Données projet'!$B$10,Paramètres!$A$1:$I$89,3,0)*0.475*44/12</f>
        <v>22.56573156188978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44.667915114570633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-1.1368683772161603E-13</v>
      </c>
      <c r="BE130" s="13">
        <f>BD130*VLOOKUP('Données projet'!$B$11,Paramètres!$A$1:$I$89,3,0)*VLOOKUP('Données projet'!$B$11,Paramètres!$A$1:$I$89,5,0)</f>
        <v>-6.3550942286383367E-14</v>
      </c>
      <c r="BF130" s="13" t="e">
        <f t="shared" si="91"/>
        <v>#NUM!</v>
      </c>
      <c r="BG130" s="20" t="e">
        <f t="shared" si="61"/>
        <v>#NUM!</v>
      </c>
      <c r="BH130" s="59" t="e">
        <f t="shared" si="62"/>
        <v>#NUM!</v>
      </c>
      <c r="BI130" s="59">
        <f ca="1">AVERAGE(OFFSET($BH$3,0,0,'Données projet'!$E$11+1,1))-AVERAGE(OFFSET($H$3,0,0,'Données projet'!$E$11+1,1))</f>
        <v>278.5296012747549</v>
      </c>
      <c r="BJ130" s="59">
        <f t="shared" si="92"/>
        <v>370.55343097937077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54.463755934302604</v>
      </c>
      <c r="BQ130" s="21">
        <f>EXP(-LN(2)/25)*BQ129+(1-EXP(-LN(2)/25))/(LN(2)/25)*Calculateur!BL130*Calculateur!BN130*VLOOKUP('Données projet'!$B$11,Paramètres!$A$1:$I$89,3,0)*0.475*44/12</f>
        <v>7.8255343283948795</v>
      </c>
      <c r="BR130" s="21">
        <f>EXP(-LN(2)/2)*BR129+(1-EXP(-LN(2)/2))/(LN(2)/2)*BL130*BO130*VLOOKUP('Données projet'!$B$11,Paramètres!$A$1:$I$89,3,0)*0.475*44/12</f>
        <v>4.9711239995831381E-10</v>
      </c>
      <c r="BS130" s="22">
        <f t="shared" si="63"/>
        <v>62.289290263194594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266.99999999999983</v>
      </c>
      <c r="BZ130" s="13">
        <f>BY130*VLOOKUP('Données projet'!$B$12,Paramètres!$A$1:$I$89,3,0)*VLOOKUP('Données projet'!$B$12,Paramètres!$A$1:$I$89,5,0)</f>
        <v>212.42519999999985</v>
      </c>
      <c r="CA130" s="13">
        <f t="shared" si="93"/>
        <v>52.465198231787184</v>
      </c>
      <c r="CB130" s="20">
        <f t="shared" si="64"/>
        <v>461.35077692036231</v>
      </c>
      <c r="CC130" s="59">
        <f t="shared" si="65"/>
        <v>754.68411025369562</v>
      </c>
      <c r="CD130" s="59">
        <f ca="1">AVERAGE(OFFSET($CC$3,0,0,'Données projet'!$E$12+1,1))-AVERAGE(OFFSET($H$3,0,0,'Données projet'!$E$12+1,1))</f>
        <v>225.2323446080772</v>
      </c>
      <c r="CE130" s="59">
        <f t="shared" si="94"/>
        <v>222.29030402759292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11.350665571931133</v>
      </c>
      <c r="CL130" s="21">
        <f>EXP(-LN(2)/25)*CL129+(1-EXP(-LN(2)/25))/(LN(2)/25)*Calculateur!CG130*Calculateur!CI130*VLOOKUP('Données projet'!$B$12,Paramètres!$A$1:$I$89,3,0)*0.475*44/12</f>
        <v>2.2628319911697674</v>
      </c>
      <c r="CM130" s="21">
        <f>EXP(-LN(2)/2)*CM129+(1-EXP(-LN(2)/2))/(LN(2)/2)*CG130*CJ130*VLOOKUP('Données projet'!$B$12,Paramètres!$A$1:$I$89,3,0)*0.475*44/12</f>
        <v>0</v>
      </c>
      <c r="CN130" s="22">
        <f t="shared" si="66"/>
        <v>13.6134975631009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5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61.568000000000154</v>
      </c>
      <c r="D131" s="11">
        <f t="shared" si="86"/>
        <v>17.564111423853195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610.8443688858855</v>
      </c>
      <c r="H131" s="67">
        <f t="shared" si="56"/>
        <v>431.15509406321121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4.5474735088646412E-13</v>
      </c>
      <c r="O131" s="13">
        <f>N131*VLOOKUP('Données projet'!$B$9,Paramètres!$A$1:$I$89,3,0)*VLOOKUP('Données projet'!$B$9,Paramètres!$A$1:$I$89,5,0)</f>
        <v>2.1873347577638923E-13</v>
      </c>
      <c r="P131" s="13">
        <f t="shared" si="87"/>
        <v>2.999861355695181E-12</v>
      </c>
      <c r="Q131" s="20">
        <f t="shared" ref="Q131:Q153" si="108">(O131+P131)*0.475*44/12</f>
        <v>5.6057193314796512E-12</v>
      </c>
      <c r="R131" s="59">
        <f t="shared" ref="R131:R194" si="109">Q131+(I131+J131)*44/12</f>
        <v>293.33333333333894</v>
      </c>
      <c r="S131" s="59">
        <f ca="1">AVERAGE(OFFSET($R$3,0,0,'Données projet'!$E$9+1,1))-AVERAGE(OFFSET($H$3,0,0,'Données projet'!$E$9+1,1))</f>
        <v>234.10156575337737</v>
      </c>
      <c r="T131" s="59">
        <f t="shared" si="88"/>
        <v>285.68635263076646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65.430770022796025</v>
      </c>
      <c r="AA131" s="21">
        <f>EXP(-LN(2)/25)*AA130+(1-EXP(-LN(2)/25))/(LN(2)/25)*Calculateur!V131*Calculateur!X131*VLOOKUP('Données projet'!$B$9,Paramètres!$A$1:$I$89,3,0)*0.475*44/12</f>
        <v>24.635758625391073</v>
      </c>
      <c r="AB131" s="21">
        <f>EXP(-LN(2)/2)*AB130+(1-EXP(-LN(2)/2))/(LN(2)/2)*V131*Y131*VLOOKUP('Données projet'!$B$9,Paramètres!$A$1:$I$89,3,0)*0.475*44/12</f>
        <v>7.7106340212789955E-14</v>
      </c>
      <c r="AC131" s="22">
        <f t="shared" si="57"/>
        <v>90.066528648187173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0</v>
      </c>
      <c r="AJ131" s="13">
        <f>AI131*VLOOKUP('Données projet'!$B$10,Paramètres!$A$1:$I$89,3,0)*VLOOKUP('Données projet'!$B$10,Paramètres!$A$1:$I$89,5,0)</f>
        <v>0</v>
      </c>
      <c r="AK131" s="13" t="e">
        <f t="shared" si="89"/>
        <v>#NUM!</v>
      </c>
      <c r="AL131" s="20" t="e">
        <f t="shared" si="58"/>
        <v>#NUM!</v>
      </c>
      <c r="AM131" s="59" t="e">
        <f t="shared" si="59"/>
        <v>#NUM!</v>
      </c>
      <c r="AN131" s="59">
        <f ca="1">AVERAGE(OFFSET($AM$3,0,0,'Données projet'!$E$10+1,1))-AVERAGE(OFFSET($H$3,0,0,'Données projet'!$E$10+1,1))</f>
        <v>179.44051550872138</v>
      </c>
      <c r="AO131" s="59">
        <f t="shared" si="90"/>
        <v>272.9500808380069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21.668773214213612</v>
      </c>
      <c r="AV131" s="21">
        <f>EXP(-LN(2)/25)*AV130+(1-EXP(-LN(2)/25))/(LN(2)/25)*Calculateur!AQ131*Calculateur!AS131*VLOOKUP('Données projet'!$B$10,Paramètres!$A$1:$I$89,3,0)*0.475*44/12</f>
        <v>21.948670445649658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43.61744365986327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-1.1368683772161603E-13</v>
      </c>
      <c r="BE131" s="13">
        <f>BD131*VLOOKUP('Données projet'!$B$11,Paramètres!$A$1:$I$89,3,0)*VLOOKUP('Données projet'!$B$11,Paramètres!$A$1:$I$89,5,0)</f>
        <v>-6.3550942286383367E-14</v>
      </c>
      <c r="BF131" s="13" t="e">
        <f t="shared" si="91"/>
        <v>#NUM!</v>
      </c>
      <c r="BG131" s="20" t="e">
        <f t="shared" si="61"/>
        <v>#NUM!</v>
      </c>
      <c r="BH131" s="59" t="e">
        <f t="shared" si="62"/>
        <v>#NUM!</v>
      </c>
      <c r="BI131" s="59">
        <f ca="1">AVERAGE(OFFSET($BH$3,0,0,'Données projet'!$E$11+1,1))-AVERAGE(OFFSET($H$3,0,0,'Données projet'!$E$11+1,1))</f>
        <v>278.5296012747549</v>
      </c>
      <c r="BJ131" s="59">
        <f t="shared" si="92"/>
        <v>370.55343097937077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53.395754900041887</v>
      </c>
      <c r="BQ131" s="21">
        <f>EXP(-LN(2)/25)*BQ130+(1-EXP(-LN(2)/25))/(LN(2)/25)*Calculateur!BL131*Calculateur!BN131*VLOOKUP('Données projet'!$B$11,Paramètres!$A$1:$I$89,3,0)*0.475*44/12</f>
        <v>7.611544680657957</v>
      </c>
      <c r="BR131" s="21">
        <f>EXP(-LN(2)/2)*BR130+(1-EXP(-LN(2)/2))/(LN(2)/2)*BL131*BO131*VLOOKUP('Données projet'!$B$11,Paramètres!$A$1:$I$89,3,0)*0.475*44/12</f>
        <v>3.515115490224429E-10</v>
      </c>
      <c r="BS131" s="22">
        <f t="shared" si="63"/>
        <v>61.007299581051356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266.99999999999983</v>
      </c>
      <c r="BZ131" s="13">
        <f>BY131*VLOOKUP('Données projet'!$B$12,Paramètres!$A$1:$I$89,3,0)*VLOOKUP('Données projet'!$B$12,Paramètres!$A$1:$I$89,5,0)</f>
        <v>212.42519999999985</v>
      </c>
      <c r="CA131" s="13">
        <f t="shared" si="93"/>
        <v>52.465198231787184</v>
      </c>
      <c r="CB131" s="20">
        <f t="shared" si="64"/>
        <v>461.35077692036231</v>
      </c>
      <c r="CC131" s="59">
        <f t="shared" si="65"/>
        <v>754.68411025369562</v>
      </c>
      <c r="CD131" s="59">
        <f ca="1">AVERAGE(OFFSET($CC$3,0,0,'Données projet'!$E$12+1,1))-AVERAGE(OFFSET($H$3,0,0,'Données projet'!$E$12+1,1))</f>
        <v>225.2323446080772</v>
      </c>
      <c r="CE131" s="59">
        <f t="shared" si="94"/>
        <v>222.29030402759292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11.128085943287951</v>
      </c>
      <c r="CL131" s="21">
        <f>EXP(-LN(2)/25)*CL130+(1-EXP(-LN(2)/25))/(LN(2)/25)*Calculateur!CG131*Calculateur!CI131*VLOOKUP('Données projet'!$B$12,Paramètres!$A$1:$I$89,3,0)*0.475*44/12</f>
        <v>2.2009547313740674</v>
      </c>
      <c r="CM131" s="21">
        <f>EXP(-LN(2)/2)*CM130+(1-EXP(-LN(2)/2))/(LN(2)/2)*CG131*CJ131*VLOOKUP('Données projet'!$B$12,Paramètres!$A$1:$I$89,3,0)*0.475*44/12</f>
        <v>0</v>
      </c>
      <c r="CN131" s="22">
        <f t="shared" si="66"/>
        <v>13.329040674662018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5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62.049000000000156</v>
      </c>
      <c r="D132" s="11">
        <f t="shared" si="86"/>
        <v>17.685303710532512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615.49287074797155</v>
      </c>
      <c r="H132" s="67">
        <f t="shared" ref="H132:H195" si="110">(B132+E132+F132)*44/12+(C132+D132)*0.475*44/12</f>
        <v>432.20391229584436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4.5474735088646412E-13</v>
      </c>
      <c r="O132" s="13">
        <f>N132*VLOOKUP('Données projet'!$B$9,Paramètres!$A$1:$I$89,3,0)*VLOOKUP('Données projet'!$B$9,Paramètres!$A$1:$I$89,5,0)</f>
        <v>2.1873347577638923E-13</v>
      </c>
      <c r="P132" s="13">
        <f t="shared" si="87"/>
        <v>2.999861355695181E-12</v>
      </c>
      <c r="Q132" s="20">
        <f t="shared" si="108"/>
        <v>5.6057193314796512E-12</v>
      </c>
      <c r="R132" s="59">
        <f t="shared" si="109"/>
        <v>293.33333333333894</v>
      </c>
      <c r="S132" s="59">
        <f ca="1">AVERAGE(OFFSET($R$3,0,0,'Données projet'!$E$9+1,1))-AVERAGE(OFFSET($H$3,0,0,'Données projet'!$E$9+1,1))</f>
        <v>234.10156575337737</v>
      </c>
      <c r="T132" s="59">
        <f t="shared" si="88"/>
        <v>285.68635263076646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64.147712531478035</v>
      </c>
      <c r="AA132" s="21">
        <f>EXP(-LN(2)/25)*AA131+(1-EXP(-LN(2)/25))/(LN(2)/25)*Calculateur!V132*Calculateur!X132*VLOOKUP('Données projet'!$B$9,Paramètres!$A$1:$I$89,3,0)*0.475*44/12</f>
        <v>23.962092510241515</v>
      </c>
      <c r="AB132" s="21">
        <f>EXP(-LN(2)/2)*AB131+(1-EXP(-LN(2)/2))/(LN(2)/2)*V132*Y132*VLOOKUP('Données projet'!$B$9,Paramètres!$A$1:$I$89,3,0)*0.475*44/12</f>
        <v>5.4522416036940758E-14</v>
      </c>
      <c r="AC132" s="22">
        <f t="shared" ref="AC132:AC153" si="111">SUM(Z132:AB132)</f>
        <v>88.109805041719611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0</v>
      </c>
      <c r="AJ132" s="13">
        <f>AI132*VLOOKUP('Données projet'!$B$10,Paramètres!$A$1:$I$89,3,0)*VLOOKUP('Données projet'!$B$10,Paramètres!$A$1:$I$89,5,0)</f>
        <v>0</v>
      </c>
      <c r="AK132" s="13" t="e">
        <f t="shared" si="89"/>
        <v>#NUM!</v>
      </c>
      <c r="AL132" s="20" t="e">
        <f t="shared" ref="AL132:AL153" si="112">(AJ132+AK132)*0.475*44/12</f>
        <v>#NUM!</v>
      </c>
      <c r="AM132" s="59" t="e">
        <f t="shared" ref="AM132:AM195" si="113">AL132+(AD132+AE132)*44/12</f>
        <v>#NUM!</v>
      </c>
      <c r="AN132" s="59">
        <f ca="1">AVERAGE(OFFSET($AM$3,0,0,'Données projet'!$E$10+1,1))-AVERAGE(OFFSET($H$3,0,0,'Données projet'!$E$10+1,1))</f>
        <v>179.44051550872138</v>
      </c>
      <c r="AO132" s="59">
        <f t="shared" si="90"/>
        <v>272.9500808380069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21.243861788129507</v>
      </c>
      <c r="AV132" s="21">
        <f>EXP(-LN(2)/25)*AV131+(1-EXP(-LN(2)/25))/(LN(2)/25)*Calculateur!AQ132*Calculateur!AS132*VLOOKUP('Données projet'!$B$10,Paramètres!$A$1:$I$89,3,0)*0.475*44/12</f>
        <v>21.348482898082953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42.592344686212456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-1.1368683772161603E-13</v>
      </c>
      <c r="BE132" s="13">
        <f>BD132*VLOOKUP('Données projet'!$B$11,Paramètres!$A$1:$I$89,3,0)*VLOOKUP('Données projet'!$B$11,Paramètres!$A$1:$I$89,5,0)</f>
        <v>-6.3550942286383367E-14</v>
      </c>
      <c r="BF132" s="13" t="e">
        <f t="shared" si="91"/>
        <v>#NUM!</v>
      </c>
      <c r="BG132" s="20" t="e">
        <f t="shared" ref="BG132:BG153" si="115">(BE132+BF132)*0.475*44/12</f>
        <v>#NUM!</v>
      </c>
      <c r="BH132" s="59" t="e">
        <f t="shared" ref="BH132:BH195" si="116">BG132+(AY132+AZ132)*44/12</f>
        <v>#NUM!</v>
      </c>
      <c r="BI132" s="59">
        <f ca="1">AVERAGE(OFFSET($BH$3,0,0,'Données projet'!$E$11+1,1))-AVERAGE(OFFSET($H$3,0,0,'Données projet'!$E$11+1,1))</f>
        <v>278.5296012747549</v>
      </c>
      <c r="BJ132" s="59">
        <f t="shared" si="92"/>
        <v>370.55343097937077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52.348696714646714</v>
      </c>
      <c r="BQ132" s="21">
        <f>EXP(-LN(2)/25)*BQ131+(1-EXP(-LN(2)/25))/(LN(2)/25)*Calculateur!BL132*Calculateur!BN132*VLOOKUP('Données projet'!$B$11,Paramètres!$A$1:$I$89,3,0)*0.475*44/12</f>
        <v>7.4034065910916267</v>
      </c>
      <c r="BR132" s="21">
        <f>EXP(-LN(2)/2)*BR131+(1-EXP(-LN(2)/2))/(LN(2)/2)*BL132*BO132*VLOOKUP('Données projet'!$B$11,Paramètres!$A$1:$I$89,3,0)*0.475*44/12</f>
        <v>2.4855619997915691E-10</v>
      </c>
      <c r="BS132" s="22">
        <f t="shared" ref="BS132:BS153" si="117">SUM(BP132:BR132)</f>
        <v>59.752103305986893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266.99999999999983</v>
      </c>
      <c r="BZ132" s="13">
        <f>BY132*VLOOKUP('Données projet'!$B$12,Paramètres!$A$1:$I$89,3,0)*VLOOKUP('Données projet'!$B$12,Paramètres!$A$1:$I$89,5,0)</f>
        <v>212.42519999999985</v>
      </c>
      <c r="CA132" s="13">
        <f t="shared" si="93"/>
        <v>52.465198231787184</v>
      </c>
      <c r="CB132" s="20">
        <f t="shared" ref="CB132:CB153" si="118">(BZ132+CA132)*0.475*44/12</f>
        <v>461.35077692036231</v>
      </c>
      <c r="CC132" s="59">
        <f t="shared" ref="CC132:CC195" si="119">CB132+(BT132+BU132)*44/12</f>
        <v>754.68411025369562</v>
      </c>
      <c r="CD132" s="59">
        <f ca="1">AVERAGE(OFFSET($CC$3,0,0,'Données projet'!$E$12+1,1))-AVERAGE(OFFSET($H$3,0,0,'Données projet'!$E$12+1,1))</f>
        <v>225.2323446080772</v>
      </c>
      <c r="CE132" s="59">
        <f t="shared" si="94"/>
        <v>222.29030402759292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10.909870965402293</v>
      </c>
      <c r="CL132" s="21">
        <f>EXP(-LN(2)/25)*CL131+(1-EXP(-LN(2)/25))/(LN(2)/25)*Calculateur!CG132*Calculateur!CI132*VLOOKUP('Données projet'!$B$12,Paramètres!$A$1:$I$89,3,0)*0.475*44/12</f>
        <v>2.1407695085014646</v>
      </c>
      <c r="CM132" s="21">
        <f>EXP(-LN(2)/2)*CM131+(1-EXP(-LN(2)/2))/(LN(2)/2)*CG132*CJ132*VLOOKUP('Données projet'!$B$12,Paramètres!$A$1:$I$89,3,0)*0.475*44/12</f>
        <v>0</v>
      </c>
      <c r="CN132" s="22">
        <f t="shared" ref="CN132:CN153" si="120">SUM(CK132:CM132)</f>
        <v>13.050640473903758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5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62.530000000000157</v>
      </c>
      <c r="D133" s="11">
        <f t="shared" ref="D133:D196" si="140">IFERROR(EXP(-1.0587+0.8836*LN(C133)+0.284),0)</f>
        <v>17.806386690475353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620.14052883875831</v>
      </c>
      <c r="H133" s="67">
        <f t="shared" si="110"/>
        <v>433.25254015257815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4.5474735088646412E-13</v>
      </c>
      <c r="O133" s="13">
        <f>N133*VLOOKUP('Données projet'!$B$9,Paramètres!$A$1:$I$89,3,0)*VLOOKUP('Données projet'!$B$9,Paramètres!$A$1:$I$89,5,0)</f>
        <v>2.1873347577638923E-13</v>
      </c>
      <c r="P133" s="13">
        <f t="shared" ref="P133:P196" si="141">EXP(-1.0587+0.8836*LN(O133)+0.284)</f>
        <v>2.999861355695181E-12</v>
      </c>
      <c r="Q133" s="20">
        <f t="shared" si="108"/>
        <v>5.6057193314796512E-12</v>
      </c>
      <c r="R133" s="59">
        <f t="shared" si="109"/>
        <v>293.33333333333894</v>
      </c>
      <c r="S133" s="59">
        <f ca="1">AVERAGE(OFFSET($R$3,0,0,'Données projet'!$E$9+1,1))-AVERAGE(OFFSET($H$3,0,0,'Données projet'!$E$9+1,1))</f>
        <v>234.10156575337737</v>
      </c>
      <c r="T133" s="59">
        <f t="shared" ref="T133:T196" si="142">$T$3</f>
        <v>285.68635263076646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62.889815014977003</v>
      </c>
      <c r="AA133" s="21">
        <f>EXP(-LN(2)/25)*AA132+(1-EXP(-LN(2)/25))/(LN(2)/25)*Calculateur!V133*Calculateur!X133*VLOOKUP('Données projet'!$B$9,Paramètres!$A$1:$I$89,3,0)*0.475*44/12</f>
        <v>23.306847830437281</v>
      </c>
      <c r="AB133" s="21">
        <f>EXP(-LN(2)/2)*AB132+(1-EXP(-LN(2)/2))/(LN(2)/2)*V133*Y133*VLOOKUP('Données projet'!$B$9,Paramètres!$A$1:$I$89,3,0)*0.475*44/12</f>
        <v>3.8553170106394977E-14</v>
      </c>
      <c r="AC133" s="22">
        <f t="shared" si="111"/>
        <v>86.196662845414323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0</v>
      </c>
      <c r="AJ133" s="13">
        <f>AI133*VLOOKUP('Données projet'!$B$10,Paramètres!$A$1:$I$89,3,0)*VLOOKUP('Données projet'!$B$10,Paramètres!$A$1:$I$89,5,0)</f>
        <v>0</v>
      </c>
      <c r="AK133" s="13" t="e">
        <f t="shared" ref="AK133:AK153" si="143">EXP(-1.0587+0.8836*LN(AJ133)+0.284)</f>
        <v>#NUM!</v>
      </c>
      <c r="AL133" s="20" t="e">
        <f t="shared" si="112"/>
        <v>#NUM!</v>
      </c>
      <c r="AM133" s="59" t="e">
        <f t="shared" si="113"/>
        <v>#NUM!</v>
      </c>
      <c r="AN133" s="59">
        <f ca="1">AVERAGE(OFFSET($AM$3,0,0,'Données projet'!$E$10+1,1))-AVERAGE(OFFSET($H$3,0,0,'Données projet'!$E$10+1,1))</f>
        <v>179.44051550872138</v>
      </c>
      <c r="AO133" s="59">
        <f t="shared" ref="AO133:AO196" si="144">$AO$3</f>
        <v>272.9500808380069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20.827282615940533</v>
      </c>
      <c r="AV133" s="21">
        <f>EXP(-LN(2)/25)*AV132+(1-EXP(-LN(2)/25))/(LN(2)/25)*Calculateur!AQ133*Calculateur!AS133*VLOOKUP('Données projet'!$B$10,Paramètres!$A$1:$I$89,3,0)*0.475*44/12</f>
        <v>20.76470751056695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41.591990126507483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-1.1368683772161603E-13</v>
      </c>
      <c r="BE133" s="13">
        <f>BD133*VLOOKUP('Données projet'!$B$11,Paramètres!$A$1:$I$89,3,0)*VLOOKUP('Données projet'!$B$11,Paramètres!$A$1:$I$89,5,0)</f>
        <v>-6.3550942286383367E-14</v>
      </c>
      <c r="BF133" s="13" t="e">
        <f t="shared" ref="BF133:BF153" si="145">EXP(-1.0587+0.8836*LN(BE133)+0.284)</f>
        <v>#NUM!</v>
      </c>
      <c r="BG133" s="20" t="e">
        <f t="shared" si="115"/>
        <v>#NUM!</v>
      </c>
      <c r="BH133" s="59" t="e">
        <f t="shared" si="116"/>
        <v>#NUM!</v>
      </c>
      <c r="BI133" s="59">
        <f ca="1">AVERAGE(OFFSET($BH$3,0,0,'Données projet'!$E$11+1,1))-AVERAGE(OFFSET($H$3,0,0,'Données projet'!$E$11+1,1))</f>
        <v>278.5296012747549</v>
      </c>
      <c r="BJ133" s="59">
        <f t="shared" ref="BJ133:BJ196" si="146">$BJ$3</f>
        <v>370.55343097937077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51.322170701624707</v>
      </c>
      <c r="BQ133" s="21">
        <f>EXP(-LN(2)/25)*BQ132+(1-EXP(-LN(2)/25))/(LN(2)/25)*Calculateur!BL133*Calculateur!BN133*VLOOKUP('Données projet'!$B$11,Paramètres!$A$1:$I$89,3,0)*0.475*44/12</f>
        <v>7.2009600485299945</v>
      </c>
      <c r="BR133" s="21">
        <f>EXP(-LN(2)/2)*BR132+(1-EXP(-LN(2)/2))/(LN(2)/2)*BL133*BO133*VLOOKUP('Données projet'!$B$11,Paramètres!$A$1:$I$89,3,0)*0.475*44/12</f>
        <v>1.7575577451122145E-10</v>
      </c>
      <c r="BS133" s="22">
        <f t="shared" si="117"/>
        <v>58.523130750330452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266.99999999999983</v>
      </c>
      <c r="BZ133" s="13">
        <f>BY133*VLOOKUP('Données projet'!$B$12,Paramètres!$A$1:$I$89,3,0)*VLOOKUP('Données projet'!$B$12,Paramètres!$A$1:$I$89,5,0)</f>
        <v>212.42519999999985</v>
      </c>
      <c r="CA133" s="13">
        <f t="shared" ref="CA133:CA153" si="147">EXP(-1.0587+0.8836*LN(BZ133)+0.284)</f>
        <v>52.465198231787184</v>
      </c>
      <c r="CB133" s="20">
        <f t="shared" si="118"/>
        <v>461.35077692036231</v>
      </c>
      <c r="CC133" s="59">
        <f t="shared" si="119"/>
        <v>754.68411025369562</v>
      </c>
      <c r="CD133" s="59">
        <f ca="1">AVERAGE(OFFSET($CC$3,0,0,'Données projet'!$E$12+1,1))-AVERAGE(OFFSET($H$3,0,0,'Données projet'!$E$12+1,1))</f>
        <v>225.2323446080772</v>
      </c>
      <c r="CE133" s="59">
        <f t="shared" ref="CE133:CE196" si="148">$CE$3</f>
        <v>222.29030402759292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10.695935050134979</v>
      </c>
      <c r="CL133" s="21">
        <f>EXP(-LN(2)/25)*CL132+(1-EXP(-LN(2)/25))/(LN(2)/25)*Calculateur!CG133*Calculateur!CI133*VLOOKUP('Données projet'!$B$12,Paramètres!$A$1:$I$89,3,0)*0.475*44/12</f>
        <v>2.0822300537133165</v>
      </c>
      <c r="CM133" s="21">
        <f>EXP(-LN(2)/2)*CM132+(1-EXP(-LN(2)/2))/(LN(2)/2)*CG133*CJ133*VLOOKUP('Données projet'!$B$12,Paramètres!$A$1:$I$89,3,0)*0.475*44/12</f>
        <v>0</v>
      </c>
      <c r="CN133" s="22">
        <f t="shared" si="120"/>
        <v>12.778165103848295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5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63.011000000000159</v>
      </c>
      <c r="D134" s="11">
        <f t="shared" si="140"/>
        <v>17.927361301972791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624.78735040119477</v>
      </c>
      <c r="H134" s="67">
        <f t="shared" si="110"/>
        <v>434.30097926760288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4.5474735088646412E-13</v>
      </c>
      <c r="O134" s="13">
        <f>N134*VLOOKUP('Données projet'!$B$9,Paramètres!$A$1:$I$89,3,0)*VLOOKUP('Données projet'!$B$9,Paramètres!$A$1:$I$89,5,0)</f>
        <v>2.1873347577638923E-13</v>
      </c>
      <c r="P134" s="13">
        <f t="shared" si="141"/>
        <v>2.999861355695181E-12</v>
      </c>
      <c r="Q134" s="20">
        <f t="shared" si="108"/>
        <v>5.6057193314796512E-12</v>
      </c>
      <c r="R134" s="59">
        <f t="shared" si="109"/>
        <v>293.33333333333894</v>
      </c>
      <c r="S134" s="59">
        <f ca="1">AVERAGE(OFFSET($R$3,0,0,'Données projet'!$E$9+1,1))-AVERAGE(OFFSET($H$3,0,0,'Données projet'!$E$9+1,1))</f>
        <v>234.10156575337737</v>
      </c>
      <c r="T134" s="59">
        <f t="shared" si="142"/>
        <v>285.68635263076646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61.656584101532829</v>
      </c>
      <c r="AA134" s="21">
        <f>EXP(-LN(2)/25)*AA133+(1-EXP(-LN(2)/25))/(LN(2)/25)*Calculateur!V134*Calculateur!X134*VLOOKUP('Données projet'!$B$9,Paramètres!$A$1:$I$89,3,0)*0.475*44/12</f>
        <v>22.669520850860113</v>
      </c>
      <c r="AB134" s="21">
        <f>EXP(-LN(2)/2)*AB133+(1-EXP(-LN(2)/2))/(LN(2)/2)*V134*Y134*VLOOKUP('Données projet'!$B$9,Paramètres!$A$1:$I$89,3,0)*0.475*44/12</f>
        <v>2.7261208018470379E-14</v>
      </c>
      <c r="AC134" s="22">
        <f t="shared" si="111"/>
        <v>84.326104952392967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0</v>
      </c>
      <c r="AJ134" s="13">
        <f>AI134*VLOOKUP('Données projet'!$B$10,Paramètres!$A$1:$I$89,3,0)*VLOOKUP('Données projet'!$B$10,Paramètres!$A$1:$I$89,5,0)</f>
        <v>0</v>
      </c>
      <c r="AK134" s="13" t="e">
        <f t="shared" si="143"/>
        <v>#NUM!</v>
      </c>
      <c r="AL134" s="20" t="e">
        <f t="shared" si="112"/>
        <v>#NUM!</v>
      </c>
      <c r="AM134" s="59" t="e">
        <f t="shared" si="113"/>
        <v>#NUM!</v>
      </c>
      <c r="AN134" s="59">
        <f ca="1">AVERAGE(OFFSET($AM$3,0,0,'Données projet'!$E$10+1,1))-AVERAGE(OFFSET($H$3,0,0,'Données projet'!$E$10+1,1))</f>
        <v>179.44051550872138</v>
      </c>
      <c r="AO134" s="59">
        <f t="shared" si="144"/>
        <v>272.9500808380069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20.418872307229979</v>
      </c>
      <c r="AV134" s="21">
        <f>EXP(-LN(2)/25)*AV133+(1-EXP(-LN(2)/25))/(LN(2)/25)*Calculateur!AQ134*Calculateur!AS134*VLOOKUP('Données projet'!$B$10,Paramètres!$A$1:$I$89,3,0)*0.475*44/12</f>
        <v>20.196895491721989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40.615767798951964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-1.1368683772161603E-13</v>
      </c>
      <c r="BE134" s="13">
        <f>BD134*VLOOKUP('Données projet'!$B$11,Paramètres!$A$1:$I$89,3,0)*VLOOKUP('Données projet'!$B$11,Paramètres!$A$1:$I$89,5,0)</f>
        <v>-6.3550942286383367E-14</v>
      </c>
      <c r="BF134" s="13" t="e">
        <f t="shared" si="145"/>
        <v>#NUM!</v>
      </c>
      <c r="BG134" s="20" t="e">
        <f t="shared" si="115"/>
        <v>#NUM!</v>
      </c>
      <c r="BH134" s="59" t="e">
        <f t="shared" si="116"/>
        <v>#NUM!</v>
      </c>
      <c r="BI134" s="59">
        <f ca="1">AVERAGE(OFFSET($BH$3,0,0,'Données projet'!$E$11+1,1))-AVERAGE(OFFSET($H$3,0,0,'Données projet'!$E$11+1,1))</f>
        <v>278.5296012747549</v>
      </c>
      <c r="BJ134" s="59">
        <f t="shared" si="146"/>
        <v>370.55343097937077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50.315774237599015</v>
      </c>
      <c r="BQ134" s="21">
        <f>EXP(-LN(2)/25)*BQ133+(1-EXP(-LN(2)/25))/(LN(2)/25)*Calculateur!BL134*Calculateur!BN134*VLOOKUP('Données projet'!$B$11,Paramètres!$A$1:$I$89,3,0)*0.475*44/12</f>
        <v>7.0040494173209105</v>
      </c>
      <c r="BR134" s="21">
        <f>EXP(-LN(2)/2)*BR133+(1-EXP(-LN(2)/2))/(LN(2)/2)*BL134*BO134*VLOOKUP('Données projet'!$B$11,Paramètres!$A$1:$I$89,3,0)*0.475*44/12</f>
        <v>1.2427809998957845E-10</v>
      </c>
      <c r="BS134" s="22">
        <f t="shared" si="117"/>
        <v>57.31982365504421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266.99999999999983</v>
      </c>
      <c r="BZ134" s="13">
        <f>BY134*VLOOKUP('Données projet'!$B$12,Paramètres!$A$1:$I$89,3,0)*VLOOKUP('Données projet'!$B$12,Paramètres!$A$1:$I$89,5,0)</f>
        <v>212.42519999999985</v>
      </c>
      <c r="CA134" s="13">
        <f t="shared" si="147"/>
        <v>52.465198231787184</v>
      </c>
      <c r="CB134" s="20">
        <f t="shared" si="118"/>
        <v>461.35077692036231</v>
      </c>
      <c r="CC134" s="59">
        <f t="shared" si="119"/>
        <v>754.68411025369562</v>
      </c>
      <c r="CD134" s="59">
        <f ca="1">AVERAGE(OFFSET($CC$3,0,0,'Données projet'!$E$12+1,1))-AVERAGE(OFFSET($H$3,0,0,'Données projet'!$E$12+1,1))</f>
        <v>225.2323446080772</v>
      </c>
      <c r="CE134" s="59">
        <f t="shared" si="148"/>
        <v>222.29030402759292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10.486194287678034</v>
      </c>
      <c r="CL134" s="21">
        <f>EXP(-LN(2)/25)*CL133+(1-EXP(-LN(2)/25))/(LN(2)/25)*Calculateur!CG134*Calculateur!CI134*VLOOKUP('Données projet'!$B$12,Paramètres!$A$1:$I$89,3,0)*0.475*44/12</f>
        <v>2.0252913633948064</v>
      </c>
      <c r="CM134" s="21">
        <f>EXP(-LN(2)/2)*CM133+(1-EXP(-LN(2)/2))/(LN(2)/2)*CG134*CJ134*VLOOKUP('Données projet'!$B$12,Paramètres!$A$1:$I$89,3,0)*0.475*44/12</f>
        <v>0</v>
      </c>
      <c r="CN134" s="22">
        <f t="shared" si="120"/>
        <v>12.51148565107284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5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63.492000000000161</v>
      </c>
      <c r="D135" s="11">
        <f t="shared" si="140"/>
        <v>18.048228468163416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629.43334256126263</v>
      </c>
      <c r="H135" s="67">
        <f t="shared" si="110"/>
        <v>435.34923124871818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4.5474735088646412E-13</v>
      </c>
      <c r="O135" s="13">
        <f>N135*VLOOKUP('Données projet'!$B$9,Paramètres!$A$1:$I$89,3,0)*VLOOKUP('Données projet'!$B$9,Paramètres!$A$1:$I$89,5,0)</f>
        <v>2.1873347577638923E-13</v>
      </c>
      <c r="P135" s="13">
        <f t="shared" si="141"/>
        <v>2.999861355695181E-12</v>
      </c>
      <c r="Q135" s="20">
        <f t="shared" si="108"/>
        <v>5.6057193314796512E-12</v>
      </c>
      <c r="R135" s="59">
        <f t="shared" si="109"/>
        <v>293.33333333333894</v>
      </c>
      <c r="S135" s="59">
        <f ca="1">AVERAGE(OFFSET($R$3,0,0,'Données projet'!$E$9+1,1))-AVERAGE(OFFSET($H$3,0,0,'Données projet'!$E$9+1,1))</f>
        <v>234.10156575337737</v>
      </c>
      <c r="T135" s="59">
        <f t="shared" si="142"/>
        <v>285.68635263076646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60.447536094104706</v>
      </c>
      <c r="AA135" s="21">
        <f>EXP(-LN(2)/25)*AA134+(1-EXP(-LN(2)/25))/(LN(2)/25)*Calculateur!V135*Calculateur!X135*VLOOKUP('Données projet'!$B$9,Paramètres!$A$1:$I$89,3,0)*0.475*44/12</f>
        <v>22.049621611055056</v>
      </c>
      <c r="AB135" s="21">
        <f>EXP(-LN(2)/2)*AB134+(1-EXP(-LN(2)/2))/(LN(2)/2)*V135*Y135*VLOOKUP('Données projet'!$B$9,Paramètres!$A$1:$I$89,3,0)*0.475*44/12</f>
        <v>1.9276585053197489E-14</v>
      </c>
      <c r="AC135" s="22">
        <f t="shared" si="111"/>
        <v>82.497157705159779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0</v>
      </c>
      <c r="AJ135" s="13">
        <f>AI135*VLOOKUP('Données projet'!$B$10,Paramètres!$A$1:$I$89,3,0)*VLOOKUP('Données projet'!$B$10,Paramètres!$A$1:$I$89,5,0)</f>
        <v>0</v>
      </c>
      <c r="AK135" s="13" t="e">
        <f t="shared" si="143"/>
        <v>#NUM!</v>
      </c>
      <c r="AL135" s="20" t="e">
        <f t="shared" si="112"/>
        <v>#NUM!</v>
      </c>
      <c r="AM135" s="59" t="e">
        <f t="shared" si="113"/>
        <v>#NUM!</v>
      </c>
      <c r="AN135" s="59">
        <f ca="1">AVERAGE(OFFSET($AM$3,0,0,'Données projet'!$E$10+1,1))-AVERAGE(OFFSET($H$3,0,0,'Données projet'!$E$10+1,1))</f>
        <v>179.44051550872138</v>
      </c>
      <c r="AO135" s="59">
        <f t="shared" si="144"/>
        <v>272.9500808380069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20.018470675567549</v>
      </c>
      <c r="AV135" s="21">
        <f>EXP(-LN(2)/25)*AV134+(1-EXP(-LN(2)/25))/(LN(2)/25)*Calculateur!AQ135*Calculateur!AS135*VLOOKUP('Données projet'!$B$10,Paramètres!$A$1:$I$89,3,0)*0.475*44/12</f>
        <v>19.644610322392278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39.663080997959824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-1.1368683772161603E-13</v>
      </c>
      <c r="BE135" s="13">
        <f>BD135*VLOOKUP('Données projet'!$B$11,Paramètres!$A$1:$I$89,3,0)*VLOOKUP('Données projet'!$B$11,Paramètres!$A$1:$I$89,5,0)</f>
        <v>-6.3550942286383367E-14</v>
      </c>
      <c r="BF135" s="13" t="e">
        <f t="shared" si="145"/>
        <v>#NUM!</v>
      </c>
      <c r="BG135" s="20" t="e">
        <f t="shared" si="115"/>
        <v>#NUM!</v>
      </c>
      <c r="BH135" s="59" t="e">
        <f t="shared" si="116"/>
        <v>#NUM!</v>
      </c>
      <c r="BI135" s="59">
        <f ca="1">AVERAGE(OFFSET($BH$3,0,0,'Données projet'!$E$11+1,1))-AVERAGE(OFFSET($H$3,0,0,'Données projet'!$E$11+1,1))</f>
        <v>278.5296012747549</v>
      </c>
      <c r="BJ135" s="59">
        <f t="shared" si="146"/>
        <v>370.55343097937077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49.329112594391638</v>
      </c>
      <c r="BQ135" s="21">
        <f>EXP(-LN(2)/25)*BQ134+(1-EXP(-LN(2)/25))/(LN(2)/25)*Calculateur!BL135*Calculateur!BN135*VLOOKUP('Données projet'!$B$11,Paramètres!$A$1:$I$89,3,0)*0.475*44/12</f>
        <v>6.8125233176773197</v>
      </c>
      <c r="BR135" s="21">
        <f>EXP(-LN(2)/2)*BR134+(1-EXP(-LN(2)/2))/(LN(2)/2)*BL135*BO135*VLOOKUP('Données projet'!$B$11,Paramètres!$A$1:$I$89,3,0)*0.475*44/12</f>
        <v>8.7877887255610725E-11</v>
      </c>
      <c r="BS135" s="22">
        <f t="shared" si="117"/>
        <v>56.141635912156836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266.99999999999983</v>
      </c>
      <c r="BZ135" s="13">
        <f>BY135*VLOOKUP('Données projet'!$B$12,Paramètres!$A$1:$I$89,3,0)*VLOOKUP('Données projet'!$B$12,Paramètres!$A$1:$I$89,5,0)</f>
        <v>212.42519999999985</v>
      </c>
      <c r="CA135" s="13">
        <f t="shared" si="147"/>
        <v>52.465198231787184</v>
      </c>
      <c r="CB135" s="20">
        <f t="shared" si="118"/>
        <v>461.35077692036231</v>
      </c>
      <c r="CC135" s="59">
        <f t="shared" si="119"/>
        <v>754.68411025369562</v>
      </c>
      <c r="CD135" s="59">
        <f ca="1">AVERAGE(OFFSET($CC$3,0,0,'Données projet'!$E$12+1,1))-AVERAGE(OFFSET($H$3,0,0,'Données projet'!$E$12+1,1))</f>
        <v>225.2323446080772</v>
      </c>
      <c r="CE135" s="59">
        <f t="shared" si="148"/>
        <v>222.29030402759292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10.280566413643635</v>
      </c>
      <c r="CL135" s="21">
        <f>EXP(-LN(2)/25)*CL134+(1-EXP(-LN(2)/25))/(LN(2)/25)*Calculateur!CG135*Calculateur!CI135*VLOOKUP('Données projet'!$B$12,Paramètres!$A$1:$I$89,3,0)*0.475*44/12</f>
        <v>1.9699096645573315</v>
      </c>
      <c r="CM135" s="21">
        <f>EXP(-LN(2)/2)*CM134+(1-EXP(-LN(2)/2))/(LN(2)/2)*CG135*CJ135*VLOOKUP('Données projet'!$B$12,Paramètres!$A$1:$I$89,3,0)*0.475*44/12</f>
        <v>0</v>
      </c>
      <c r="CN135" s="22">
        <f t="shared" si="120"/>
        <v>12.250476078200967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5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63.973000000000162</v>
      </c>
      <c r="D136" s="11">
        <f t="shared" si="140"/>
        <v>18.168989097390945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634.07851233073836</v>
      </c>
      <c r="H136" s="67">
        <f t="shared" si="110"/>
        <v>436.39729767795615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4.5474735088646412E-13</v>
      </c>
      <c r="O136" s="13">
        <f>N136*VLOOKUP('Données projet'!$B$9,Paramètres!$A$1:$I$89,3,0)*VLOOKUP('Données projet'!$B$9,Paramètres!$A$1:$I$89,5,0)</f>
        <v>2.1873347577638923E-13</v>
      </c>
      <c r="P136" s="13">
        <f t="shared" si="141"/>
        <v>2.999861355695181E-12</v>
      </c>
      <c r="Q136" s="20">
        <f t="shared" si="108"/>
        <v>5.6057193314796512E-12</v>
      </c>
      <c r="R136" s="59">
        <f t="shared" si="109"/>
        <v>293.33333333333894</v>
      </c>
      <c r="S136" s="59">
        <f ca="1">AVERAGE(OFFSET($R$3,0,0,'Données projet'!$E$9+1,1))-AVERAGE(OFFSET($H$3,0,0,'Données projet'!$E$9+1,1))</f>
        <v>234.10156575337737</v>
      </c>
      <c r="T136" s="59">
        <f t="shared" si="142"/>
        <v>285.68635263076646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59.262196780655785</v>
      </c>
      <c r="AA136" s="21">
        <f>EXP(-LN(2)/25)*AA135+(1-EXP(-LN(2)/25))/(LN(2)/25)*Calculateur!V136*Calculateur!X136*VLOOKUP('Données projet'!$B$9,Paramètres!$A$1:$I$89,3,0)*0.475*44/12</f>
        <v>21.446673548561549</v>
      </c>
      <c r="AB136" s="21">
        <f>EXP(-LN(2)/2)*AB135+(1-EXP(-LN(2)/2))/(LN(2)/2)*V136*Y136*VLOOKUP('Données projet'!$B$9,Paramètres!$A$1:$I$89,3,0)*0.475*44/12</f>
        <v>1.3630604009235189E-14</v>
      </c>
      <c r="AC136" s="22">
        <f t="shared" si="111"/>
        <v>80.708870329217348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0</v>
      </c>
      <c r="AJ136" s="13">
        <f>AI136*VLOOKUP('Données projet'!$B$10,Paramètres!$A$1:$I$89,3,0)*VLOOKUP('Données projet'!$B$10,Paramètres!$A$1:$I$89,5,0)</f>
        <v>0</v>
      </c>
      <c r="AK136" s="13" t="e">
        <f t="shared" si="143"/>
        <v>#NUM!</v>
      </c>
      <c r="AL136" s="20" t="e">
        <f t="shared" si="112"/>
        <v>#NUM!</v>
      </c>
      <c r="AM136" s="59" t="e">
        <f t="shared" si="113"/>
        <v>#NUM!</v>
      </c>
      <c r="AN136" s="59">
        <f ca="1">AVERAGE(OFFSET($AM$3,0,0,'Données projet'!$E$10+1,1))-AVERAGE(OFFSET($H$3,0,0,'Données projet'!$E$10+1,1))</f>
        <v>179.44051550872138</v>
      </c>
      <c r="AO136" s="59">
        <f t="shared" si="144"/>
        <v>272.9500808380069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19.625920675681137</v>
      </c>
      <c r="AV136" s="21">
        <f>EXP(-LN(2)/25)*AV135+(1-EXP(-LN(2)/25))/(LN(2)/25)*Calculateur!AQ136*Calculateur!AS136*VLOOKUP('Données projet'!$B$10,Paramètres!$A$1:$I$89,3,0)*0.475*44/12</f>
        <v>19.107427420061303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38.733348095742443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-1.1368683772161603E-13</v>
      </c>
      <c r="BE136" s="13">
        <f>BD136*VLOOKUP('Données projet'!$B$11,Paramètres!$A$1:$I$89,3,0)*VLOOKUP('Données projet'!$B$11,Paramètres!$A$1:$I$89,5,0)</f>
        <v>-6.3550942286383367E-14</v>
      </c>
      <c r="BF136" s="13" t="e">
        <f t="shared" si="145"/>
        <v>#NUM!</v>
      </c>
      <c r="BG136" s="20" t="e">
        <f t="shared" si="115"/>
        <v>#NUM!</v>
      </c>
      <c r="BH136" s="59" t="e">
        <f t="shared" si="116"/>
        <v>#NUM!</v>
      </c>
      <c r="BI136" s="59">
        <f ca="1">AVERAGE(OFFSET($BH$3,0,0,'Données projet'!$E$11+1,1))-AVERAGE(OFFSET($H$3,0,0,'Données projet'!$E$11+1,1))</f>
        <v>278.5296012747549</v>
      </c>
      <c r="BJ136" s="59">
        <f t="shared" si="146"/>
        <v>370.55343097937077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48.36179878420338</v>
      </c>
      <c r="BQ136" s="21">
        <f>EXP(-LN(2)/25)*BQ135+(1-EXP(-LN(2)/25))/(LN(2)/25)*Calculateur!BL136*Calculateur!BN136*VLOOKUP('Données projet'!$B$11,Paramètres!$A$1:$I$89,3,0)*0.475*44/12</f>
        <v>6.626234509300402</v>
      </c>
      <c r="BR136" s="21">
        <f>EXP(-LN(2)/2)*BR135+(1-EXP(-LN(2)/2))/(LN(2)/2)*BL136*BO136*VLOOKUP('Données projet'!$B$11,Paramètres!$A$1:$I$89,3,0)*0.475*44/12</f>
        <v>6.2139049994789226E-11</v>
      </c>
      <c r="BS136" s="22">
        <f t="shared" si="117"/>
        <v>54.98803329356592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266.99999999999983</v>
      </c>
      <c r="BZ136" s="13">
        <f>BY136*VLOOKUP('Données projet'!$B$12,Paramètres!$A$1:$I$89,3,0)*VLOOKUP('Données projet'!$B$12,Paramètres!$A$1:$I$89,5,0)</f>
        <v>212.42519999999985</v>
      </c>
      <c r="CA136" s="13">
        <f t="shared" si="147"/>
        <v>52.465198231787184</v>
      </c>
      <c r="CB136" s="20">
        <f t="shared" si="118"/>
        <v>461.35077692036231</v>
      </c>
      <c r="CC136" s="59">
        <f t="shared" si="119"/>
        <v>754.68411025369562</v>
      </c>
      <c r="CD136" s="59">
        <f ca="1">AVERAGE(OFFSET($CC$3,0,0,'Données projet'!$E$12+1,1))-AVERAGE(OFFSET($H$3,0,0,'Données projet'!$E$12+1,1))</f>
        <v>225.2323446080772</v>
      </c>
      <c r="CE136" s="59">
        <f t="shared" si="148"/>
        <v>222.29030402759292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10.078970776798434</v>
      </c>
      <c r="CL136" s="21">
        <f>EXP(-LN(2)/25)*CL135+(1-EXP(-LN(2)/25))/(LN(2)/25)*Calculateur!CG136*Calculateur!CI136*VLOOKUP('Données projet'!$B$12,Paramètres!$A$1:$I$89,3,0)*0.475*44/12</f>
        <v>1.9160423811869642</v>
      </c>
      <c r="CM136" s="21">
        <f>EXP(-LN(2)/2)*CM135+(1-EXP(-LN(2)/2))/(LN(2)/2)*CG136*CJ136*VLOOKUP('Données projet'!$B$12,Paramètres!$A$1:$I$89,3,0)*0.475*44/12</f>
        <v>0</v>
      </c>
      <c r="CN136" s="22">
        <f t="shared" si="120"/>
        <v>11.995013157985397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5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64.454000000000164</v>
      </c>
      <c r="D137" s="11">
        <f t="shared" si="140"/>
        <v>18.289644083550719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638.72286660986651</v>
      </c>
      <c r="H137" s="67">
        <f t="shared" si="110"/>
        <v>437.4451801121844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4.5474735088646412E-13</v>
      </c>
      <c r="O137" s="13">
        <f>N137*VLOOKUP('Données projet'!$B$9,Paramètres!$A$1:$I$89,3,0)*VLOOKUP('Données projet'!$B$9,Paramètres!$A$1:$I$89,5,0)</f>
        <v>2.1873347577638923E-13</v>
      </c>
      <c r="P137" s="13">
        <f t="shared" si="141"/>
        <v>2.999861355695181E-12</v>
      </c>
      <c r="Q137" s="20">
        <f t="shared" si="108"/>
        <v>5.6057193314796512E-12</v>
      </c>
      <c r="R137" s="59">
        <f t="shared" si="109"/>
        <v>293.33333333333894</v>
      </c>
      <c r="S137" s="59">
        <f ca="1">AVERAGE(OFFSET($R$3,0,0,'Données projet'!$E$9+1,1))-AVERAGE(OFFSET($H$3,0,0,'Données projet'!$E$9+1,1))</f>
        <v>234.10156575337737</v>
      </c>
      <c r="T137" s="59">
        <f t="shared" si="142"/>
        <v>285.68635263076646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58.100101248158005</v>
      </c>
      <c r="AA137" s="21">
        <f>EXP(-LN(2)/25)*AA136+(1-EXP(-LN(2)/25))/(LN(2)/25)*Calculateur!V137*Calculateur!X137*VLOOKUP('Données projet'!$B$9,Paramètres!$A$1:$I$89,3,0)*0.475*44/12</f>
        <v>20.860213132544587</v>
      </c>
      <c r="AB137" s="21">
        <f>EXP(-LN(2)/2)*AB136+(1-EXP(-LN(2)/2))/(LN(2)/2)*V137*Y137*VLOOKUP('Données projet'!$B$9,Paramètres!$A$1:$I$89,3,0)*0.475*44/12</f>
        <v>9.6382925265987444E-15</v>
      </c>
      <c r="AC137" s="22">
        <f t="shared" si="111"/>
        <v>78.960314380702599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0</v>
      </c>
      <c r="AJ137" s="13">
        <f>AI137*VLOOKUP('Données projet'!$B$10,Paramètres!$A$1:$I$89,3,0)*VLOOKUP('Données projet'!$B$10,Paramètres!$A$1:$I$89,5,0)</f>
        <v>0</v>
      </c>
      <c r="AK137" s="13" t="e">
        <f t="shared" si="143"/>
        <v>#NUM!</v>
      </c>
      <c r="AL137" s="20" t="e">
        <f t="shared" si="112"/>
        <v>#NUM!</v>
      </c>
      <c r="AM137" s="59" t="e">
        <f t="shared" si="113"/>
        <v>#NUM!</v>
      </c>
      <c r="AN137" s="59">
        <f ca="1">AVERAGE(OFFSET($AM$3,0,0,'Données projet'!$E$10+1,1))-AVERAGE(OFFSET($H$3,0,0,'Données projet'!$E$10+1,1))</f>
        <v>179.44051550872138</v>
      </c>
      <c r="AO137" s="59">
        <f t="shared" si="144"/>
        <v>272.9500808380069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19.24106834186064</v>
      </c>
      <c r="AV137" s="21">
        <f>EXP(-LN(2)/25)*AV136+(1-EXP(-LN(2)/25))/(LN(2)/25)*Calculateur!AQ137*Calculateur!AS137*VLOOKUP('Données projet'!$B$10,Paramètres!$A$1:$I$89,3,0)*0.475*44/12</f>
        <v>18.58493381244379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37.826002154304433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-1.1368683772161603E-13</v>
      </c>
      <c r="BE137" s="13">
        <f>BD137*VLOOKUP('Données projet'!$B$11,Paramètres!$A$1:$I$89,3,0)*VLOOKUP('Données projet'!$B$11,Paramètres!$A$1:$I$89,5,0)</f>
        <v>-6.3550942286383367E-14</v>
      </c>
      <c r="BF137" s="13" t="e">
        <f t="shared" si="145"/>
        <v>#NUM!</v>
      </c>
      <c r="BG137" s="20" t="e">
        <f t="shared" si="115"/>
        <v>#NUM!</v>
      </c>
      <c r="BH137" s="59" t="e">
        <f t="shared" si="116"/>
        <v>#NUM!</v>
      </c>
      <c r="BI137" s="59">
        <f ca="1">AVERAGE(OFFSET($BH$3,0,0,'Données projet'!$E$11+1,1))-AVERAGE(OFFSET($H$3,0,0,'Données projet'!$E$11+1,1))</f>
        <v>278.5296012747549</v>
      </c>
      <c r="BJ137" s="59">
        <f t="shared" si="146"/>
        <v>370.55343097937077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47.413453407829749</v>
      </c>
      <c r="BQ137" s="21">
        <f>EXP(-LN(2)/25)*BQ136+(1-EXP(-LN(2)/25))/(LN(2)/25)*Calculateur!BL137*Calculateur!BN137*VLOOKUP('Données projet'!$B$11,Paramètres!$A$1:$I$89,3,0)*0.475*44/12</f>
        <v>6.4450397781850546</v>
      </c>
      <c r="BR137" s="21">
        <f>EXP(-LN(2)/2)*BR136+(1-EXP(-LN(2)/2))/(LN(2)/2)*BL137*BO137*VLOOKUP('Données projet'!$B$11,Paramètres!$A$1:$I$89,3,0)*0.475*44/12</f>
        <v>4.3938943627805363E-11</v>
      </c>
      <c r="BS137" s="22">
        <f t="shared" si="117"/>
        <v>53.858493186058745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266.99999999999983</v>
      </c>
      <c r="BZ137" s="13">
        <f>BY137*VLOOKUP('Données projet'!$B$12,Paramètres!$A$1:$I$89,3,0)*VLOOKUP('Données projet'!$B$12,Paramètres!$A$1:$I$89,5,0)</f>
        <v>212.42519999999985</v>
      </c>
      <c r="CA137" s="13">
        <f t="shared" si="147"/>
        <v>52.465198231787184</v>
      </c>
      <c r="CB137" s="20">
        <f t="shared" si="118"/>
        <v>461.35077692036231</v>
      </c>
      <c r="CC137" s="59">
        <f t="shared" si="119"/>
        <v>754.68411025369562</v>
      </c>
      <c r="CD137" s="59">
        <f ca="1">AVERAGE(OFFSET($CC$3,0,0,'Données projet'!$E$12+1,1))-AVERAGE(OFFSET($H$3,0,0,'Données projet'!$E$12+1,1))</f>
        <v>225.2323446080772</v>
      </c>
      <c r="CE137" s="59">
        <f t="shared" si="148"/>
        <v>222.29030402759292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9.881328307430568</v>
      </c>
      <c r="CL137" s="21">
        <f>EXP(-LN(2)/25)*CL136+(1-EXP(-LN(2)/25))/(LN(2)/25)*Calculateur!CG137*Calculateur!CI137*VLOOKUP('Données projet'!$B$12,Paramètres!$A$1:$I$89,3,0)*0.475*44/12</f>
        <v>1.863648101513117</v>
      </c>
      <c r="CM137" s="21">
        <f>EXP(-LN(2)/2)*CM136+(1-EXP(-LN(2)/2))/(LN(2)/2)*CG137*CJ137*VLOOKUP('Données projet'!$B$12,Paramètres!$A$1:$I$89,3,0)*0.475*44/12</f>
        <v>0</v>
      </c>
      <c r="CN137" s="22">
        <f t="shared" si="120"/>
        <v>11.744976408943685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5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64.935000000000159</v>
      </c>
      <c r="D138" s="11">
        <f t="shared" si="140"/>
        <v>18.41019430642563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643.36641218995339</v>
      </c>
      <c r="H138" s="67">
        <f t="shared" si="110"/>
        <v>438.49288008369155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4.5474735088646412E-13</v>
      </c>
      <c r="O138" s="13">
        <f>N138*VLOOKUP('Données projet'!$B$9,Paramètres!$A$1:$I$89,3,0)*VLOOKUP('Données projet'!$B$9,Paramètres!$A$1:$I$89,5,0)</f>
        <v>2.1873347577638923E-13</v>
      </c>
      <c r="P138" s="13">
        <f t="shared" si="141"/>
        <v>2.999861355695181E-12</v>
      </c>
      <c r="Q138" s="20">
        <f t="shared" si="108"/>
        <v>5.6057193314796512E-12</v>
      </c>
      <c r="R138" s="59">
        <f t="shared" si="109"/>
        <v>293.33333333333894</v>
      </c>
      <c r="S138" s="59">
        <f ca="1">AVERAGE(OFFSET($R$3,0,0,'Données projet'!$E$9+1,1))-AVERAGE(OFFSET($H$3,0,0,'Données projet'!$E$9+1,1))</f>
        <v>234.10156575337737</v>
      </c>
      <c r="T138" s="59">
        <f t="shared" si="142"/>
        <v>285.68635263076646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56.960793700244217</v>
      </c>
      <c r="AA138" s="21">
        <f>EXP(-LN(2)/25)*AA137+(1-EXP(-LN(2)/25))/(LN(2)/25)*Calculateur!V138*Calculateur!X138*VLOOKUP('Données projet'!$B$9,Paramètres!$A$1:$I$89,3,0)*0.475*44/12</f>
        <v>20.289789507444222</v>
      </c>
      <c r="AB138" s="21">
        <f>EXP(-LN(2)/2)*AB137+(1-EXP(-LN(2)/2))/(LN(2)/2)*V138*Y138*VLOOKUP('Données projet'!$B$9,Paramètres!$A$1:$I$89,3,0)*0.475*44/12</f>
        <v>6.8153020046175947E-15</v>
      </c>
      <c r="AC138" s="22">
        <f t="shared" si="111"/>
        <v>77.250583207688436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0</v>
      </c>
      <c r="AJ138" s="13">
        <f>AI138*VLOOKUP('Données projet'!$B$10,Paramètres!$A$1:$I$89,3,0)*VLOOKUP('Données projet'!$B$10,Paramètres!$A$1:$I$89,5,0)</f>
        <v>0</v>
      </c>
      <c r="AK138" s="13" t="e">
        <f t="shared" si="143"/>
        <v>#NUM!</v>
      </c>
      <c r="AL138" s="20" t="e">
        <f t="shared" si="112"/>
        <v>#NUM!</v>
      </c>
      <c r="AM138" s="59" t="e">
        <f t="shared" si="113"/>
        <v>#NUM!</v>
      </c>
      <c r="AN138" s="59">
        <f ca="1">AVERAGE(OFFSET($AM$3,0,0,'Données projet'!$E$10+1,1))-AVERAGE(OFFSET($H$3,0,0,'Données projet'!$E$10+1,1))</f>
        <v>179.44051550872138</v>
      </c>
      <c r="AO138" s="59">
        <f t="shared" si="144"/>
        <v>272.9500808380069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18.863762727569618</v>
      </c>
      <c r="AV138" s="21">
        <f>EXP(-LN(2)/25)*AV137+(1-EXP(-LN(2)/25))/(LN(2)/25)*Calculateur!AQ138*Calculateur!AS138*VLOOKUP('Données projet'!$B$10,Paramètres!$A$1:$I$89,3,0)*0.475*44/12</f>
        <v>18.07672782000332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36.940490547572935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-1.1368683772161603E-13</v>
      </c>
      <c r="BE138" s="13">
        <f>BD138*VLOOKUP('Données projet'!$B$11,Paramètres!$A$1:$I$89,3,0)*VLOOKUP('Données projet'!$B$11,Paramètres!$A$1:$I$89,5,0)</f>
        <v>-6.3550942286383367E-14</v>
      </c>
      <c r="BF138" s="13" t="e">
        <f t="shared" si="145"/>
        <v>#NUM!</v>
      </c>
      <c r="BG138" s="20" t="e">
        <f t="shared" si="115"/>
        <v>#NUM!</v>
      </c>
      <c r="BH138" s="59" t="e">
        <f t="shared" si="116"/>
        <v>#NUM!</v>
      </c>
      <c r="BI138" s="59">
        <f ca="1">AVERAGE(OFFSET($BH$3,0,0,'Données projet'!$E$11+1,1))-AVERAGE(OFFSET($H$3,0,0,'Données projet'!$E$11+1,1))</f>
        <v>278.5296012747549</v>
      </c>
      <c r="BJ138" s="59">
        <f t="shared" si="146"/>
        <v>370.55343097937077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46.48370450585324</v>
      </c>
      <c r="BQ138" s="21">
        <f>EXP(-LN(2)/25)*BQ137+(1-EXP(-LN(2)/25))/(LN(2)/25)*Calculateur!BL138*Calculateur!BN138*VLOOKUP('Données projet'!$B$11,Paramètres!$A$1:$I$89,3,0)*0.475*44/12</f>
        <v>6.2687998265206728</v>
      </c>
      <c r="BR138" s="21">
        <f>EXP(-LN(2)/2)*BR137+(1-EXP(-LN(2)/2))/(LN(2)/2)*BL138*BO138*VLOOKUP('Données projet'!$B$11,Paramètres!$A$1:$I$89,3,0)*0.475*44/12</f>
        <v>3.1069524997394613E-11</v>
      </c>
      <c r="BS138" s="22">
        <f t="shared" si="117"/>
        <v>52.752504332404982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266.99999999999983</v>
      </c>
      <c r="BZ138" s="13">
        <f>BY138*VLOOKUP('Données projet'!$B$12,Paramètres!$A$1:$I$89,3,0)*VLOOKUP('Données projet'!$B$12,Paramètres!$A$1:$I$89,5,0)</f>
        <v>212.42519999999985</v>
      </c>
      <c r="CA138" s="13">
        <f t="shared" si="147"/>
        <v>52.465198231787184</v>
      </c>
      <c r="CB138" s="20">
        <f t="shared" si="118"/>
        <v>461.35077692036231</v>
      </c>
      <c r="CC138" s="59">
        <f t="shared" si="119"/>
        <v>754.68411025369562</v>
      </c>
      <c r="CD138" s="59">
        <f ca="1">AVERAGE(OFFSET($CC$3,0,0,'Données projet'!$E$12+1,1))-AVERAGE(OFFSET($H$3,0,0,'Données projet'!$E$12+1,1))</f>
        <v>225.2323446080772</v>
      </c>
      <c r="CE138" s="59">
        <f t="shared" si="148"/>
        <v>222.29030402759292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9.6875614863370032</v>
      </c>
      <c r="CL138" s="21">
        <f>EXP(-LN(2)/25)*CL137+(1-EXP(-LN(2)/25))/(LN(2)/25)*Calculateur!CG138*Calculateur!CI138*VLOOKUP('Données projet'!$B$12,Paramètres!$A$1:$I$89,3,0)*0.475*44/12</f>
        <v>1.8126865461722466</v>
      </c>
      <c r="CM138" s="21">
        <f>EXP(-LN(2)/2)*CM137+(1-EXP(-LN(2)/2))/(LN(2)/2)*CG138*CJ138*VLOOKUP('Données projet'!$B$12,Paramètres!$A$1:$I$89,3,0)*0.475*44/12</f>
        <v>0</v>
      </c>
      <c r="CN138" s="22">
        <f t="shared" si="120"/>
        <v>11.50024803250925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5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65.416000000000153</v>
      </c>
      <c r="D139" s="11">
        <f t="shared" si="140"/>
        <v>18.530640632011767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648.00915575588147</v>
      </c>
      <c r="H139" s="67">
        <f t="shared" si="110"/>
        <v>439.54039910075409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4.5474735088646412E-13</v>
      </c>
      <c r="O139" s="13">
        <f>N139*VLOOKUP('Données projet'!$B$9,Paramètres!$A$1:$I$89,3,0)*VLOOKUP('Données projet'!$B$9,Paramètres!$A$1:$I$89,5,0)</f>
        <v>2.1873347577638923E-13</v>
      </c>
      <c r="P139" s="13">
        <f t="shared" si="141"/>
        <v>2.999861355695181E-12</v>
      </c>
      <c r="Q139" s="20">
        <f t="shared" si="108"/>
        <v>5.6057193314796512E-12</v>
      </c>
      <c r="R139" s="59">
        <f t="shared" si="109"/>
        <v>293.33333333333894</v>
      </c>
      <c r="S139" s="59">
        <f ca="1">AVERAGE(OFFSET($R$3,0,0,'Données projet'!$E$9+1,1))-AVERAGE(OFFSET($H$3,0,0,'Données projet'!$E$9+1,1))</f>
        <v>234.10156575337737</v>
      </c>
      <c r="T139" s="59">
        <f t="shared" si="142"/>
        <v>285.68635263076646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55.843827278436031</v>
      </c>
      <c r="AA139" s="21">
        <f>EXP(-LN(2)/25)*AA138+(1-EXP(-LN(2)/25))/(LN(2)/25)*Calculateur!V139*Calculateur!X139*VLOOKUP('Données projet'!$B$9,Paramètres!$A$1:$I$89,3,0)*0.475*44/12</f>
        <v>19.734964146369503</v>
      </c>
      <c r="AB139" s="21">
        <f>EXP(-LN(2)/2)*AB138+(1-EXP(-LN(2)/2))/(LN(2)/2)*V139*Y139*VLOOKUP('Données projet'!$B$9,Paramètres!$A$1:$I$89,3,0)*0.475*44/12</f>
        <v>4.8191462632993722E-15</v>
      </c>
      <c r="AC139" s="22">
        <f t="shared" si="111"/>
        <v>75.57879142480553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0</v>
      </c>
      <c r="AJ139" s="13">
        <f>AI139*VLOOKUP('Données projet'!$B$10,Paramètres!$A$1:$I$89,3,0)*VLOOKUP('Données projet'!$B$10,Paramètres!$A$1:$I$89,5,0)</f>
        <v>0</v>
      </c>
      <c r="AK139" s="13" t="e">
        <f t="shared" si="143"/>
        <v>#NUM!</v>
      </c>
      <c r="AL139" s="20" t="e">
        <f t="shared" si="112"/>
        <v>#NUM!</v>
      </c>
      <c r="AM139" s="59" t="e">
        <f t="shared" si="113"/>
        <v>#NUM!</v>
      </c>
      <c r="AN139" s="59">
        <f ca="1">AVERAGE(OFFSET($AM$3,0,0,'Données projet'!$E$10+1,1))-AVERAGE(OFFSET($H$3,0,0,'Données projet'!$E$10+1,1))</f>
        <v>179.44051550872138</v>
      </c>
      <c r="AO139" s="59">
        <f t="shared" si="144"/>
        <v>272.9500808380069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18.493855846241143</v>
      </c>
      <c r="AV139" s="21">
        <f>EXP(-LN(2)/25)*AV138+(1-EXP(-LN(2)/25))/(LN(2)/25)*Calculateur!AQ139*Calculateur!AS139*VLOOKUP('Données projet'!$B$10,Paramètres!$A$1:$I$89,3,0)*0.475*44/12</f>
        <v>17.582418747151529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36.076274593392668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-1.1368683772161603E-13</v>
      </c>
      <c r="BE139" s="13">
        <f>BD139*VLOOKUP('Données projet'!$B$11,Paramètres!$A$1:$I$89,3,0)*VLOOKUP('Données projet'!$B$11,Paramètres!$A$1:$I$89,5,0)</f>
        <v>-6.3550942286383367E-14</v>
      </c>
      <c r="BF139" s="13" t="e">
        <f t="shared" si="145"/>
        <v>#NUM!</v>
      </c>
      <c r="BG139" s="20" t="e">
        <f t="shared" si="115"/>
        <v>#NUM!</v>
      </c>
      <c r="BH139" s="59" t="e">
        <f t="shared" si="116"/>
        <v>#NUM!</v>
      </c>
      <c r="BI139" s="59">
        <f ca="1">AVERAGE(OFFSET($BH$3,0,0,'Données projet'!$E$11+1,1))-AVERAGE(OFFSET($H$3,0,0,'Données projet'!$E$11+1,1))</f>
        <v>278.5296012747549</v>
      </c>
      <c r="BJ139" s="59">
        <f t="shared" si="146"/>
        <v>370.55343097937077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45.572187412753649</v>
      </c>
      <c r="BQ139" s="21">
        <f>EXP(-LN(2)/25)*BQ138+(1-EXP(-LN(2)/25))/(LN(2)/25)*Calculateur!BL139*Calculateur!BN139*VLOOKUP('Données projet'!$B$11,Paramètres!$A$1:$I$89,3,0)*0.475*44/12</f>
        <v>6.09737916560261</v>
      </c>
      <c r="BR139" s="21">
        <f>EXP(-LN(2)/2)*BR138+(1-EXP(-LN(2)/2))/(LN(2)/2)*BL139*BO139*VLOOKUP('Données projet'!$B$11,Paramètres!$A$1:$I$89,3,0)*0.475*44/12</f>
        <v>2.1969471813902681E-11</v>
      </c>
      <c r="BS139" s="22">
        <f t="shared" si="117"/>
        <v>51.66956657837823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266.99999999999983</v>
      </c>
      <c r="BZ139" s="13">
        <f>BY139*VLOOKUP('Données projet'!$B$12,Paramètres!$A$1:$I$89,3,0)*VLOOKUP('Données projet'!$B$12,Paramètres!$A$1:$I$89,5,0)</f>
        <v>212.42519999999985</v>
      </c>
      <c r="CA139" s="13">
        <f t="shared" si="147"/>
        <v>52.465198231787184</v>
      </c>
      <c r="CB139" s="20">
        <f t="shared" si="118"/>
        <v>461.35077692036231</v>
      </c>
      <c r="CC139" s="59">
        <f t="shared" si="119"/>
        <v>754.68411025369562</v>
      </c>
      <c r="CD139" s="59">
        <f ca="1">AVERAGE(OFFSET($CC$3,0,0,'Données projet'!$E$12+1,1))-AVERAGE(OFFSET($H$3,0,0,'Données projet'!$E$12+1,1))</f>
        <v>225.2323446080772</v>
      </c>
      <c r="CE139" s="59">
        <f t="shared" si="148"/>
        <v>222.29030402759292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9.4975943144189934</v>
      </c>
      <c r="CL139" s="21">
        <f>EXP(-LN(2)/25)*CL138+(1-EXP(-LN(2)/25))/(LN(2)/25)*Calculateur!CG139*Calculateur!CI139*VLOOKUP('Données projet'!$B$12,Paramètres!$A$1:$I$89,3,0)*0.475*44/12</f>
        <v>1.7631185372421239</v>
      </c>
      <c r="CM139" s="21">
        <f>EXP(-LN(2)/2)*CM138+(1-EXP(-LN(2)/2))/(LN(2)/2)*CG139*CJ139*VLOOKUP('Données projet'!$B$12,Paramètres!$A$1:$I$89,3,0)*0.475*44/12</f>
        <v>0</v>
      </c>
      <c r="CN139" s="22">
        <f t="shared" si="120"/>
        <v>11.260712851661117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5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65.897000000000148</v>
      </c>
      <c r="D140" s="11">
        <f t="shared" si="140"/>
        <v>18.65098391283415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652.65110388854555</v>
      </c>
      <c r="H140" s="67">
        <f t="shared" si="110"/>
        <v>440.58773864818636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4.5474735088646412E-13</v>
      </c>
      <c r="O140" s="13">
        <f>N140*VLOOKUP('Données projet'!$B$9,Paramètres!$A$1:$I$89,3,0)*VLOOKUP('Données projet'!$B$9,Paramètres!$A$1:$I$89,5,0)</f>
        <v>2.1873347577638923E-13</v>
      </c>
      <c r="P140" s="13">
        <f t="shared" si="141"/>
        <v>2.999861355695181E-12</v>
      </c>
      <c r="Q140" s="20">
        <f t="shared" si="108"/>
        <v>5.6057193314796512E-12</v>
      </c>
      <c r="R140" s="59">
        <f t="shared" si="109"/>
        <v>293.33333333333894</v>
      </c>
      <c r="S140" s="59">
        <f ca="1">AVERAGE(OFFSET($R$3,0,0,'Données projet'!$E$9+1,1))-AVERAGE(OFFSET($H$3,0,0,'Données projet'!$E$9+1,1))</f>
        <v>234.10156575337737</v>
      </c>
      <c r="T140" s="59">
        <f t="shared" si="142"/>
        <v>285.68635263076646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54.748763886877256</v>
      </c>
      <c r="AA140" s="21">
        <f>EXP(-LN(2)/25)*AA139+(1-EXP(-LN(2)/25))/(LN(2)/25)*Calculateur!V140*Calculateur!X140*VLOOKUP('Données projet'!$B$9,Paramètres!$A$1:$I$89,3,0)*0.475*44/12</f>
        <v>19.195310513970369</v>
      </c>
      <c r="AB140" s="21">
        <f>EXP(-LN(2)/2)*AB139+(1-EXP(-LN(2)/2))/(LN(2)/2)*V140*Y140*VLOOKUP('Données projet'!$B$9,Paramètres!$A$1:$I$89,3,0)*0.475*44/12</f>
        <v>3.4076510023087974E-15</v>
      </c>
      <c r="AC140" s="22">
        <f t="shared" si="111"/>
        <v>73.944074400847626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0</v>
      </c>
      <c r="AJ140" s="13">
        <f>AI140*VLOOKUP('Données projet'!$B$10,Paramètres!$A$1:$I$89,3,0)*VLOOKUP('Données projet'!$B$10,Paramètres!$A$1:$I$89,5,0)</f>
        <v>0</v>
      </c>
      <c r="AK140" s="13" t="e">
        <f t="shared" si="143"/>
        <v>#NUM!</v>
      </c>
      <c r="AL140" s="20" t="e">
        <f t="shared" si="112"/>
        <v>#NUM!</v>
      </c>
      <c r="AM140" s="59" t="e">
        <f t="shared" si="113"/>
        <v>#NUM!</v>
      </c>
      <c r="AN140" s="59">
        <f ca="1">AVERAGE(OFFSET($AM$3,0,0,'Données projet'!$E$10+1,1))-AVERAGE(OFFSET($H$3,0,0,'Données projet'!$E$10+1,1))</f>
        <v>179.44051550872138</v>
      </c>
      <c r="AO140" s="59">
        <f t="shared" si="144"/>
        <v>272.9500808380069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18.131202613234599</v>
      </c>
      <c r="AV140" s="21">
        <f>EXP(-LN(2)/25)*AV139+(1-EXP(-LN(2)/25))/(LN(2)/25)*Calculateur!AQ140*Calculateur!AS140*VLOOKUP('Données projet'!$B$10,Paramètres!$A$1:$I$89,3,0)*0.475*44/12</f>
        <v>17.101626581891452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35.232829195126051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-1.1368683772161603E-13</v>
      </c>
      <c r="BE140" s="13">
        <f>BD140*VLOOKUP('Données projet'!$B$11,Paramètres!$A$1:$I$89,3,0)*VLOOKUP('Données projet'!$B$11,Paramètres!$A$1:$I$89,5,0)</f>
        <v>-6.3550942286383367E-14</v>
      </c>
      <c r="BF140" s="13" t="e">
        <f t="shared" si="145"/>
        <v>#NUM!</v>
      </c>
      <c r="BG140" s="20" t="e">
        <f t="shared" si="115"/>
        <v>#NUM!</v>
      </c>
      <c r="BH140" s="59" t="e">
        <f t="shared" si="116"/>
        <v>#NUM!</v>
      </c>
      <c r="BI140" s="59">
        <f ca="1">AVERAGE(OFFSET($BH$3,0,0,'Données projet'!$E$11+1,1))-AVERAGE(OFFSET($H$3,0,0,'Données projet'!$E$11+1,1))</f>
        <v>278.5296012747549</v>
      </c>
      <c r="BJ140" s="59">
        <f t="shared" si="146"/>
        <v>370.55343097937077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44.678544613879218</v>
      </c>
      <c r="BQ140" s="21">
        <f>EXP(-LN(2)/25)*BQ139+(1-EXP(-LN(2)/25))/(LN(2)/25)*Calculateur!BL140*Calculateur!BN140*VLOOKUP('Données projet'!$B$11,Paramètres!$A$1:$I$89,3,0)*0.475*44/12</f>
        <v>5.9306460116719721</v>
      </c>
      <c r="BR140" s="21">
        <f>EXP(-LN(2)/2)*BR139+(1-EXP(-LN(2)/2))/(LN(2)/2)*BL140*BO140*VLOOKUP('Données projet'!$B$11,Paramètres!$A$1:$I$89,3,0)*0.475*44/12</f>
        <v>1.5534762498697307E-11</v>
      </c>
      <c r="BS140" s="22">
        <f t="shared" si="117"/>
        <v>50.609190625566725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266.99999999999983</v>
      </c>
      <c r="BZ140" s="13">
        <f>BY140*VLOOKUP('Données projet'!$B$12,Paramètres!$A$1:$I$89,3,0)*VLOOKUP('Données projet'!$B$12,Paramètres!$A$1:$I$89,5,0)</f>
        <v>212.42519999999985</v>
      </c>
      <c r="CA140" s="13">
        <f t="shared" si="147"/>
        <v>52.465198231787184</v>
      </c>
      <c r="CB140" s="20">
        <f t="shared" si="118"/>
        <v>461.35077692036231</v>
      </c>
      <c r="CC140" s="59">
        <f t="shared" si="119"/>
        <v>754.68411025369562</v>
      </c>
      <c r="CD140" s="59">
        <f ca="1">AVERAGE(OFFSET($CC$3,0,0,'Données projet'!$E$12+1,1))-AVERAGE(OFFSET($H$3,0,0,'Données projet'!$E$12+1,1))</f>
        <v>225.2323446080772</v>
      </c>
      <c r="CE140" s="59">
        <f t="shared" si="148"/>
        <v>222.29030402759292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9.3113522828737612</v>
      </c>
      <c r="CL140" s="21">
        <f>EXP(-LN(2)/25)*CL139+(1-EXP(-LN(2)/25))/(LN(2)/25)*Calculateur!CG140*Calculateur!CI140*VLOOKUP('Données projet'!$B$12,Paramètres!$A$1:$I$89,3,0)*0.475*44/12</f>
        <v>1.7149059681228638</v>
      </c>
      <c r="CM140" s="21">
        <f>EXP(-LN(2)/2)*CM139+(1-EXP(-LN(2)/2))/(LN(2)/2)*CG140*CJ140*VLOOKUP('Données projet'!$B$12,Paramètres!$A$1:$I$89,3,0)*0.475*44/12</f>
        <v>0</v>
      </c>
      <c r="CN140" s="22">
        <f t="shared" si="120"/>
        <v>11.026258250996625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5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66.378000000000142</v>
      </c>
      <c r="D141" s="11">
        <f t="shared" si="140"/>
        <v>18.771224988253135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657.2922630672183</v>
      </c>
      <c r="H141" s="67">
        <f t="shared" si="110"/>
        <v>441.63490018787445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4.5474735088646412E-13</v>
      </c>
      <c r="O141" s="13">
        <f>N141*VLOOKUP('Données projet'!$B$9,Paramètres!$A$1:$I$89,3,0)*VLOOKUP('Données projet'!$B$9,Paramètres!$A$1:$I$89,5,0)</f>
        <v>2.1873347577638923E-13</v>
      </c>
      <c r="P141" s="13">
        <f t="shared" si="141"/>
        <v>2.999861355695181E-12</v>
      </c>
      <c r="Q141" s="20">
        <f t="shared" si="108"/>
        <v>5.6057193314796512E-12</v>
      </c>
      <c r="R141" s="59">
        <f t="shared" si="109"/>
        <v>293.33333333333894</v>
      </c>
      <c r="S141" s="59">
        <f ca="1">AVERAGE(OFFSET($R$3,0,0,'Données projet'!$E$9+1,1))-AVERAGE(OFFSET($H$3,0,0,'Données projet'!$E$9+1,1))</f>
        <v>234.10156575337737</v>
      </c>
      <c r="T141" s="59">
        <f t="shared" si="142"/>
        <v>285.68635263076646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53.675174020504237</v>
      </c>
      <c r="AA141" s="21">
        <f>EXP(-LN(2)/25)*AA140+(1-EXP(-LN(2)/25))/(LN(2)/25)*Calculateur!V141*Calculateur!X141*VLOOKUP('Données projet'!$B$9,Paramètres!$A$1:$I$89,3,0)*0.475*44/12</f>
        <v>18.670413738528342</v>
      </c>
      <c r="AB141" s="21">
        <f>EXP(-LN(2)/2)*AB140+(1-EXP(-LN(2)/2))/(LN(2)/2)*V141*Y141*VLOOKUP('Données projet'!$B$9,Paramètres!$A$1:$I$89,3,0)*0.475*44/12</f>
        <v>2.4095731316496861E-15</v>
      </c>
      <c r="AC141" s="22">
        <f t="shared" si="111"/>
        <v>72.345587759032583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0</v>
      </c>
      <c r="AJ141" s="13">
        <f>AI141*VLOOKUP('Données projet'!$B$10,Paramètres!$A$1:$I$89,3,0)*VLOOKUP('Données projet'!$B$10,Paramètres!$A$1:$I$89,5,0)</f>
        <v>0</v>
      </c>
      <c r="AK141" s="13" t="e">
        <f t="shared" si="143"/>
        <v>#NUM!</v>
      </c>
      <c r="AL141" s="20" t="e">
        <f t="shared" si="112"/>
        <v>#NUM!</v>
      </c>
      <c r="AM141" s="59" t="e">
        <f t="shared" si="113"/>
        <v>#NUM!</v>
      </c>
      <c r="AN141" s="59">
        <f ca="1">AVERAGE(OFFSET($AM$3,0,0,'Données projet'!$E$10+1,1))-AVERAGE(OFFSET($H$3,0,0,'Données projet'!$E$10+1,1))</f>
        <v>179.44051550872138</v>
      </c>
      <c r="AO141" s="59">
        <f t="shared" si="144"/>
        <v>272.9500808380069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17.775660788930683</v>
      </c>
      <c r="AV141" s="21">
        <f>EXP(-LN(2)/25)*AV140+(1-EXP(-LN(2)/25))/(LN(2)/25)*Calculateur!AQ141*Calculateur!AS141*VLOOKUP('Données projet'!$B$10,Paramètres!$A$1:$I$89,3,0)*0.475*44/12</f>
        <v>16.633981703674174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34.40964249260486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-1.1368683772161603E-13</v>
      </c>
      <c r="BE141" s="13">
        <f>BD141*VLOOKUP('Données projet'!$B$11,Paramètres!$A$1:$I$89,3,0)*VLOOKUP('Données projet'!$B$11,Paramètres!$A$1:$I$89,5,0)</f>
        <v>-6.3550942286383367E-14</v>
      </c>
      <c r="BF141" s="13" t="e">
        <f t="shared" si="145"/>
        <v>#NUM!</v>
      </c>
      <c r="BG141" s="20" t="e">
        <f t="shared" si="115"/>
        <v>#NUM!</v>
      </c>
      <c r="BH141" s="59" t="e">
        <f t="shared" si="116"/>
        <v>#NUM!</v>
      </c>
      <c r="BI141" s="59">
        <f ca="1">AVERAGE(OFFSET($BH$3,0,0,'Données projet'!$E$11+1,1))-AVERAGE(OFFSET($H$3,0,0,'Données projet'!$E$11+1,1))</f>
        <v>278.5296012747549</v>
      </c>
      <c r="BJ141" s="59">
        <f t="shared" si="146"/>
        <v>370.55343097937077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43.802425605222425</v>
      </c>
      <c r="BQ141" s="21">
        <f>EXP(-LN(2)/25)*BQ140+(1-EXP(-LN(2)/25))/(LN(2)/25)*Calculateur!BL141*Calculateur!BN141*VLOOKUP('Données projet'!$B$11,Paramètres!$A$1:$I$89,3,0)*0.475*44/12</f>
        <v>5.7684721846036826</v>
      </c>
      <c r="BR141" s="21">
        <f>EXP(-LN(2)/2)*BR140+(1-EXP(-LN(2)/2))/(LN(2)/2)*BL141*BO141*VLOOKUP('Données projet'!$B$11,Paramètres!$A$1:$I$89,3,0)*0.475*44/12</f>
        <v>1.0984735906951341E-11</v>
      </c>
      <c r="BS141" s="22">
        <f t="shared" si="117"/>
        <v>49.57089778983709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266.99999999999983</v>
      </c>
      <c r="BZ141" s="13">
        <f>BY141*VLOOKUP('Données projet'!$B$12,Paramètres!$A$1:$I$89,3,0)*VLOOKUP('Données projet'!$B$12,Paramètres!$A$1:$I$89,5,0)</f>
        <v>212.42519999999985</v>
      </c>
      <c r="CA141" s="13">
        <f t="shared" si="147"/>
        <v>52.465198231787184</v>
      </c>
      <c r="CB141" s="20">
        <f t="shared" si="118"/>
        <v>461.35077692036231</v>
      </c>
      <c r="CC141" s="59">
        <f t="shared" si="119"/>
        <v>754.68411025369562</v>
      </c>
      <c r="CD141" s="59">
        <f ca="1">AVERAGE(OFFSET($CC$3,0,0,'Données projet'!$E$12+1,1))-AVERAGE(OFFSET($H$3,0,0,'Données projet'!$E$12+1,1))</f>
        <v>225.2323446080772</v>
      </c>
      <c r="CE141" s="59">
        <f t="shared" si="148"/>
        <v>222.29030402759292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9.128762343970708</v>
      </c>
      <c r="CL141" s="21">
        <f>EXP(-LN(2)/25)*CL140+(1-EXP(-LN(2)/25))/(LN(2)/25)*Calculateur!CG141*Calculateur!CI141*VLOOKUP('Données projet'!$B$12,Paramètres!$A$1:$I$89,3,0)*0.475*44/12</f>
        <v>1.6680117742415588</v>
      </c>
      <c r="CM141" s="21">
        <f>EXP(-LN(2)/2)*CM140+(1-EXP(-LN(2)/2))/(LN(2)/2)*CG141*CJ141*VLOOKUP('Données projet'!$B$12,Paramètres!$A$1:$I$89,3,0)*0.475*44/12</f>
        <v>0</v>
      </c>
      <c r="CN141" s="22">
        <f t="shared" si="120"/>
        <v>10.796774118212266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5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66.859000000000137</v>
      </c>
      <c r="D142" s="11">
        <f t="shared" si="140"/>
        <v>18.891364684761506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661.9326396718443</v>
      </c>
      <c r="H142" s="67">
        <f t="shared" si="110"/>
        <v>442.68188515929319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4.5474735088646412E-13</v>
      </c>
      <c r="O142" s="13">
        <f>N142*VLOOKUP('Données projet'!$B$9,Paramètres!$A$1:$I$89,3,0)*VLOOKUP('Données projet'!$B$9,Paramètres!$A$1:$I$89,5,0)</f>
        <v>2.1873347577638923E-13</v>
      </c>
      <c r="P142" s="13">
        <f t="shared" si="141"/>
        <v>2.999861355695181E-12</v>
      </c>
      <c r="Q142" s="20">
        <f t="shared" si="108"/>
        <v>5.6057193314796512E-12</v>
      </c>
      <c r="R142" s="59">
        <f t="shared" si="109"/>
        <v>293.33333333333894</v>
      </c>
      <c r="S142" s="59">
        <f ca="1">AVERAGE(OFFSET($R$3,0,0,'Données projet'!$E$9+1,1))-AVERAGE(OFFSET($H$3,0,0,'Données projet'!$E$9+1,1))</f>
        <v>234.10156575337737</v>
      </c>
      <c r="T142" s="59">
        <f t="shared" si="142"/>
        <v>285.68635263076646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52.622636596585629</v>
      </c>
      <c r="AA142" s="21">
        <f>EXP(-LN(2)/25)*AA141+(1-EXP(-LN(2)/25))/(LN(2)/25)*Calculateur!V142*Calculateur!X142*VLOOKUP('Données projet'!$B$9,Paramètres!$A$1:$I$89,3,0)*0.475*44/12</f>
        <v>18.159870293013899</v>
      </c>
      <c r="AB142" s="21">
        <f>EXP(-LN(2)/2)*AB141+(1-EXP(-LN(2)/2))/(LN(2)/2)*V142*Y142*VLOOKUP('Données projet'!$B$9,Paramètres!$A$1:$I$89,3,0)*0.475*44/12</f>
        <v>1.7038255011543987E-15</v>
      </c>
      <c r="AC142" s="22">
        <f t="shared" si="111"/>
        <v>70.782506889599532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0</v>
      </c>
      <c r="AJ142" s="13">
        <f>AI142*VLOOKUP('Données projet'!$B$10,Paramètres!$A$1:$I$89,3,0)*VLOOKUP('Données projet'!$B$10,Paramètres!$A$1:$I$89,5,0)</f>
        <v>0</v>
      </c>
      <c r="AK142" s="13" t="e">
        <f t="shared" si="143"/>
        <v>#NUM!</v>
      </c>
      <c r="AL142" s="20" t="e">
        <f t="shared" si="112"/>
        <v>#NUM!</v>
      </c>
      <c r="AM142" s="59" t="e">
        <f t="shared" si="113"/>
        <v>#NUM!</v>
      </c>
      <c r="AN142" s="59">
        <f ca="1">AVERAGE(OFFSET($AM$3,0,0,'Données projet'!$E$10+1,1))-AVERAGE(OFFSET($H$3,0,0,'Données projet'!$E$10+1,1))</f>
        <v>179.44051550872138</v>
      </c>
      <c r="AO142" s="59">
        <f t="shared" si="144"/>
        <v>272.9500808380069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17.427090922942266</v>
      </c>
      <c r="AV142" s="21">
        <f>EXP(-LN(2)/25)*AV141+(1-EXP(-LN(2)/25))/(LN(2)/25)*Calculateur!AQ142*Calculateur!AS142*VLOOKUP('Données projet'!$B$10,Paramètres!$A$1:$I$89,3,0)*0.475*44/12</f>
        <v>16.179124599244123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33.606215522186389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-1.1368683772161603E-13</v>
      </c>
      <c r="BE142" s="13">
        <f>BD142*VLOOKUP('Données projet'!$B$11,Paramètres!$A$1:$I$89,3,0)*VLOOKUP('Données projet'!$B$11,Paramètres!$A$1:$I$89,5,0)</f>
        <v>-6.3550942286383367E-14</v>
      </c>
      <c r="BF142" s="13" t="e">
        <f t="shared" si="145"/>
        <v>#NUM!</v>
      </c>
      <c r="BG142" s="20" t="e">
        <f t="shared" si="115"/>
        <v>#NUM!</v>
      </c>
      <c r="BH142" s="59" t="e">
        <f t="shared" si="116"/>
        <v>#NUM!</v>
      </c>
      <c r="BI142" s="59">
        <f ca="1">AVERAGE(OFFSET($BH$3,0,0,'Données projet'!$E$11+1,1))-AVERAGE(OFFSET($H$3,0,0,'Données projet'!$E$11+1,1))</f>
        <v>278.5296012747549</v>
      </c>
      <c r="BJ142" s="59">
        <f t="shared" si="146"/>
        <v>370.55343097937077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42.943486755945564</v>
      </c>
      <c r="BQ142" s="21">
        <f>EXP(-LN(2)/25)*BQ141+(1-EXP(-LN(2)/25))/(LN(2)/25)*Calculateur!BL142*Calculateur!BN142*VLOOKUP('Données projet'!$B$11,Paramètres!$A$1:$I$89,3,0)*0.475*44/12</f>
        <v>5.6107330093649264</v>
      </c>
      <c r="BR142" s="21">
        <f>EXP(-LN(2)/2)*BR141+(1-EXP(-LN(2)/2))/(LN(2)/2)*BL142*BO142*VLOOKUP('Données projet'!$B$11,Paramètres!$A$1:$I$89,3,0)*0.475*44/12</f>
        <v>7.7673812493486533E-12</v>
      </c>
      <c r="BS142" s="22">
        <f t="shared" si="117"/>
        <v>48.554219765318258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266.99999999999983</v>
      </c>
      <c r="BZ142" s="13">
        <f>BY142*VLOOKUP('Données projet'!$B$12,Paramètres!$A$1:$I$89,3,0)*VLOOKUP('Données projet'!$B$12,Paramètres!$A$1:$I$89,5,0)</f>
        <v>212.42519999999985</v>
      </c>
      <c r="CA142" s="13">
        <f t="shared" si="147"/>
        <v>52.465198231787184</v>
      </c>
      <c r="CB142" s="20">
        <f t="shared" si="118"/>
        <v>461.35077692036231</v>
      </c>
      <c r="CC142" s="59">
        <f t="shared" si="119"/>
        <v>754.68411025369562</v>
      </c>
      <c r="CD142" s="59">
        <f ca="1">AVERAGE(OFFSET($CC$3,0,0,'Données projet'!$E$12+1,1))-AVERAGE(OFFSET($H$3,0,0,'Données projet'!$E$12+1,1))</f>
        <v>225.2323446080772</v>
      </c>
      <c r="CE142" s="59">
        <f t="shared" si="148"/>
        <v>222.29030402759292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8.9497528824006789</v>
      </c>
      <c r="CL142" s="21">
        <f>EXP(-LN(2)/25)*CL141+(1-EXP(-LN(2)/25))/(LN(2)/25)*Calculateur!CG142*Calculateur!CI142*VLOOKUP('Données projet'!$B$12,Paramètres!$A$1:$I$89,3,0)*0.475*44/12</f>
        <v>1.6223999045579964</v>
      </c>
      <c r="CM142" s="21">
        <f>EXP(-LN(2)/2)*CM141+(1-EXP(-LN(2)/2))/(LN(2)/2)*CG142*CJ142*VLOOKUP('Données projet'!$B$12,Paramètres!$A$1:$I$89,3,0)*0.475*44/12</f>
        <v>0</v>
      </c>
      <c r="CN142" s="22">
        <f t="shared" si="120"/>
        <v>10.572152786958675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5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67.340000000000131</v>
      </c>
      <c r="D143" s="11">
        <f t="shared" si="140"/>
        <v>19.011403816272956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666.57223998526604</v>
      </c>
      <c r="H143" s="67">
        <f t="shared" si="110"/>
        <v>443.72869498000898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4.5474735088646412E-13</v>
      </c>
      <c r="O143" s="13">
        <f>N143*VLOOKUP('Données projet'!$B$9,Paramètres!$A$1:$I$89,3,0)*VLOOKUP('Données projet'!$B$9,Paramètres!$A$1:$I$89,5,0)</f>
        <v>2.1873347577638923E-13</v>
      </c>
      <c r="P143" s="13">
        <f t="shared" si="141"/>
        <v>2.999861355695181E-12</v>
      </c>
      <c r="Q143" s="20">
        <f t="shared" si="108"/>
        <v>5.6057193314796512E-12</v>
      </c>
      <c r="R143" s="59">
        <f t="shared" si="109"/>
        <v>293.33333333333894</v>
      </c>
      <c r="S143" s="59">
        <f ca="1">AVERAGE(OFFSET($R$3,0,0,'Données projet'!$E$9+1,1))-AVERAGE(OFFSET($H$3,0,0,'Données projet'!$E$9+1,1))</f>
        <v>234.10156575337737</v>
      </c>
      <c r="T143" s="59">
        <f t="shared" si="142"/>
        <v>285.68635263076646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51.590738789565627</v>
      </c>
      <c r="AA143" s="21">
        <f>EXP(-LN(2)/25)*AA142+(1-EXP(-LN(2)/25))/(LN(2)/25)*Calculateur!V143*Calculateur!X143*VLOOKUP('Données projet'!$B$9,Paramètres!$A$1:$I$89,3,0)*0.475*44/12</f>
        <v>17.663287684865359</v>
      </c>
      <c r="AB143" s="21">
        <f>EXP(-LN(2)/2)*AB142+(1-EXP(-LN(2)/2))/(LN(2)/2)*V143*Y143*VLOOKUP('Données projet'!$B$9,Paramètres!$A$1:$I$89,3,0)*0.475*44/12</f>
        <v>1.204786565824843E-15</v>
      </c>
      <c r="AC143" s="22">
        <f t="shared" si="111"/>
        <v>69.254026474430987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0</v>
      </c>
      <c r="AJ143" s="13">
        <f>AI143*VLOOKUP('Données projet'!$B$10,Paramètres!$A$1:$I$89,3,0)*VLOOKUP('Données projet'!$B$10,Paramètres!$A$1:$I$89,5,0)</f>
        <v>0</v>
      </c>
      <c r="AK143" s="13" t="e">
        <f t="shared" si="143"/>
        <v>#NUM!</v>
      </c>
      <c r="AL143" s="20" t="e">
        <f t="shared" si="112"/>
        <v>#NUM!</v>
      </c>
      <c r="AM143" s="59" t="e">
        <f t="shared" si="113"/>
        <v>#NUM!</v>
      </c>
      <c r="AN143" s="59">
        <f ca="1">AVERAGE(OFFSET($AM$3,0,0,'Données projet'!$E$10+1,1))-AVERAGE(OFFSET($H$3,0,0,'Données projet'!$E$10+1,1))</f>
        <v>179.44051550872138</v>
      </c>
      <c r="AO143" s="59">
        <f t="shared" si="144"/>
        <v>272.9500808380069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17.085356299419256</v>
      </c>
      <c r="AV143" s="21">
        <f>EXP(-LN(2)/25)*AV142+(1-EXP(-LN(2)/25))/(LN(2)/25)*Calculateur!AQ143*Calculateur!AS143*VLOOKUP('Données projet'!$B$10,Paramètres!$A$1:$I$89,3,0)*0.475*44/12</f>
        <v>15.736705586254608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32.822061885673861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-1.1368683772161603E-13</v>
      </c>
      <c r="BE143" s="13">
        <f>BD143*VLOOKUP('Données projet'!$B$11,Paramètres!$A$1:$I$89,3,0)*VLOOKUP('Données projet'!$B$11,Paramètres!$A$1:$I$89,5,0)</f>
        <v>-6.3550942286383367E-14</v>
      </c>
      <c r="BF143" s="13" t="e">
        <f t="shared" si="145"/>
        <v>#NUM!</v>
      </c>
      <c r="BG143" s="20" t="e">
        <f t="shared" si="115"/>
        <v>#NUM!</v>
      </c>
      <c r="BH143" s="59" t="e">
        <f t="shared" si="116"/>
        <v>#NUM!</v>
      </c>
      <c r="BI143" s="59">
        <f ca="1">AVERAGE(OFFSET($BH$3,0,0,'Données projet'!$E$11+1,1))-AVERAGE(OFFSET($H$3,0,0,'Données projet'!$E$11+1,1))</f>
        <v>278.5296012747549</v>
      </c>
      <c r="BJ143" s="59">
        <f t="shared" si="146"/>
        <v>370.55343097937077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42.101391173602053</v>
      </c>
      <c r="BQ143" s="21">
        <f>EXP(-LN(2)/25)*BQ142+(1-EXP(-LN(2)/25))/(LN(2)/25)*Calculateur!BL143*Calculateur!BN143*VLOOKUP('Données projet'!$B$11,Paramètres!$A$1:$I$89,3,0)*0.475*44/12</f>
        <v>5.4573072201682171</v>
      </c>
      <c r="BR143" s="21">
        <f>EXP(-LN(2)/2)*BR142+(1-EXP(-LN(2)/2))/(LN(2)/2)*BL143*BO143*VLOOKUP('Données projet'!$B$11,Paramètres!$A$1:$I$89,3,0)*0.475*44/12</f>
        <v>5.4923679534756703E-12</v>
      </c>
      <c r="BS143" s="22">
        <f t="shared" si="117"/>
        <v>47.558698393775764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266.99999999999983</v>
      </c>
      <c r="BZ143" s="13">
        <f>BY143*VLOOKUP('Données projet'!$B$12,Paramètres!$A$1:$I$89,3,0)*VLOOKUP('Données projet'!$B$12,Paramètres!$A$1:$I$89,5,0)</f>
        <v>212.42519999999985</v>
      </c>
      <c r="CA143" s="13">
        <f t="shared" si="147"/>
        <v>52.465198231787184</v>
      </c>
      <c r="CB143" s="20">
        <f t="shared" si="118"/>
        <v>461.35077692036231</v>
      </c>
      <c r="CC143" s="59">
        <f t="shared" si="119"/>
        <v>754.68411025369562</v>
      </c>
      <c r="CD143" s="59">
        <f ca="1">AVERAGE(OFFSET($CC$3,0,0,'Données projet'!$E$12+1,1))-AVERAGE(OFFSET($H$3,0,0,'Données projet'!$E$12+1,1))</f>
        <v>225.2323446080772</v>
      </c>
      <c r="CE143" s="59">
        <f t="shared" si="148"/>
        <v>222.29030402759292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8.7742536871870467</v>
      </c>
      <c r="CL143" s="21">
        <f>EXP(-LN(2)/25)*CL142+(1-EXP(-LN(2)/25))/(LN(2)/25)*Calculateur!CG143*Calculateur!CI143*VLOOKUP('Données projet'!$B$12,Paramètres!$A$1:$I$89,3,0)*0.475*44/12</f>
        <v>1.578035293849555</v>
      </c>
      <c r="CM143" s="21">
        <f>EXP(-LN(2)/2)*CM142+(1-EXP(-LN(2)/2))/(LN(2)/2)*CG143*CJ143*VLOOKUP('Données projet'!$B$12,Paramètres!$A$1:$I$89,3,0)*0.475*44/12</f>
        <v>0</v>
      </c>
      <c r="CN143" s="22">
        <f t="shared" si="120"/>
        <v>10.352288981036601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5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67.821000000000126</v>
      </c>
      <c r="D144" s="11">
        <f t="shared" si="140"/>
        <v>19.13134318440186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671.21107019538374</v>
      </c>
      <c r="H144" s="67">
        <f t="shared" si="110"/>
        <v>444.7753310461668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4.5474735088646412E-13</v>
      </c>
      <c r="O144" s="13">
        <f>N144*VLOOKUP('Données projet'!$B$9,Paramètres!$A$1:$I$89,3,0)*VLOOKUP('Données projet'!$B$9,Paramètres!$A$1:$I$89,5,0)</f>
        <v>2.1873347577638923E-13</v>
      </c>
      <c r="P144" s="13">
        <f t="shared" si="141"/>
        <v>2.999861355695181E-12</v>
      </c>
      <c r="Q144" s="20">
        <f t="shared" si="108"/>
        <v>5.6057193314796512E-12</v>
      </c>
      <c r="R144" s="59">
        <f t="shared" si="109"/>
        <v>293.33333333333894</v>
      </c>
      <c r="S144" s="59">
        <f ca="1">AVERAGE(OFFSET($R$3,0,0,'Données projet'!$E$9+1,1))-AVERAGE(OFFSET($H$3,0,0,'Données projet'!$E$9+1,1))</f>
        <v>234.10156575337737</v>
      </c>
      <c r="T144" s="59">
        <f t="shared" si="142"/>
        <v>285.68635263076646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50.579075869145775</v>
      </c>
      <c r="AA144" s="21">
        <f>EXP(-LN(2)/25)*AA143+(1-EXP(-LN(2)/25))/(LN(2)/25)*Calculateur!V144*Calculateur!X144*VLOOKUP('Données projet'!$B$9,Paramètres!$A$1:$I$89,3,0)*0.475*44/12</f>
        <v>17.180284154250788</v>
      </c>
      <c r="AB144" s="21">
        <f>EXP(-LN(2)/2)*AB143+(1-EXP(-LN(2)/2))/(LN(2)/2)*V144*Y144*VLOOKUP('Données projet'!$B$9,Paramètres!$A$1:$I$89,3,0)*0.475*44/12</f>
        <v>8.5191275057719934E-16</v>
      </c>
      <c r="AC144" s="22">
        <f t="shared" si="111"/>
        <v>67.759360023396567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0</v>
      </c>
      <c r="AJ144" s="13">
        <f>AI144*VLOOKUP('Données projet'!$B$10,Paramètres!$A$1:$I$89,3,0)*VLOOKUP('Données projet'!$B$10,Paramètres!$A$1:$I$89,5,0)</f>
        <v>0</v>
      </c>
      <c r="AK144" s="13" t="e">
        <f t="shared" si="143"/>
        <v>#NUM!</v>
      </c>
      <c r="AL144" s="20" t="e">
        <f t="shared" si="112"/>
        <v>#NUM!</v>
      </c>
      <c r="AM144" s="59" t="e">
        <f t="shared" si="113"/>
        <v>#NUM!</v>
      </c>
      <c r="AN144" s="59">
        <f ca="1">AVERAGE(OFFSET($AM$3,0,0,'Données projet'!$E$10+1,1))-AVERAGE(OFFSET($H$3,0,0,'Données projet'!$E$10+1,1))</f>
        <v>179.44051550872138</v>
      </c>
      <c r="AO144" s="59">
        <f t="shared" si="144"/>
        <v>272.9500808380069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16.750322883425994</v>
      </c>
      <c r="AV144" s="21">
        <f>EXP(-LN(2)/25)*AV143+(1-EXP(-LN(2)/25))/(LN(2)/25)*Calculateur!AQ144*Calculateur!AS144*VLOOKUP('Données projet'!$B$10,Paramètres!$A$1:$I$89,3,0)*0.475*44/12</f>
        <v>15.306384544441096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32.056707427867089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-1.1368683772161603E-13</v>
      </c>
      <c r="BE144" s="13">
        <f>BD144*VLOOKUP('Données projet'!$B$11,Paramètres!$A$1:$I$89,3,0)*VLOOKUP('Données projet'!$B$11,Paramètres!$A$1:$I$89,5,0)</f>
        <v>-6.3550942286383367E-14</v>
      </c>
      <c r="BF144" s="13" t="e">
        <f t="shared" si="145"/>
        <v>#NUM!</v>
      </c>
      <c r="BG144" s="20" t="e">
        <f t="shared" si="115"/>
        <v>#NUM!</v>
      </c>
      <c r="BH144" s="59" t="e">
        <f t="shared" si="116"/>
        <v>#NUM!</v>
      </c>
      <c r="BI144" s="59">
        <f ca="1">AVERAGE(OFFSET($BH$3,0,0,'Données projet'!$E$11+1,1))-AVERAGE(OFFSET($H$3,0,0,'Données projet'!$E$11+1,1))</f>
        <v>278.5296012747549</v>
      </c>
      <c r="BJ144" s="59">
        <f t="shared" si="146"/>
        <v>370.55343097937077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41.275808572000713</v>
      </c>
      <c r="BQ144" s="21">
        <f>EXP(-LN(2)/25)*BQ143+(1-EXP(-LN(2)/25))/(LN(2)/25)*Calculateur!BL144*Calculateur!BN144*VLOOKUP('Données projet'!$B$11,Paramètres!$A$1:$I$89,3,0)*0.475*44/12</f>
        <v>5.3080768672454033</v>
      </c>
      <c r="BR144" s="21">
        <f>EXP(-LN(2)/2)*BR143+(1-EXP(-LN(2)/2))/(LN(2)/2)*BL144*BO144*VLOOKUP('Données projet'!$B$11,Paramètres!$A$1:$I$89,3,0)*0.475*44/12</f>
        <v>3.8836906246743267E-12</v>
      </c>
      <c r="BS144" s="22">
        <f t="shared" si="117"/>
        <v>46.583885439250004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266.99999999999983</v>
      </c>
      <c r="BZ144" s="13">
        <f>BY144*VLOOKUP('Données projet'!$B$12,Paramètres!$A$1:$I$89,3,0)*VLOOKUP('Données projet'!$B$12,Paramètres!$A$1:$I$89,5,0)</f>
        <v>212.42519999999985</v>
      </c>
      <c r="CA144" s="13">
        <f t="shared" si="147"/>
        <v>52.465198231787184</v>
      </c>
      <c r="CB144" s="20">
        <f t="shared" si="118"/>
        <v>461.35077692036231</v>
      </c>
      <c r="CC144" s="59">
        <f t="shared" si="119"/>
        <v>754.68411025369562</v>
      </c>
      <c r="CD144" s="59">
        <f ca="1">AVERAGE(OFFSET($CC$3,0,0,'Données projet'!$E$12+1,1))-AVERAGE(OFFSET($H$3,0,0,'Données projet'!$E$12+1,1))</f>
        <v>225.2323446080772</v>
      </c>
      <c r="CE144" s="59">
        <f t="shared" si="148"/>
        <v>222.29030402759292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8.6021959241476154</v>
      </c>
      <c r="CL144" s="21">
        <f>EXP(-LN(2)/25)*CL143+(1-EXP(-LN(2)/25))/(LN(2)/25)*Calculateur!CG144*Calculateur!CI144*VLOOKUP('Données projet'!$B$12,Paramètres!$A$1:$I$89,3,0)*0.475*44/12</f>
        <v>1.5348838357539694</v>
      </c>
      <c r="CM144" s="21">
        <f>EXP(-LN(2)/2)*CM143+(1-EXP(-LN(2)/2))/(LN(2)/2)*CG144*CJ144*VLOOKUP('Données projet'!$B$12,Paramètres!$A$1:$I$89,3,0)*0.475*44/12</f>
        <v>0</v>
      </c>
      <c r="CN144" s="22">
        <f t="shared" si="120"/>
        <v>10.137079759901585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5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68.30200000000012</v>
      </c>
      <c r="D145" s="11">
        <f t="shared" si="140"/>
        <v>19.251183578735148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675.84913639725471</v>
      </c>
      <c r="H145" s="67">
        <f t="shared" si="110"/>
        <v>445.82179473296389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4.5474735088646412E-13</v>
      </c>
      <c r="O145" s="13">
        <f>N145*VLOOKUP('Données projet'!$B$9,Paramètres!$A$1:$I$89,3,0)*VLOOKUP('Données projet'!$B$9,Paramètres!$A$1:$I$89,5,0)</f>
        <v>2.1873347577638923E-13</v>
      </c>
      <c r="P145" s="13">
        <f t="shared" si="141"/>
        <v>2.999861355695181E-12</v>
      </c>
      <c r="Q145" s="20">
        <f t="shared" si="108"/>
        <v>5.6057193314796512E-12</v>
      </c>
      <c r="R145" s="59">
        <f t="shared" si="109"/>
        <v>293.33333333333894</v>
      </c>
      <c r="S145" s="59">
        <f ca="1">AVERAGE(OFFSET($R$3,0,0,'Données projet'!$E$9+1,1))-AVERAGE(OFFSET($H$3,0,0,'Données projet'!$E$9+1,1))</f>
        <v>234.10156575337737</v>
      </c>
      <c r="T145" s="59">
        <f t="shared" si="142"/>
        <v>285.68635263076646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49.587251041541904</v>
      </c>
      <c r="AA145" s="21">
        <f>EXP(-LN(2)/25)*AA144+(1-EXP(-LN(2)/25))/(LN(2)/25)*Calculateur!V145*Calculateur!X145*VLOOKUP('Données projet'!$B$9,Paramètres!$A$1:$I$89,3,0)*0.475*44/12</f>
        <v>16.710488380580923</v>
      </c>
      <c r="AB145" s="21">
        <f>EXP(-LN(2)/2)*AB144+(1-EXP(-LN(2)/2))/(LN(2)/2)*V145*Y145*VLOOKUP('Données projet'!$B$9,Paramètres!$A$1:$I$89,3,0)*0.475*44/12</f>
        <v>6.0239328291242152E-16</v>
      </c>
      <c r="AC145" s="22">
        <f t="shared" si="111"/>
        <v>66.297739422122831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0</v>
      </c>
      <c r="AJ145" s="13">
        <f>AI145*VLOOKUP('Données projet'!$B$10,Paramètres!$A$1:$I$89,3,0)*VLOOKUP('Données projet'!$B$10,Paramètres!$A$1:$I$89,5,0)</f>
        <v>0</v>
      </c>
      <c r="AK145" s="13" t="e">
        <f t="shared" si="143"/>
        <v>#NUM!</v>
      </c>
      <c r="AL145" s="20" t="e">
        <f t="shared" si="112"/>
        <v>#NUM!</v>
      </c>
      <c r="AM145" s="59" t="e">
        <f t="shared" si="113"/>
        <v>#NUM!</v>
      </c>
      <c r="AN145" s="59">
        <f ca="1">AVERAGE(OFFSET($AM$3,0,0,'Données projet'!$E$10+1,1))-AVERAGE(OFFSET($H$3,0,0,'Données projet'!$E$10+1,1))</f>
        <v>179.44051550872138</v>
      </c>
      <c r="AO145" s="59">
        <f t="shared" si="144"/>
        <v>272.9500808380069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16.421859268370156</v>
      </c>
      <c r="AV145" s="21">
        <f>EXP(-LN(2)/25)*AV144+(1-EXP(-LN(2)/25))/(LN(2)/25)*Calculateur!AQ145*Calculateur!AS145*VLOOKUP('Données projet'!$B$10,Paramètres!$A$1:$I$89,3,0)*0.475*44/12</f>
        <v>14.887830654145574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31.30968992251573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-1.1368683772161603E-13</v>
      </c>
      <c r="BE145" s="13">
        <f>BD145*VLOOKUP('Données projet'!$B$11,Paramètres!$A$1:$I$89,3,0)*VLOOKUP('Données projet'!$B$11,Paramètres!$A$1:$I$89,5,0)</f>
        <v>-6.3550942286383367E-14</v>
      </c>
      <c r="BF145" s="13" t="e">
        <f t="shared" si="145"/>
        <v>#NUM!</v>
      </c>
      <c r="BG145" s="20" t="e">
        <f t="shared" si="115"/>
        <v>#NUM!</v>
      </c>
      <c r="BH145" s="59" t="e">
        <f t="shared" si="116"/>
        <v>#NUM!</v>
      </c>
      <c r="BI145" s="59">
        <f ca="1">AVERAGE(OFFSET($BH$3,0,0,'Données projet'!$E$11+1,1))-AVERAGE(OFFSET($H$3,0,0,'Données projet'!$E$11+1,1))</f>
        <v>278.5296012747549</v>
      </c>
      <c r="BJ145" s="59">
        <f t="shared" si="146"/>
        <v>370.55343097937077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40.466415141661109</v>
      </c>
      <c r="BQ145" s="21">
        <f>EXP(-LN(2)/25)*BQ144+(1-EXP(-LN(2)/25))/(LN(2)/25)*Calculateur!BL145*Calculateur!BN145*VLOOKUP('Données projet'!$B$11,Paramètres!$A$1:$I$89,3,0)*0.475*44/12</f>
        <v>5.1629272261709467</v>
      </c>
      <c r="BR145" s="21">
        <f>EXP(-LN(2)/2)*BR144+(1-EXP(-LN(2)/2))/(LN(2)/2)*BL145*BO145*VLOOKUP('Données projet'!$B$11,Paramètres!$A$1:$I$89,3,0)*0.475*44/12</f>
        <v>2.7461839767378352E-12</v>
      </c>
      <c r="BS145" s="22">
        <f t="shared" si="117"/>
        <v>45.629342367834795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266.99999999999983</v>
      </c>
      <c r="BZ145" s="13">
        <f>BY145*VLOOKUP('Données projet'!$B$12,Paramètres!$A$1:$I$89,3,0)*VLOOKUP('Données projet'!$B$12,Paramètres!$A$1:$I$89,5,0)</f>
        <v>212.42519999999985</v>
      </c>
      <c r="CA145" s="13">
        <f t="shared" si="147"/>
        <v>52.465198231787184</v>
      </c>
      <c r="CB145" s="20">
        <f t="shared" si="118"/>
        <v>461.35077692036231</v>
      </c>
      <c r="CC145" s="59">
        <f t="shared" si="119"/>
        <v>754.68411025369562</v>
      </c>
      <c r="CD145" s="59">
        <f ca="1">AVERAGE(OFFSET($CC$3,0,0,'Données projet'!$E$12+1,1))-AVERAGE(OFFSET($H$3,0,0,'Données projet'!$E$12+1,1))</f>
        <v>225.2323446080772</v>
      </c>
      <c r="CE145" s="59">
        <f t="shared" si="148"/>
        <v>222.29030402759292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8.4335121088965135</v>
      </c>
      <c r="CL145" s="21">
        <f>EXP(-LN(2)/25)*CL144+(1-EXP(-LN(2)/25))/(LN(2)/25)*Calculateur!CG145*Calculateur!CI145*VLOOKUP('Données projet'!$B$12,Paramètres!$A$1:$I$89,3,0)*0.475*44/12</f>
        <v>1.4929123565492441</v>
      </c>
      <c r="CM145" s="21">
        <f>EXP(-LN(2)/2)*CM144+(1-EXP(-LN(2)/2))/(LN(2)/2)*CG145*CJ145*VLOOKUP('Données projet'!$B$12,Paramètres!$A$1:$I$89,3,0)*0.475*44/12</f>
        <v>0</v>
      </c>
      <c r="CN145" s="22">
        <f t="shared" si="120"/>
        <v>9.9264244654457574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5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68.783000000000115</v>
      </c>
      <c r="D146" s="11">
        <f t="shared" si="140"/>
        <v>19.370925777096051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680.48644459512832</v>
      </c>
      <c r="H146" s="67">
        <f t="shared" si="110"/>
        <v>446.86808739510911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4.5474735088646412E-13</v>
      </c>
      <c r="O146" s="13">
        <f>N146*VLOOKUP('Données projet'!$B$9,Paramètres!$A$1:$I$89,3,0)*VLOOKUP('Données projet'!$B$9,Paramètres!$A$1:$I$89,5,0)</f>
        <v>2.1873347577638923E-13</v>
      </c>
      <c r="P146" s="13">
        <f t="shared" si="141"/>
        <v>2.999861355695181E-12</v>
      </c>
      <c r="Q146" s="20">
        <f t="shared" si="108"/>
        <v>5.6057193314796512E-12</v>
      </c>
      <c r="R146" s="59">
        <f t="shared" si="109"/>
        <v>293.33333333333894</v>
      </c>
      <c r="S146" s="59">
        <f ca="1">AVERAGE(OFFSET($R$3,0,0,'Données projet'!$E$9+1,1))-AVERAGE(OFFSET($H$3,0,0,'Données projet'!$E$9+1,1))</f>
        <v>234.10156575337737</v>
      </c>
      <c r="T146" s="59">
        <f t="shared" si="142"/>
        <v>285.68635263076646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48.614875293853935</v>
      </c>
      <c r="AA146" s="21">
        <f>EXP(-LN(2)/25)*AA145+(1-EXP(-LN(2)/25))/(LN(2)/25)*Calculateur!V146*Calculateur!X146*VLOOKUP('Données projet'!$B$9,Paramètres!$A$1:$I$89,3,0)*0.475*44/12</f>
        <v>16.253539197047544</v>
      </c>
      <c r="AB146" s="21">
        <f>EXP(-LN(2)/2)*AB145+(1-EXP(-LN(2)/2))/(LN(2)/2)*V146*Y146*VLOOKUP('Données projet'!$B$9,Paramètres!$A$1:$I$89,3,0)*0.475*44/12</f>
        <v>4.2595637528859967E-16</v>
      </c>
      <c r="AC146" s="22">
        <f t="shared" si="111"/>
        <v>64.868414490901472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0</v>
      </c>
      <c r="AJ146" s="13">
        <f>AI146*VLOOKUP('Données projet'!$B$10,Paramètres!$A$1:$I$89,3,0)*VLOOKUP('Données projet'!$B$10,Paramètres!$A$1:$I$89,5,0)</f>
        <v>0</v>
      </c>
      <c r="AK146" s="13" t="e">
        <f t="shared" si="143"/>
        <v>#NUM!</v>
      </c>
      <c r="AL146" s="20" t="e">
        <f t="shared" si="112"/>
        <v>#NUM!</v>
      </c>
      <c r="AM146" s="59" t="e">
        <f t="shared" si="113"/>
        <v>#NUM!</v>
      </c>
      <c r="AN146" s="59">
        <f ca="1">AVERAGE(OFFSET($AM$3,0,0,'Données projet'!$E$10+1,1))-AVERAGE(OFFSET($H$3,0,0,'Données projet'!$E$10+1,1))</f>
        <v>179.44051550872138</v>
      </c>
      <c r="AO146" s="59">
        <f t="shared" si="144"/>
        <v>272.9500808380069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16.09983662446254</v>
      </c>
      <c r="AV146" s="21">
        <f>EXP(-LN(2)/25)*AV145+(1-EXP(-LN(2)/25))/(LN(2)/25)*Calculateur!AQ146*Calculateur!AS146*VLOOKUP('Données projet'!$B$10,Paramètres!$A$1:$I$89,3,0)*0.475*44/12</f>
        <v>14.480722141990976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30.580558766453514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-1.1368683772161603E-13</v>
      </c>
      <c r="BE146" s="13">
        <f>BD146*VLOOKUP('Données projet'!$B$11,Paramètres!$A$1:$I$89,3,0)*VLOOKUP('Données projet'!$B$11,Paramètres!$A$1:$I$89,5,0)</f>
        <v>-6.3550942286383367E-14</v>
      </c>
      <c r="BF146" s="13" t="e">
        <f t="shared" si="145"/>
        <v>#NUM!</v>
      </c>
      <c r="BG146" s="20" t="e">
        <f t="shared" si="115"/>
        <v>#NUM!</v>
      </c>
      <c r="BH146" s="59" t="e">
        <f t="shared" si="116"/>
        <v>#NUM!</v>
      </c>
      <c r="BI146" s="59">
        <f ca="1">AVERAGE(OFFSET($BH$3,0,0,'Données projet'!$E$11+1,1))-AVERAGE(OFFSET($H$3,0,0,'Données projet'!$E$11+1,1))</f>
        <v>278.5296012747549</v>
      </c>
      <c r="BJ146" s="59">
        <f t="shared" si="146"/>
        <v>370.55343097937077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39.672893422809217</v>
      </c>
      <c r="BQ146" s="21">
        <f>EXP(-LN(2)/25)*BQ145+(1-EXP(-LN(2)/25))/(LN(2)/25)*Calculateur!BL146*Calculateur!BN146*VLOOKUP('Données projet'!$B$11,Paramètres!$A$1:$I$89,3,0)*0.475*44/12</f>
        <v>5.0217467096647592</v>
      </c>
      <c r="BR146" s="21">
        <f>EXP(-LN(2)/2)*BR145+(1-EXP(-LN(2)/2))/(LN(2)/2)*BL146*BO146*VLOOKUP('Données projet'!$B$11,Paramètres!$A$1:$I$89,3,0)*0.475*44/12</f>
        <v>1.9418453123371633E-12</v>
      </c>
      <c r="BS146" s="22">
        <f t="shared" si="117"/>
        <v>44.694640132475918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266.99999999999983</v>
      </c>
      <c r="BZ146" s="13">
        <f>BY146*VLOOKUP('Données projet'!$B$12,Paramètres!$A$1:$I$89,3,0)*VLOOKUP('Données projet'!$B$12,Paramètres!$A$1:$I$89,5,0)</f>
        <v>212.42519999999985</v>
      </c>
      <c r="CA146" s="13">
        <f t="shared" si="147"/>
        <v>52.465198231787184</v>
      </c>
      <c r="CB146" s="20">
        <f t="shared" si="118"/>
        <v>461.35077692036231</v>
      </c>
      <c r="CC146" s="59">
        <f t="shared" si="119"/>
        <v>754.68411025369562</v>
      </c>
      <c r="CD146" s="59">
        <f ca="1">AVERAGE(OFFSET($CC$3,0,0,'Données projet'!$E$12+1,1))-AVERAGE(OFFSET($H$3,0,0,'Données projet'!$E$12+1,1))</f>
        <v>225.2323446080772</v>
      </c>
      <c r="CE146" s="59">
        <f t="shared" si="148"/>
        <v>222.29030402759292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8.2681360803755179</v>
      </c>
      <c r="CL146" s="21">
        <f>EXP(-LN(2)/25)*CL145+(1-EXP(-LN(2)/25))/(LN(2)/25)*Calculateur!CG146*Calculateur!CI146*VLOOKUP('Données projet'!$B$12,Paramètres!$A$1:$I$89,3,0)*0.475*44/12</f>
        <v>1.4520885896505564</v>
      </c>
      <c r="CM146" s="21">
        <f>EXP(-LN(2)/2)*CM145+(1-EXP(-LN(2)/2))/(LN(2)/2)*CG146*CJ146*VLOOKUP('Données projet'!$B$12,Paramètres!$A$1:$I$89,3,0)*0.475*44/12</f>
        <v>0</v>
      </c>
      <c r="CN146" s="22">
        <f t="shared" si="120"/>
        <v>9.7202246700260737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5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69.264000000000109</v>
      </c>
      <c r="D147" s="11">
        <f t="shared" si="140"/>
        <v>19.49057054580048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685.12300070442564</v>
      </c>
      <c r="H147" s="67">
        <f t="shared" si="110"/>
        <v>447.91421036726933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4.5474735088646412E-13</v>
      </c>
      <c r="O147" s="13">
        <f>N147*VLOOKUP('Données projet'!$B$9,Paramètres!$A$1:$I$89,3,0)*VLOOKUP('Données projet'!$B$9,Paramètres!$A$1:$I$89,5,0)</f>
        <v>2.1873347577638923E-13</v>
      </c>
      <c r="P147" s="13">
        <f t="shared" si="141"/>
        <v>2.999861355695181E-12</v>
      </c>
      <c r="Q147" s="20">
        <f t="shared" si="108"/>
        <v>5.6057193314796512E-12</v>
      </c>
      <c r="R147" s="59">
        <f t="shared" si="109"/>
        <v>293.33333333333894</v>
      </c>
      <c r="S147" s="59">
        <f ca="1">AVERAGE(OFFSET($R$3,0,0,'Données projet'!$E$9+1,1))-AVERAGE(OFFSET($H$3,0,0,'Données projet'!$E$9+1,1))</f>
        <v>234.10156575337737</v>
      </c>
      <c r="T147" s="59">
        <f t="shared" si="142"/>
        <v>285.68635263076646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47.661567241487482</v>
      </c>
      <c r="AA147" s="21">
        <f>EXP(-LN(2)/25)*AA146+(1-EXP(-LN(2)/25))/(LN(2)/25)*Calculateur!V147*Calculateur!X147*VLOOKUP('Données projet'!$B$9,Paramètres!$A$1:$I$89,3,0)*0.475*44/12</f>
        <v>15.809085312967801</v>
      </c>
      <c r="AB147" s="21">
        <f>EXP(-LN(2)/2)*AB146+(1-EXP(-LN(2)/2))/(LN(2)/2)*V147*Y147*VLOOKUP('Données projet'!$B$9,Paramètres!$A$1:$I$89,3,0)*0.475*44/12</f>
        <v>3.0119664145621076E-16</v>
      </c>
      <c r="AC147" s="22">
        <f t="shared" si="111"/>
        <v>63.470652554455285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0</v>
      </c>
      <c r="AJ147" s="13">
        <f>AI147*VLOOKUP('Données projet'!$B$10,Paramètres!$A$1:$I$89,3,0)*VLOOKUP('Données projet'!$B$10,Paramètres!$A$1:$I$89,5,0)</f>
        <v>0</v>
      </c>
      <c r="AK147" s="13" t="e">
        <f t="shared" si="143"/>
        <v>#NUM!</v>
      </c>
      <c r="AL147" s="20" t="e">
        <f t="shared" si="112"/>
        <v>#NUM!</v>
      </c>
      <c r="AM147" s="59" t="e">
        <f t="shared" si="113"/>
        <v>#NUM!</v>
      </c>
      <c r="AN147" s="59">
        <f ca="1">AVERAGE(OFFSET($AM$3,0,0,'Données projet'!$E$10+1,1))-AVERAGE(OFFSET($H$3,0,0,'Données projet'!$E$10+1,1))</f>
        <v>179.44051550872138</v>
      </c>
      <c r="AO147" s="59">
        <f t="shared" si="144"/>
        <v>272.9500808380069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15.784128648187533</v>
      </c>
      <c r="AV147" s="21">
        <f>EXP(-LN(2)/25)*AV146+(1-EXP(-LN(2)/25))/(LN(2)/25)*Calculateur!AQ147*Calculateur!AS147*VLOOKUP('Données projet'!$B$10,Paramètres!$A$1:$I$89,3,0)*0.475*44/12</f>
        <v>14.08474603351015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29.868874681697683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-1.1368683772161603E-13</v>
      </c>
      <c r="BE147" s="13">
        <f>BD147*VLOOKUP('Données projet'!$B$11,Paramètres!$A$1:$I$89,3,0)*VLOOKUP('Données projet'!$B$11,Paramètres!$A$1:$I$89,5,0)</f>
        <v>-6.3550942286383367E-14</v>
      </c>
      <c r="BF147" s="13" t="e">
        <f t="shared" si="145"/>
        <v>#NUM!</v>
      </c>
      <c r="BG147" s="20" t="e">
        <f t="shared" si="115"/>
        <v>#NUM!</v>
      </c>
      <c r="BH147" s="59" t="e">
        <f t="shared" si="116"/>
        <v>#NUM!</v>
      </c>
      <c r="BI147" s="59">
        <f ca="1">AVERAGE(OFFSET($BH$3,0,0,'Données projet'!$E$11+1,1))-AVERAGE(OFFSET($H$3,0,0,'Données projet'!$E$11+1,1))</f>
        <v>278.5296012747549</v>
      </c>
      <c r="BJ147" s="59">
        <f t="shared" si="146"/>
        <v>370.55343097937077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38.894932180863556</v>
      </c>
      <c r="BQ147" s="21">
        <f>EXP(-LN(2)/25)*BQ146+(1-EXP(-LN(2)/25))/(LN(2)/25)*Calculateur!BL147*Calculateur!BN147*VLOOKUP('Données projet'!$B$11,Paramètres!$A$1:$I$89,3,0)*0.475*44/12</f>
        <v>4.8844267818067939</v>
      </c>
      <c r="BR147" s="21">
        <f>EXP(-LN(2)/2)*BR146+(1-EXP(-LN(2)/2))/(LN(2)/2)*BL147*BO147*VLOOKUP('Données projet'!$B$11,Paramètres!$A$1:$I$89,3,0)*0.475*44/12</f>
        <v>1.3730919883689176E-12</v>
      </c>
      <c r="BS147" s="22">
        <f t="shared" si="117"/>
        <v>43.779358962671722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266.99999999999983</v>
      </c>
      <c r="BZ147" s="13">
        <f>BY147*VLOOKUP('Données projet'!$B$12,Paramètres!$A$1:$I$89,3,0)*VLOOKUP('Données projet'!$B$12,Paramètres!$A$1:$I$89,5,0)</f>
        <v>212.42519999999985</v>
      </c>
      <c r="CA147" s="13">
        <f t="shared" si="147"/>
        <v>52.465198231787184</v>
      </c>
      <c r="CB147" s="20">
        <f t="shared" si="118"/>
        <v>461.35077692036231</v>
      </c>
      <c r="CC147" s="59">
        <f t="shared" si="119"/>
        <v>754.68411025369562</v>
      </c>
      <c r="CD147" s="59">
        <f ca="1">AVERAGE(OFFSET($CC$3,0,0,'Données projet'!$E$12+1,1))-AVERAGE(OFFSET($H$3,0,0,'Données projet'!$E$12+1,1))</f>
        <v>225.2323446080772</v>
      </c>
      <c r="CE147" s="59">
        <f t="shared" si="148"/>
        <v>222.29030402759292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8.1060029749044009</v>
      </c>
      <c r="CL147" s="21">
        <f>EXP(-LN(2)/25)*CL146+(1-EXP(-LN(2)/25))/(LN(2)/25)*Calculateur!CG147*Calculateur!CI147*VLOOKUP('Données projet'!$B$12,Paramètres!$A$1:$I$89,3,0)*0.475*44/12</f>
        <v>1.4123811508045419</v>
      </c>
      <c r="CM147" s="21">
        <f>EXP(-LN(2)/2)*CM146+(1-EXP(-LN(2)/2))/(LN(2)/2)*CG147*CJ147*VLOOKUP('Données projet'!$B$12,Paramètres!$A$1:$I$89,3,0)*0.475*44/12</f>
        <v>0</v>
      </c>
      <c r="CN147" s="22">
        <f t="shared" si="120"/>
        <v>9.518384125708943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5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69.745000000000104</v>
      </c>
      <c r="D148" s="11">
        <f t="shared" si="140"/>
        <v>19.610118639905842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689.75881055366006</v>
      </c>
      <c r="H148" s="67">
        <f t="shared" si="110"/>
        <v>448.96016496450284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4.5474735088646412E-13</v>
      </c>
      <c r="O148" s="13">
        <f>N148*VLOOKUP('Données projet'!$B$9,Paramètres!$A$1:$I$89,3,0)*VLOOKUP('Données projet'!$B$9,Paramètres!$A$1:$I$89,5,0)</f>
        <v>2.1873347577638923E-13</v>
      </c>
      <c r="P148" s="13">
        <f t="shared" si="141"/>
        <v>2.999861355695181E-12</v>
      </c>
      <c r="Q148" s="20">
        <f t="shared" si="108"/>
        <v>5.6057193314796512E-12</v>
      </c>
      <c r="R148" s="59">
        <f t="shared" si="109"/>
        <v>293.33333333333894</v>
      </c>
      <c r="S148" s="59">
        <f ca="1">AVERAGE(OFFSET($R$3,0,0,'Données projet'!$E$9+1,1))-AVERAGE(OFFSET($H$3,0,0,'Données projet'!$E$9+1,1))</f>
        <v>234.10156575337737</v>
      </c>
      <c r="T148" s="59">
        <f t="shared" si="142"/>
        <v>285.68635263076646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46.726952978567439</v>
      </c>
      <c r="AA148" s="21">
        <f>EXP(-LN(2)/25)*AA147+(1-EXP(-LN(2)/25))/(LN(2)/25)*Calculateur!V148*Calculateur!X148*VLOOKUP('Données projet'!$B$9,Paramètres!$A$1:$I$89,3,0)*0.475*44/12</f>
        <v>15.376785043721032</v>
      </c>
      <c r="AB148" s="21">
        <f>EXP(-LN(2)/2)*AB147+(1-EXP(-LN(2)/2))/(LN(2)/2)*V148*Y148*VLOOKUP('Données projet'!$B$9,Paramètres!$A$1:$I$89,3,0)*0.475*44/12</f>
        <v>2.1297818764429983E-16</v>
      </c>
      <c r="AC148" s="22">
        <f t="shared" si="111"/>
        <v>62.103738022288468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0</v>
      </c>
      <c r="AJ148" s="13">
        <f>AI148*VLOOKUP('Données projet'!$B$10,Paramètres!$A$1:$I$89,3,0)*VLOOKUP('Données projet'!$B$10,Paramètres!$A$1:$I$89,5,0)</f>
        <v>0</v>
      </c>
      <c r="AK148" s="13" t="e">
        <f t="shared" si="143"/>
        <v>#NUM!</v>
      </c>
      <c r="AL148" s="20" t="e">
        <f t="shared" si="112"/>
        <v>#NUM!</v>
      </c>
      <c r="AM148" s="59" t="e">
        <f t="shared" si="113"/>
        <v>#NUM!</v>
      </c>
      <c r="AN148" s="59">
        <f ca="1">AVERAGE(OFFSET($AM$3,0,0,'Données projet'!$E$10+1,1))-AVERAGE(OFFSET($H$3,0,0,'Données projet'!$E$10+1,1))</f>
        <v>179.44051550872138</v>
      </c>
      <c r="AO148" s="59">
        <f t="shared" si="144"/>
        <v>272.9500808380069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15.474611512764428</v>
      </c>
      <c r="AV148" s="21">
        <f>EXP(-LN(2)/25)*AV147+(1-EXP(-LN(2)/25))/(LN(2)/25)*Calculateur!AQ148*Calculateur!AS148*VLOOKUP('Données projet'!$B$10,Paramètres!$A$1:$I$89,3,0)*0.475*44/12</f>
        <v>13.699597912539213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29.174209425303641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-1.1368683772161603E-13</v>
      </c>
      <c r="BE148" s="13">
        <f>BD148*VLOOKUP('Données projet'!$B$11,Paramètres!$A$1:$I$89,3,0)*VLOOKUP('Données projet'!$B$11,Paramètres!$A$1:$I$89,5,0)</f>
        <v>-6.3550942286383367E-14</v>
      </c>
      <c r="BF148" s="13" t="e">
        <f t="shared" si="145"/>
        <v>#NUM!</v>
      </c>
      <c r="BG148" s="20" t="e">
        <f t="shared" si="115"/>
        <v>#NUM!</v>
      </c>
      <c r="BH148" s="59" t="e">
        <f t="shared" si="116"/>
        <v>#NUM!</v>
      </c>
      <c r="BI148" s="59">
        <f ca="1">AVERAGE(OFFSET($BH$3,0,0,'Données projet'!$E$11+1,1))-AVERAGE(OFFSET($H$3,0,0,'Données projet'!$E$11+1,1))</f>
        <v>278.5296012747549</v>
      </c>
      <c r="BJ148" s="59">
        <f t="shared" si="146"/>
        <v>370.55343097937077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38.132226284362943</v>
      </c>
      <c r="BQ148" s="21">
        <f>EXP(-LN(2)/25)*BQ147+(1-EXP(-LN(2)/25))/(LN(2)/25)*Calculateur!BL148*Calculateur!BN148*VLOOKUP('Données projet'!$B$11,Paramètres!$A$1:$I$89,3,0)*0.475*44/12</f>
        <v>4.7508618745974465</v>
      </c>
      <c r="BR148" s="21">
        <f>EXP(-LN(2)/2)*BR147+(1-EXP(-LN(2)/2))/(LN(2)/2)*BL148*BO148*VLOOKUP('Données projet'!$B$11,Paramètres!$A$1:$I$89,3,0)*0.475*44/12</f>
        <v>9.7092265616858166E-13</v>
      </c>
      <c r="BS148" s="22">
        <f t="shared" si="117"/>
        <v>42.883088158961364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266.99999999999983</v>
      </c>
      <c r="BZ148" s="13">
        <f>BY148*VLOOKUP('Données projet'!$B$12,Paramètres!$A$1:$I$89,3,0)*VLOOKUP('Données projet'!$B$12,Paramètres!$A$1:$I$89,5,0)</f>
        <v>212.42519999999985</v>
      </c>
      <c r="CA148" s="13">
        <f t="shared" si="147"/>
        <v>52.465198231787184</v>
      </c>
      <c r="CB148" s="20">
        <f t="shared" si="118"/>
        <v>461.35077692036231</v>
      </c>
      <c r="CC148" s="59">
        <f t="shared" si="119"/>
        <v>754.68411025369562</v>
      </c>
      <c r="CD148" s="59">
        <f ca="1">AVERAGE(OFFSET($CC$3,0,0,'Données projet'!$E$12+1,1))-AVERAGE(OFFSET($H$3,0,0,'Données projet'!$E$12+1,1))</f>
        <v>225.2323446080772</v>
      </c>
      <c r="CE148" s="59">
        <f t="shared" si="148"/>
        <v>222.29030402759292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7.9470492007401434</v>
      </c>
      <c r="CL148" s="21">
        <f>EXP(-LN(2)/25)*CL147+(1-EXP(-LN(2)/25))/(LN(2)/25)*Calculateur!CG148*Calculateur!CI148*VLOOKUP('Données projet'!$B$12,Paramètres!$A$1:$I$89,3,0)*0.475*44/12</f>
        <v>1.373759513961895</v>
      </c>
      <c r="CM148" s="21">
        <f>EXP(-LN(2)/2)*CM147+(1-EXP(-LN(2)/2))/(LN(2)/2)*CG148*CJ148*VLOOKUP('Données projet'!$B$12,Paramètres!$A$1:$I$89,3,0)*0.475*44/12</f>
        <v>0</v>
      </c>
      <c r="CN148" s="22">
        <f t="shared" si="120"/>
        <v>9.3208087147020393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5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70.226000000000099</v>
      </c>
      <c r="D149" s="11">
        <f t="shared" si="140"/>
        <v>19.729570803453061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694.39387988630506</v>
      </c>
      <c r="H149" s="67">
        <f t="shared" si="110"/>
        <v>450.00595248268087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4.5474735088646412E-13</v>
      </c>
      <c r="O149" s="13">
        <f>N149*VLOOKUP('Données projet'!$B$9,Paramètres!$A$1:$I$89,3,0)*VLOOKUP('Données projet'!$B$9,Paramètres!$A$1:$I$89,5,0)</f>
        <v>2.1873347577638923E-13</v>
      </c>
      <c r="P149" s="13">
        <f t="shared" si="141"/>
        <v>2.999861355695181E-12</v>
      </c>
      <c r="Q149" s="20">
        <f t="shared" si="108"/>
        <v>5.6057193314796512E-12</v>
      </c>
      <c r="R149" s="59">
        <f t="shared" si="109"/>
        <v>293.33333333333894</v>
      </c>
      <c r="S149" s="59">
        <f ca="1">AVERAGE(OFFSET($R$3,0,0,'Données projet'!$E$9+1,1))-AVERAGE(OFFSET($H$3,0,0,'Données projet'!$E$9+1,1))</f>
        <v>234.10156575337737</v>
      </c>
      <c r="T149" s="59">
        <f t="shared" si="142"/>
        <v>285.68635263076646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45.810665931284845</v>
      </c>
      <c r="AA149" s="21">
        <f>EXP(-LN(2)/25)*AA148+(1-EXP(-LN(2)/25))/(LN(2)/25)*Calculateur!V149*Calculateur!X149*VLOOKUP('Données projet'!$B$9,Paramètres!$A$1:$I$89,3,0)*0.475*44/12</f>
        <v>14.956306048070498</v>
      </c>
      <c r="AB149" s="21">
        <f>EXP(-LN(2)/2)*AB148+(1-EXP(-LN(2)/2))/(LN(2)/2)*V149*Y149*VLOOKUP('Données projet'!$B$9,Paramètres!$A$1:$I$89,3,0)*0.475*44/12</f>
        <v>1.5059832072810538E-16</v>
      </c>
      <c r="AC149" s="22">
        <f t="shared" si="111"/>
        <v>60.766971979355347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0</v>
      </c>
      <c r="AJ149" s="13">
        <f>AI149*VLOOKUP('Données projet'!$B$10,Paramètres!$A$1:$I$89,3,0)*VLOOKUP('Données projet'!$B$10,Paramètres!$A$1:$I$89,5,0)</f>
        <v>0</v>
      </c>
      <c r="AK149" s="13" t="e">
        <f t="shared" si="143"/>
        <v>#NUM!</v>
      </c>
      <c r="AL149" s="20" t="e">
        <f t="shared" si="112"/>
        <v>#NUM!</v>
      </c>
      <c r="AM149" s="59" t="e">
        <f t="shared" si="113"/>
        <v>#NUM!</v>
      </c>
      <c r="AN149" s="59">
        <f ca="1">AVERAGE(OFFSET($AM$3,0,0,'Données projet'!$E$10+1,1))-AVERAGE(OFFSET($H$3,0,0,'Données projet'!$E$10+1,1))</f>
        <v>179.44051550872138</v>
      </c>
      <c r="AO149" s="59">
        <f t="shared" si="144"/>
        <v>272.9500808380069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15.171163819580158</v>
      </c>
      <c r="AV149" s="21">
        <f>EXP(-LN(2)/25)*AV148+(1-EXP(-LN(2)/25))/(LN(2)/25)*Calculateur!AQ149*Calculateur!AS149*VLOOKUP('Données projet'!$B$10,Paramètres!$A$1:$I$89,3,0)*0.475*44/12</f>
        <v>13.324981687190284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28.496145506770443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-1.1368683772161603E-13</v>
      </c>
      <c r="BE149" s="13">
        <f>BD149*VLOOKUP('Données projet'!$B$11,Paramètres!$A$1:$I$89,3,0)*VLOOKUP('Données projet'!$B$11,Paramètres!$A$1:$I$89,5,0)</f>
        <v>-6.3550942286383367E-14</v>
      </c>
      <c r="BF149" s="13" t="e">
        <f t="shared" si="145"/>
        <v>#NUM!</v>
      </c>
      <c r="BG149" s="20" t="e">
        <f t="shared" si="115"/>
        <v>#NUM!</v>
      </c>
      <c r="BH149" s="59" t="e">
        <f t="shared" si="116"/>
        <v>#NUM!</v>
      </c>
      <c r="BI149" s="59">
        <f ca="1">AVERAGE(OFFSET($BH$3,0,0,'Données projet'!$E$11+1,1))-AVERAGE(OFFSET($H$3,0,0,'Données projet'!$E$11+1,1))</f>
        <v>278.5296012747549</v>
      </c>
      <c r="BJ149" s="59">
        <f t="shared" si="146"/>
        <v>370.55343097937077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37.384476585288049</v>
      </c>
      <c r="BQ149" s="21">
        <f>EXP(-LN(2)/25)*BQ148+(1-EXP(-LN(2)/25))/(LN(2)/25)*Calculateur!BL149*Calculateur!BN149*VLOOKUP('Données projet'!$B$11,Paramètres!$A$1:$I$89,3,0)*0.475*44/12</f>
        <v>4.6209493067996119</v>
      </c>
      <c r="BR149" s="21">
        <f>EXP(-LN(2)/2)*BR148+(1-EXP(-LN(2)/2))/(LN(2)/2)*BL149*BO149*VLOOKUP('Données projet'!$B$11,Paramètres!$A$1:$I$89,3,0)*0.475*44/12</f>
        <v>6.8654599418445879E-13</v>
      </c>
      <c r="BS149" s="22">
        <f t="shared" si="117"/>
        <v>42.005425892088347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266.99999999999983</v>
      </c>
      <c r="BZ149" s="13">
        <f>BY149*VLOOKUP('Données projet'!$B$12,Paramètres!$A$1:$I$89,3,0)*VLOOKUP('Données projet'!$B$12,Paramètres!$A$1:$I$89,5,0)</f>
        <v>212.42519999999985</v>
      </c>
      <c r="CA149" s="13">
        <f t="shared" si="147"/>
        <v>52.465198231787184</v>
      </c>
      <c r="CB149" s="20">
        <f t="shared" si="118"/>
        <v>461.35077692036231</v>
      </c>
      <c r="CC149" s="59">
        <f t="shared" si="119"/>
        <v>754.68411025369562</v>
      </c>
      <c r="CD149" s="59">
        <f ca="1">AVERAGE(OFFSET($CC$3,0,0,'Données projet'!$E$12+1,1))-AVERAGE(OFFSET($H$3,0,0,'Données projet'!$E$12+1,1))</f>
        <v>225.2323446080772</v>
      </c>
      <c r="CE149" s="59">
        <f t="shared" si="148"/>
        <v>222.29030402759292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7.7912124131350184</v>
      </c>
      <c r="CL149" s="21">
        <f>EXP(-LN(2)/25)*CL148+(1-EXP(-LN(2)/25))/(LN(2)/25)*Calculateur!CG149*Calculateur!CI149*VLOOKUP('Données projet'!$B$12,Paramètres!$A$1:$I$89,3,0)*0.475*44/12</f>
        <v>1.336193987809734</v>
      </c>
      <c r="CM149" s="21">
        <f>EXP(-LN(2)/2)*CM148+(1-EXP(-LN(2)/2))/(LN(2)/2)*CG149*CJ149*VLOOKUP('Données projet'!$B$12,Paramètres!$A$1:$I$89,3,0)*0.475*44/12</f>
        <v>0</v>
      </c>
      <c r="CN149" s="22">
        <f t="shared" si="120"/>
        <v>9.1274064009447518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5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70.707000000000093</v>
      </c>
      <c r="D150" s="11">
        <f t="shared" si="140"/>
        <v>19.848927769701536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699.02821436260911</v>
      </c>
      <c r="H150" s="67">
        <f t="shared" si="110"/>
        <v>451.05157419889701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4.5474735088646412E-13</v>
      </c>
      <c r="O150" s="13">
        <f>N150*VLOOKUP('Données projet'!$B$9,Paramètres!$A$1:$I$89,3,0)*VLOOKUP('Données projet'!$B$9,Paramètres!$A$1:$I$89,5,0)</f>
        <v>2.1873347577638923E-13</v>
      </c>
      <c r="P150" s="13">
        <f t="shared" si="141"/>
        <v>2.999861355695181E-12</v>
      </c>
      <c r="Q150" s="20">
        <f t="shared" si="108"/>
        <v>5.6057193314796512E-12</v>
      </c>
      <c r="R150" s="59">
        <f t="shared" si="109"/>
        <v>293.33333333333894</v>
      </c>
      <c r="S150" s="59">
        <f ca="1">AVERAGE(OFFSET($R$3,0,0,'Données projet'!$E$9+1,1))-AVERAGE(OFFSET($H$3,0,0,'Données projet'!$E$9+1,1))</f>
        <v>234.10156575337737</v>
      </c>
      <c r="T150" s="59">
        <f t="shared" si="142"/>
        <v>285.68635263076646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44.91234671411955</v>
      </c>
      <c r="AA150" s="21">
        <f>EXP(-LN(2)/25)*AA149+(1-EXP(-LN(2)/25))/(LN(2)/25)*Calculateur!V150*Calculateur!X150*VLOOKUP('Données projet'!$B$9,Paramètres!$A$1:$I$89,3,0)*0.475*44/12</f>
        <v>14.547325072668059</v>
      </c>
      <c r="AB150" s="21">
        <f>EXP(-LN(2)/2)*AB149+(1-EXP(-LN(2)/2))/(LN(2)/2)*V150*Y150*VLOOKUP('Données projet'!$B$9,Paramètres!$A$1:$I$89,3,0)*0.475*44/12</f>
        <v>1.0648909382214992E-16</v>
      </c>
      <c r="AC150" s="22">
        <f t="shared" si="111"/>
        <v>59.459671786787609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0</v>
      </c>
      <c r="AJ150" s="13">
        <f>AI150*VLOOKUP('Données projet'!$B$10,Paramètres!$A$1:$I$89,3,0)*VLOOKUP('Données projet'!$B$10,Paramètres!$A$1:$I$89,5,0)</f>
        <v>0</v>
      </c>
      <c r="AK150" s="13" t="e">
        <f t="shared" si="143"/>
        <v>#NUM!</v>
      </c>
      <c r="AL150" s="20" t="e">
        <f t="shared" si="112"/>
        <v>#NUM!</v>
      </c>
      <c r="AM150" s="59" t="e">
        <f t="shared" si="113"/>
        <v>#NUM!</v>
      </c>
      <c r="AN150" s="59">
        <f ca="1">AVERAGE(OFFSET($AM$3,0,0,'Données projet'!$E$10+1,1))-AVERAGE(OFFSET($H$3,0,0,'Données projet'!$E$10+1,1))</f>
        <v>179.44051550872138</v>
      </c>
      <c r="AO150" s="59">
        <f t="shared" si="144"/>
        <v>272.9500808380069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14.873666550574415</v>
      </c>
      <c r="AV150" s="21">
        <f>EXP(-LN(2)/25)*AV149+(1-EXP(-LN(2)/25))/(LN(2)/25)*Calculateur!AQ150*Calculateur!AS150*VLOOKUP('Données projet'!$B$10,Paramètres!$A$1:$I$89,3,0)*0.475*44/12</f>
        <v>12.960609362223733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27.834275912798148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-1.1368683772161603E-13</v>
      </c>
      <c r="BE150" s="13">
        <f>BD150*VLOOKUP('Données projet'!$B$11,Paramètres!$A$1:$I$89,3,0)*VLOOKUP('Données projet'!$B$11,Paramètres!$A$1:$I$89,5,0)</f>
        <v>-6.3550942286383367E-14</v>
      </c>
      <c r="BF150" s="13" t="e">
        <f t="shared" si="145"/>
        <v>#NUM!</v>
      </c>
      <c r="BG150" s="20" t="e">
        <f t="shared" si="115"/>
        <v>#NUM!</v>
      </c>
      <c r="BH150" s="59" t="e">
        <f t="shared" si="116"/>
        <v>#NUM!</v>
      </c>
      <c r="BI150" s="59">
        <f ca="1">AVERAGE(OFFSET($BH$3,0,0,'Données projet'!$E$11+1,1))-AVERAGE(OFFSET($H$3,0,0,'Données projet'!$E$11+1,1))</f>
        <v>278.5296012747549</v>
      </c>
      <c r="BJ150" s="59">
        <f t="shared" si="146"/>
        <v>370.55343097937077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36.651389801729728</v>
      </c>
      <c r="BQ150" s="21">
        <f>EXP(-LN(2)/25)*BQ149+(1-EXP(-LN(2)/25))/(LN(2)/25)*Calculateur!BL150*Calculateur!BN150*VLOOKUP('Données projet'!$B$11,Paramètres!$A$1:$I$89,3,0)*0.475*44/12</f>
        <v>4.4945892050000138</v>
      </c>
      <c r="BR150" s="21">
        <f>EXP(-LN(2)/2)*BR149+(1-EXP(-LN(2)/2))/(LN(2)/2)*BL150*BO150*VLOOKUP('Données projet'!$B$11,Paramètres!$A$1:$I$89,3,0)*0.475*44/12</f>
        <v>4.8546132808429083E-13</v>
      </c>
      <c r="BS150" s="22">
        <f t="shared" si="117"/>
        <v>41.145979006730222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266.99999999999983</v>
      </c>
      <c r="BZ150" s="13">
        <f>BY150*VLOOKUP('Données projet'!$B$12,Paramètres!$A$1:$I$89,3,0)*VLOOKUP('Données projet'!$B$12,Paramètres!$A$1:$I$89,5,0)</f>
        <v>212.42519999999985</v>
      </c>
      <c r="CA150" s="13">
        <f t="shared" si="147"/>
        <v>52.465198231787184</v>
      </c>
      <c r="CB150" s="20">
        <f t="shared" si="118"/>
        <v>461.35077692036231</v>
      </c>
      <c r="CC150" s="59">
        <f t="shared" si="119"/>
        <v>754.68411025369562</v>
      </c>
      <c r="CD150" s="59">
        <f ca="1">AVERAGE(OFFSET($CC$3,0,0,'Données projet'!$E$12+1,1))-AVERAGE(OFFSET($H$3,0,0,'Données projet'!$E$12+1,1))</f>
        <v>225.2323446080772</v>
      </c>
      <c r="CE150" s="59">
        <f t="shared" si="148"/>
        <v>222.29030402759292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7.6384314898837751</v>
      </c>
      <c r="CL150" s="21">
        <f>EXP(-LN(2)/25)*CL149+(1-EXP(-LN(2)/25))/(LN(2)/25)*Calculateur!CG150*Calculateur!CI150*VLOOKUP('Données projet'!$B$12,Paramètres!$A$1:$I$89,3,0)*0.475*44/12</f>
        <v>1.2996556929456888</v>
      </c>
      <c r="CM150" s="21">
        <f>EXP(-LN(2)/2)*CM149+(1-EXP(-LN(2)/2))/(LN(2)/2)*CG150*CJ150*VLOOKUP('Données projet'!$B$12,Paramètres!$A$1:$I$89,3,0)*0.475*44/12</f>
        <v>0</v>
      </c>
      <c r="CN150" s="22">
        <f t="shared" si="120"/>
        <v>8.938087182829463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5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71.188000000000088</v>
      </c>
      <c r="D151" s="11">
        <f t="shared" si="140"/>
        <v>19.968190261357677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703.66181956135824</v>
      </c>
      <c r="H151" s="67">
        <f t="shared" si="110"/>
        <v>452.09703137186477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4.5474735088646412E-13</v>
      </c>
      <c r="O151" s="13">
        <f>N151*VLOOKUP('Données projet'!$B$9,Paramètres!$A$1:$I$89,3,0)*VLOOKUP('Données projet'!$B$9,Paramètres!$A$1:$I$89,5,0)</f>
        <v>2.1873347577638923E-13</v>
      </c>
      <c r="P151" s="13">
        <f t="shared" si="141"/>
        <v>2.999861355695181E-12</v>
      </c>
      <c r="Q151" s="20">
        <f t="shared" si="108"/>
        <v>5.6057193314796512E-12</v>
      </c>
      <c r="R151" s="59">
        <f t="shared" si="109"/>
        <v>293.33333333333894</v>
      </c>
      <c r="S151" s="59">
        <f ca="1">AVERAGE(OFFSET($R$3,0,0,'Données projet'!$E$9+1,1))-AVERAGE(OFFSET($H$3,0,0,'Données projet'!$E$9+1,1))</f>
        <v>234.10156575337737</v>
      </c>
      <c r="T151" s="59">
        <f t="shared" si="142"/>
        <v>285.68635263076646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44.031642988882247</v>
      </c>
      <c r="AA151" s="21">
        <f>EXP(-LN(2)/25)*AA150+(1-EXP(-LN(2)/25))/(LN(2)/25)*Calculateur!V151*Calculateur!X151*VLOOKUP('Données projet'!$B$9,Paramètres!$A$1:$I$89,3,0)*0.475*44/12</f>
        <v>14.149527703545374</v>
      </c>
      <c r="AB151" s="21">
        <f>EXP(-LN(2)/2)*AB150+(1-EXP(-LN(2)/2))/(LN(2)/2)*V151*Y151*VLOOKUP('Données projet'!$B$9,Paramètres!$A$1:$I$89,3,0)*0.475*44/12</f>
        <v>7.529916036405269E-17</v>
      </c>
      <c r="AC151" s="22">
        <f t="shared" si="111"/>
        <v>58.181170692427621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0</v>
      </c>
      <c r="AJ151" s="13">
        <f>AI151*VLOOKUP('Données projet'!$B$10,Paramètres!$A$1:$I$89,3,0)*VLOOKUP('Données projet'!$B$10,Paramètres!$A$1:$I$89,5,0)</f>
        <v>0</v>
      </c>
      <c r="AK151" s="13" t="e">
        <f t="shared" si="143"/>
        <v>#NUM!</v>
      </c>
      <c r="AL151" s="20" t="e">
        <f t="shared" si="112"/>
        <v>#NUM!</v>
      </c>
      <c r="AM151" s="59" t="e">
        <f t="shared" si="113"/>
        <v>#NUM!</v>
      </c>
      <c r="AN151" s="59">
        <f ca="1">AVERAGE(OFFSET($AM$3,0,0,'Données projet'!$E$10+1,1))-AVERAGE(OFFSET($H$3,0,0,'Données projet'!$E$10+1,1))</f>
        <v>179.44051550872138</v>
      </c>
      <c r="AO151" s="59">
        <f t="shared" si="144"/>
        <v>272.9500808380069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14.582003021558457</v>
      </c>
      <c r="AV151" s="21">
        <f>EXP(-LN(2)/25)*AV150+(1-EXP(-LN(2)/25))/(LN(2)/25)*Calculateur!AQ151*Calculateur!AS151*VLOOKUP('Données projet'!$B$10,Paramètres!$A$1:$I$89,3,0)*0.475*44/12</f>
        <v>12.606200817644901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27.188203839203357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-1.1368683772161603E-13</v>
      </c>
      <c r="BE151" s="13">
        <f>BD151*VLOOKUP('Données projet'!$B$11,Paramètres!$A$1:$I$89,3,0)*VLOOKUP('Données projet'!$B$11,Paramètres!$A$1:$I$89,5,0)</f>
        <v>-6.3550942286383367E-14</v>
      </c>
      <c r="BF151" s="13" t="e">
        <f t="shared" si="145"/>
        <v>#NUM!</v>
      </c>
      <c r="BG151" s="20" t="e">
        <f t="shared" si="115"/>
        <v>#NUM!</v>
      </c>
      <c r="BH151" s="59" t="e">
        <f t="shared" si="116"/>
        <v>#NUM!</v>
      </c>
      <c r="BI151" s="59">
        <f ca="1">AVERAGE(OFFSET($BH$3,0,0,'Données projet'!$E$11+1,1))-AVERAGE(OFFSET($H$3,0,0,'Données projet'!$E$11+1,1))</f>
        <v>278.5296012747549</v>
      </c>
      <c r="BJ151" s="59">
        <f t="shared" si="146"/>
        <v>370.55343097937077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35.932678402858201</v>
      </c>
      <c r="BQ151" s="21">
        <f>EXP(-LN(2)/25)*BQ150+(1-EXP(-LN(2)/25))/(LN(2)/25)*Calculateur!BL151*Calculateur!BN151*VLOOKUP('Données projet'!$B$11,Paramètres!$A$1:$I$89,3,0)*0.475*44/12</f>
        <v>4.3716844268291144</v>
      </c>
      <c r="BR151" s="21">
        <f>EXP(-LN(2)/2)*BR150+(1-EXP(-LN(2)/2))/(LN(2)/2)*BL151*BO151*VLOOKUP('Données projet'!$B$11,Paramètres!$A$1:$I$89,3,0)*0.475*44/12</f>
        <v>3.432729970922294E-13</v>
      </c>
      <c r="BS151" s="22">
        <f t="shared" si="117"/>
        <v>40.304362829687655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266.99999999999983</v>
      </c>
      <c r="BZ151" s="13">
        <f>BY151*VLOOKUP('Données projet'!$B$12,Paramètres!$A$1:$I$89,3,0)*VLOOKUP('Données projet'!$B$12,Paramètres!$A$1:$I$89,5,0)</f>
        <v>212.42519999999985</v>
      </c>
      <c r="CA151" s="13">
        <f t="shared" si="147"/>
        <v>52.465198231787184</v>
      </c>
      <c r="CB151" s="20">
        <f t="shared" si="118"/>
        <v>461.35077692036231</v>
      </c>
      <c r="CC151" s="59">
        <f t="shared" si="119"/>
        <v>754.68411025369562</v>
      </c>
      <c r="CD151" s="59">
        <f ca="1">AVERAGE(OFFSET($CC$3,0,0,'Données projet'!$E$12+1,1))-AVERAGE(OFFSET($H$3,0,0,'Données projet'!$E$12+1,1))</f>
        <v>225.2323446080772</v>
      </c>
      <c r="CE151" s="59">
        <f t="shared" si="148"/>
        <v>222.29030402759292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7.4886465073503263</v>
      </c>
      <c r="CL151" s="21">
        <f>EXP(-LN(2)/25)*CL150+(1-EXP(-LN(2)/25))/(LN(2)/25)*Calculateur!CG151*Calculateur!CI151*VLOOKUP('Données projet'!$B$12,Paramètres!$A$1:$I$89,3,0)*0.475*44/12</f>
        <v>1.2641165396761664</v>
      </c>
      <c r="CM151" s="21">
        <f>EXP(-LN(2)/2)*CM150+(1-EXP(-LN(2)/2))/(LN(2)/2)*CG151*CJ151*VLOOKUP('Données projet'!$B$12,Paramètres!$A$1:$I$89,3,0)*0.475*44/12</f>
        <v>0</v>
      </c>
      <c r="CN151" s="22">
        <f t="shared" si="120"/>
        <v>8.7527630470264928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5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71.669000000000082</v>
      </c>
      <c r="D152" s="11">
        <f t="shared" si="140"/>
        <v>20.087358990796993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708.29470098159163</v>
      </c>
      <c r="H152" s="67">
        <f t="shared" si="110"/>
        <v>453.14232524230488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4.5474735088646412E-13</v>
      </c>
      <c r="O152" s="13">
        <f>N152*VLOOKUP('Données projet'!$B$9,Paramètres!$A$1:$I$89,3,0)*VLOOKUP('Données projet'!$B$9,Paramètres!$A$1:$I$89,5,0)</f>
        <v>2.1873347577638923E-13</v>
      </c>
      <c r="P152" s="13">
        <f t="shared" si="141"/>
        <v>2.999861355695181E-12</v>
      </c>
      <c r="Q152" s="20">
        <f t="shared" si="108"/>
        <v>5.6057193314796512E-12</v>
      </c>
      <c r="R152" s="59">
        <f t="shared" si="109"/>
        <v>293.33333333333894</v>
      </c>
      <c r="S152" s="59">
        <f ca="1">AVERAGE(OFFSET($R$3,0,0,'Données projet'!$E$9+1,1))-AVERAGE(OFFSET($H$3,0,0,'Données projet'!$E$9+1,1))</f>
        <v>234.10156575337737</v>
      </c>
      <c r="T152" s="59">
        <f t="shared" si="142"/>
        <v>285.68635263076646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43.168209326520618</v>
      </c>
      <c r="AA152" s="21">
        <f>EXP(-LN(2)/25)*AA151+(1-EXP(-LN(2)/25))/(LN(2)/25)*Calculateur!V152*Calculateur!X152*VLOOKUP('Données projet'!$B$9,Paramètres!$A$1:$I$89,3,0)*0.475*44/12</f>
        <v>13.762608124400604</v>
      </c>
      <c r="AB152" s="21">
        <f>EXP(-LN(2)/2)*AB151+(1-EXP(-LN(2)/2))/(LN(2)/2)*V152*Y152*VLOOKUP('Données projet'!$B$9,Paramètres!$A$1:$I$89,3,0)*0.475*44/12</f>
        <v>5.3244546911074959E-17</v>
      </c>
      <c r="AC152" s="22">
        <f t="shared" si="111"/>
        <v>56.930817450921225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0</v>
      </c>
      <c r="AJ152" s="13">
        <f>AI152*VLOOKUP('Données projet'!$B$10,Paramètres!$A$1:$I$89,3,0)*VLOOKUP('Données projet'!$B$10,Paramètres!$A$1:$I$89,5,0)</f>
        <v>0</v>
      </c>
      <c r="AK152" s="13" t="e">
        <f t="shared" si="143"/>
        <v>#NUM!</v>
      </c>
      <c r="AL152" s="20" t="e">
        <f t="shared" si="112"/>
        <v>#NUM!</v>
      </c>
      <c r="AM152" s="59" t="e">
        <f t="shared" si="113"/>
        <v>#NUM!</v>
      </c>
      <c r="AN152" s="59">
        <f ca="1">AVERAGE(OFFSET($AM$3,0,0,'Données projet'!$E$10+1,1))-AVERAGE(OFFSET($H$3,0,0,'Données projet'!$E$10+1,1))</f>
        <v>179.44051550872138</v>
      </c>
      <c r="AO152" s="59">
        <f t="shared" si="144"/>
        <v>272.9500808380069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14.296058836449316</v>
      </c>
      <c r="AV152" s="21">
        <f>EXP(-LN(2)/25)*AV151+(1-EXP(-LN(2)/25))/(LN(2)/25)*Calculateur!AQ152*Calculateur!AS152*VLOOKUP('Données projet'!$B$10,Paramètres!$A$1:$I$89,3,0)*0.475*44/12</f>
        <v>12.261483593355111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26.557542429804428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-1.1368683772161603E-13</v>
      </c>
      <c r="BE152" s="13">
        <f>BD152*VLOOKUP('Données projet'!$B$11,Paramètres!$A$1:$I$89,3,0)*VLOOKUP('Données projet'!$B$11,Paramètres!$A$1:$I$89,5,0)</f>
        <v>-6.3550942286383367E-14</v>
      </c>
      <c r="BF152" s="13" t="e">
        <f t="shared" si="145"/>
        <v>#NUM!</v>
      </c>
      <c r="BG152" s="20" t="e">
        <f t="shared" si="115"/>
        <v>#NUM!</v>
      </c>
      <c r="BH152" s="59" t="e">
        <f t="shared" si="116"/>
        <v>#NUM!</v>
      </c>
      <c r="BI152" s="59">
        <f ca="1">AVERAGE(OFFSET($BH$3,0,0,'Données projet'!$E$11+1,1))-AVERAGE(OFFSET($H$3,0,0,'Données projet'!$E$11+1,1))</f>
        <v>278.5296012747549</v>
      </c>
      <c r="BJ152" s="59">
        <f t="shared" si="146"/>
        <v>370.55343097937077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35.228060496147876</v>
      </c>
      <c r="BQ152" s="21">
        <f>EXP(-LN(2)/25)*BQ151+(1-EXP(-LN(2)/25))/(LN(2)/25)*Calculateur!BL152*Calculateur!BN152*VLOOKUP('Données projet'!$B$11,Paramètres!$A$1:$I$89,3,0)*0.475*44/12</f>
        <v>4.2521404862805801</v>
      </c>
      <c r="BR152" s="21">
        <f>EXP(-LN(2)/2)*BR151+(1-EXP(-LN(2)/2))/(LN(2)/2)*BL152*BO152*VLOOKUP('Données projet'!$B$11,Paramètres!$A$1:$I$89,3,0)*0.475*44/12</f>
        <v>2.4273066404214542E-13</v>
      </c>
      <c r="BS152" s="22">
        <f t="shared" si="117"/>
        <v>39.480200982428698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266.99999999999983</v>
      </c>
      <c r="BZ152" s="13">
        <f>BY152*VLOOKUP('Données projet'!$B$12,Paramètres!$A$1:$I$89,3,0)*VLOOKUP('Données projet'!$B$12,Paramètres!$A$1:$I$89,5,0)</f>
        <v>212.42519999999985</v>
      </c>
      <c r="CA152" s="13">
        <f t="shared" si="147"/>
        <v>52.465198231787184</v>
      </c>
      <c r="CB152" s="20">
        <f t="shared" si="118"/>
        <v>461.35077692036231</v>
      </c>
      <c r="CC152" s="59">
        <f t="shared" si="119"/>
        <v>754.68411025369562</v>
      </c>
      <c r="CD152" s="59">
        <f ca="1">AVERAGE(OFFSET($CC$3,0,0,'Données projet'!$E$12+1,1))-AVERAGE(OFFSET($H$3,0,0,'Données projet'!$E$12+1,1))</f>
        <v>225.2323446080772</v>
      </c>
      <c r="CE152" s="59">
        <f t="shared" si="148"/>
        <v>222.29030402759292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7.3417987169645409</v>
      </c>
      <c r="CL152" s="21">
        <f>EXP(-LN(2)/25)*CL151+(1-EXP(-LN(2)/25))/(LN(2)/25)*Calculateur!CG152*Calculateur!CI152*VLOOKUP('Données projet'!$B$12,Paramètres!$A$1:$I$89,3,0)*0.475*44/12</f>
        <v>1.2295492064217219</v>
      </c>
      <c r="CM152" s="21">
        <f>EXP(-LN(2)/2)*CM151+(1-EXP(-LN(2)/2))/(LN(2)/2)*CG152*CJ152*VLOOKUP('Données projet'!$B$12,Paramètres!$A$1:$I$89,3,0)*0.475*44/12</f>
        <v>0</v>
      </c>
      <c r="CN152" s="22">
        <f t="shared" si="120"/>
        <v>8.5713479233862628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5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72.150000000000077</v>
      </c>
      <c r="D153" s="11">
        <f t="shared" si="140"/>
        <v>20.206434660280181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712.92686404426877</v>
      </c>
      <c r="H153" s="67">
        <f t="shared" si="110"/>
        <v>454.18745703332144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4.5474735088646412E-13</v>
      </c>
      <c r="O153" s="13">
        <f>N153*VLOOKUP('Données projet'!$B$9,Paramètres!$A$1:$I$89,3,0)*VLOOKUP('Données projet'!$B$9,Paramètres!$A$1:$I$89,5,0)</f>
        <v>2.1873347577638923E-13</v>
      </c>
      <c r="P153" s="13">
        <f t="shared" si="141"/>
        <v>2.999861355695181E-12</v>
      </c>
      <c r="Q153" s="20">
        <f t="shared" si="108"/>
        <v>5.6057193314796512E-12</v>
      </c>
      <c r="R153" s="59">
        <f t="shared" si="109"/>
        <v>293.33333333333894</v>
      </c>
      <c r="S153" s="59">
        <f ca="1">AVERAGE(OFFSET($R$3,0,0,'Données projet'!$E$9+1,1))-AVERAGE(OFFSET($H$3,0,0,'Données projet'!$E$9+1,1))</f>
        <v>234.10156575337737</v>
      </c>
      <c r="T153" s="59">
        <f t="shared" si="142"/>
        <v>285.68635263076646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42.321707071635366</v>
      </c>
      <c r="AA153" s="21">
        <f>EXP(-LN(2)/25)*AA152+(1-EXP(-LN(2)/25))/(LN(2)/25)*Calculateur!V153*Calculateur!X153*VLOOKUP('Données projet'!$B$9,Paramètres!$A$1:$I$89,3,0)*0.475*44/12</f>
        <v>13.386268881494763</v>
      </c>
      <c r="AB153" s="21">
        <f>EXP(-LN(2)/2)*AB152+(1-EXP(-LN(2)/2))/(LN(2)/2)*V153*Y153*VLOOKUP('Données projet'!$B$9,Paramètres!$A$1:$I$89,3,0)*0.475*44/12</f>
        <v>3.7649580182026345E-17</v>
      </c>
      <c r="AC153" s="22">
        <f t="shared" si="111"/>
        <v>55.707975953130131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0</v>
      </c>
      <c r="AJ153" s="13">
        <f>AI153*VLOOKUP('Données projet'!$B$10,Paramètres!$A$1:$I$89,3,0)*VLOOKUP('Données projet'!$B$10,Paramètres!$A$1:$I$89,5,0)</f>
        <v>0</v>
      </c>
      <c r="AK153" s="13" t="e">
        <f t="shared" si="143"/>
        <v>#NUM!</v>
      </c>
      <c r="AL153" s="20" t="e">
        <f t="shared" si="112"/>
        <v>#NUM!</v>
      </c>
      <c r="AM153" s="59" t="e">
        <f t="shared" si="113"/>
        <v>#NUM!</v>
      </c>
      <c r="AN153" s="59">
        <f ca="1">AVERAGE(OFFSET($AM$3,0,0,'Données projet'!$E$10+1,1))-AVERAGE(OFFSET($H$3,0,0,'Données projet'!$E$10+1,1))</f>
        <v>179.44051550872138</v>
      </c>
      <c r="AO153" s="59">
        <f t="shared" si="144"/>
        <v>272.9500808380069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14.015721842401433</v>
      </c>
      <c r="AV153" s="21">
        <f>EXP(-LN(2)/25)*AV152+(1-EXP(-LN(2)/25))/(LN(2)/25)*Calculateur!AQ153*Calculateur!AS153*VLOOKUP('Données projet'!$B$10,Paramètres!$A$1:$I$89,3,0)*0.475*44/12</f>
        <v>11.926192679691416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25.941914522092851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-1.1368683772161603E-13</v>
      </c>
      <c r="BE153" s="13">
        <f>BD153*VLOOKUP('Données projet'!$B$11,Paramètres!$A$1:$I$89,3,0)*VLOOKUP('Données projet'!$B$11,Paramètres!$A$1:$I$89,5,0)</f>
        <v>-6.3550942286383367E-14</v>
      </c>
      <c r="BF153" s="13" t="e">
        <f t="shared" si="145"/>
        <v>#NUM!</v>
      </c>
      <c r="BG153" s="20" t="e">
        <f t="shared" si="115"/>
        <v>#NUM!</v>
      </c>
      <c r="BH153" s="59" t="e">
        <f t="shared" si="116"/>
        <v>#NUM!</v>
      </c>
      <c r="BI153" s="59">
        <f ca="1">AVERAGE(OFFSET($BH$3,0,0,'Données projet'!$E$11+1,1))-AVERAGE(OFFSET($H$3,0,0,'Données projet'!$E$11+1,1))</f>
        <v>278.5296012747549</v>
      </c>
      <c r="BJ153" s="59">
        <f t="shared" si="146"/>
        <v>370.55343097937077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34.537259716813651</v>
      </c>
      <c r="BQ153" s="21">
        <f>EXP(-LN(2)/25)*BQ152+(1-EXP(-LN(2)/25))/(LN(2)/25)*Calculateur!BL153*Calculateur!BN153*VLOOKUP('Données projet'!$B$11,Paramètres!$A$1:$I$89,3,0)*0.475*44/12</f>
        <v>4.1358654810728881</v>
      </c>
      <c r="BR153" s="21">
        <f>EXP(-LN(2)/2)*BR152+(1-EXP(-LN(2)/2))/(LN(2)/2)*BL153*BO153*VLOOKUP('Données projet'!$B$11,Paramètres!$A$1:$I$89,3,0)*0.475*44/12</f>
        <v>1.716364985461147E-13</v>
      </c>
      <c r="BS153" s="22">
        <f t="shared" si="117"/>
        <v>38.673125197886712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266.99999999999983</v>
      </c>
      <c r="BZ153" s="13">
        <f>BY153*VLOOKUP('Données projet'!$B$12,Paramètres!$A$1:$I$89,3,0)*VLOOKUP('Données projet'!$B$12,Paramètres!$A$1:$I$89,5,0)</f>
        <v>212.42519999999985</v>
      </c>
      <c r="CA153" s="13">
        <f t="shared" si="147"/>
        <v>52.465198231787184</v>
      </c>
      <c r="CB153" s="20">
        <f t="shared" si="118"/>
        <v>461.35077692036231</v>
      </c>
      <c r="CC153" s="59">
        <f t="shared" si="119"/>
        <v>754.68411025369562</v>
      </c>
      <c r="CD153" s="59">
        <f ca="1">AVERAGE(OFFSET($CC$3,0,0,'Données projet'!$E$12+1,1))-AVERAGE(OFFSET($H$3,0,0,'Données projet'!$E$12+1,1))</f>
        <v>225.2323446080772</v>
      </c>
      <c r="CE153" s="59">
        <f t="shared" si="148"/>
        <v>222.29030402759292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7.1978305221799124</v>
      </c>
      <c r="CL153" s="21">
        <f>EXP(-LN(2)/25)*CL152+(1-EXP(-LN(2)/25))/(LN(2)/25)*Calculateur!CG153*Calculateur!CI153*VLOOKUP('Données projet'!$B$12,Paramètres!$A$1:$I$89,3,0)*0.475*44/12</f>
        <v>1.1959271187129374</v>
      </c>
      <c r="CM153" s="21">
        <f>EXP(-LN(2)/2)*CM152+(1-EXP(-LN(2)/2))/(LN(2)/2)*CG153*CJ153*VLOOKUP('Données projet'!$B$12,Paramètres!$A$1:$I$89,3,0)*0.475*44/12</f>
        <v>0</v>
      </c>
      <c r="CN153" s="22">
        <f t="shared" si="120"/>
        <v>8.3937576408928507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5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72.631000000000071</v>
      </c>
      <c r="D154" s="11">
        <f t="shared" si="140"/>
        <v>20.325417962163076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717.558314093891</v>
      </c>
      <c r="H154" s="67">
        <f t="shared" si="110"/>
        <v>455.23242795076749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4.5474735088646412E-13</v>
      </c>
      <c r="O154" s="13">
        <f>N154*VLOOKUP('Données projet'!$B$9,Paramètres!$A$1:$I$89,3,0)*VLOOKUP('Données projet'!$B$9,Paramètres!$A$1:$I$89,5,0)</f>
        <v>2.1873347577638923E-13</v>
      </c>
      <c r="P154" s="13">
        <f t="shared" si="141"/>
        <v>2.999861355695181E-12</v>
      </c>
      <c r="Q154" s="20">
        <f t="shared" ref="Q154:Q203" si="162">(O154+P154)*0.475*44/12</f>
        <v>5.6057193314796512E-12</v>
      </c>
      <c r="R154" s="59">
        <f t="shared" si="109"/>
        <v>293.33333333333894</v>
      </c>
      <c r="S154" s="59">
        <f ca="1">AVERAGE(OFFSET($R$3,0,0,'Données projet'!$E$9+1,1))-AVERAGE(OFFSET($H$3,0,0,'Données projet'!$E$9+1,1))</f>
        <v>234.10156575337737</v>
      </c>
      <c r="T154" s="59">
        <f t="shared" si="142"/>
        <v>285.68635263076646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41.491804209653019</v>
      </c>
      <c r="AA154" s="21">
        <f>EXP(-LN(2)/25)*AA153+(1-EXP(-LN(2)/25))/(LN(2)/25)*Calculateur!V154*Calculateur!X154*VLOOKUP('Données projet'!$B$9,Paramètres!$A$1:$I$89,3,0)*0.475*44/12</f>
        <v>13.020220654977003</v>
      </c>
      <c r="AB154" s="21">
        <f>EXP(-LN(2)/2)*AB153+(1-EXP(-LN(2)/2))/(LN(2)/2)*V154*Y154*VLOOKUP('Données projet'!$B$9,Paramètres!$A$1:$I$89,3,0)*0.475*44/12</f>
        <v>2.6622273455537479E-17</v>
      </c>
      <c r="AC154" s="22">
        <f t="shared" ref="AC154:AC203" si="163">SUM(Z154:AB154)</f>
        <v>54.512024864630021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0</v>
      </c>
      <c r="AJ154" s="13">
        <f>AI154*VLOOKUP('Données projet'!$B$10,Paramètres!$A$1:$I$89,3,0)*VLOOKUP('Données projet'!$B$10,Paramètres!$A$1:$I$89,5,0)</f>
        <v>0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179.44051550872138</v>
      </c>
      <c r="AO154" s="59">
        <f t="shared" si="144"/>
        <v>272.9500808380069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13.740882085818146</v>
      </c>
      <c r="AV154" s="21">
        <f>EXP(-LN(2)/25)*AV153+(1-EXP(-LN(2)/25))/(LN(2)/25)*Calculateur!AQ154*Calculateur!AS154*VLOOKUP('Données projet'!$B$10,Paramètres!$A$1:$I$89,3,0)*0.475*44/12</f>
        <v>11.600070313694038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25.340952399512183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-1.1368683772161603E-13</v>
      </c>
      <c r="BE154" s="13">
        <f>BD154*VLOOKUP('Données projet'!$B$11,Paramètres!$A$1:$I$89,3,0)*VLOOKUP('Données projet'!$B$11,Paramètres!$A$1:$I$89,5,0)</f>
        <v>-6.3550942286383367E-14</v>
      </c>
      <c r="BF154" s="13" t="e">
        <f t="shared" ref="BF154:BF203" si="167">EXP(-1.0587+0.8836*LN(BE154)+0.284)</f>
        <v>#NUM!</v>
      </c>
      <c r="BG154" s="20" t="e">
        <f t="shared" ref="BG154:BG203" si="168">(BE154+BF154)*0.475*44/12</f>
        <v>#NUM!</v>
      </c>
      <c r="BH154" s="59" t="e">
        <f t="shared" si="116"/>
        <v>#NUM!</v>
      </c>
      <c r="BI154" s="59">
        <f ca="1">AVERAGE(OFFSET($BH$3,0,0,'Données projet'!$E$11+1,1))-AVERAGE(OFFSET($H$3,0,0,'Données projet'!$E$11+1,1))</f>
        <v>278.5296012747549</v>
      </c>
      <c r="BJ154" s="59">
        <f t="shared" si="146"/>
        <v>370.55343097937077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33.860005119415305</v>
      </c>
      <c r="BQ154" s="21">
        <f>EXP(-LN(2)/25)*BQ153+(1-EXP(-LN(2)/25))/(LN(2)/25)*Calculateur!BL154*Calculateur!BN154*VLOOKUP('Données projet'!$B$11,Paramètres!$A$1:$I$89,3,0)*0.475*44/12</f>
        <v>4.0227700219972373</v>
      </c>
      <c r="BR154" s="21">
        <f>EXP(-LN(2)/2)*BR153+(1-EXP(-LN(2)/2))/(LN(2)/2)*BL154*BO154*VLOOKUP('Données projet'!$B$11,Paramètres!$A$1:$I$89,3,0)*0.475*44/12</f>
        <v>1.2136533202107271E-13</v>
      </c>
      <c r="BS154" s="22">
        <f t="shared" ref="BS154:BS203" si="169">SUM(BP154:BR154)</f>
        <v>37.882775141412665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266.99999999999983</v>
      </c>
      <c r="BZ154" s="13">
        <f>BY154*VLOOKUP('Données projet'!$B$12,Paramètres!$A$1:$I$89,3,0)*VLOOKUP('Données projet'!$B$12,Paramètres!$A$1:$I$89,5,0)</f>
        <v>212.42519999999985</v>
      </c>
      <c r="CA154" s="13">
        <f t="shared" ref="CA154:CA203" si="170">EXP(-1.0587+0.8836*LN(BZ154)+0.284)</f>
        <v>52.465198231787184</v>
      </c>
      <c r="CB154" s="20">
        <f t="shared" ref="CB154:CB203" si="171">(BZ154+CA154)*0.475*44/12</f>
        <v>461.35077692036231</v>
      </c>
      <c r="CC154" s="59">
        <f t="shared" si="119"/>
        <v>754.68411025369562</v>
      </c>
      <c r="CD154" s="59">
        <f ca="1">AVERAGE(OFFSET($CC$3,0,0,'Données projet'!$E$12+1,1))-AVERAGE(OFFSET($H$3,0,0,'Données projet'!$E$12+1,1))</f>
        <v>225.2323446080772</v>
      </c>
      <c r="CE154" s="59">
        <f t="shared" si="148"/>
        <v>222.29030402759292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7.0566854558830823</v>
      </c>
      <c r="CL154" s="21">
        <f>EXP(-LN(2)/25)*CL153+(1-EXP(-LN(2)/25))/(LN(2)/25)*Calculateur!CG154*Calculateur!CI154*VLOOKUP('Données projet'!$B$12,Paramètres!$A$1:$I$89,3,0)*0.475*44/12</f>
        <v>1.1632244287606583</v>
      </c>
      <c r="CM154" s="21">
        <f>EXP(-LN(2)/2)*CM153+(1-EXP(-LN(2)/2))/(LN(2)/2)*CG154*CJ154*VLOOKUP('Données projet'!$B$12,Paramètres!$A$1:$I$89,3,0)*0.475*44/12</f>
        <v>0</v>
      </c>
      <c r="CN154" s="22">
        <f t="shared" ref="CN154:CN203" si="172">SUM(CK154:CM154)</f>
        <v>8.2199098846437408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5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73.112000000000066</v>
      </c>
      <c r="D155" s="11">
        <f t="shared" si="140"/>
        <v>20.444309579101091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722.18905640007915</v>
      </c>
      <c r="H155" s="67">
        <f t="shared" si="110"/>
        <v>456.27723918360118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4.5474735088646412E-13</v>
      </c>
      <c r="O155" s="13">
        <f>N155*VLOOKUP('Données projet'!$B$9,Paramètres!$A$1:$I$89,3,0)*VLOOKUP('Données projet'!$B$9,Paramètres!$A$1:$I$89,5,0)</f>
        <v>2.1873347577638923E-13</v>
      </c>
      <c r="P155" s="13">
        <f t="shared" si="141"/>
        <v>2.999861355695181E-12</v>
      </c>
      <c r="Q155" s="20">
        <f t="shared" si="162"/>
        <v>5.6057193314796512E-12</v>
      </c>
      <c r="R155" s="59">
        <f t="shared" si="109"/>
        <v>293.33333333333894</v>
      </c>
      <c r="S155" s="59">
        <f ca="1">AVERAGE(OFFSET($R$3,0,0,'Données projet'!$E$9+1,1))-AVERAGE(OFFSET($H$3,0,0,'Données projet'!$E$9+1,1))</f>
        <v>234.10156575337737</v>
      </c>
      <c r="T155" s="59">
        <f t="shared" si="142"/>
        <v>285.68635263076646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40.67817523660338</v>
      </c>
      <c r="AA155" s="21">
        <f>EXP(-LN(2)/25)*AA154+(1-EXP(-LN(2)/25))/(LN(2)/25)*Calculateur!V155*Calculateur!X155*VLOOKUP('Données projet'!$B$9,Paramètres!$A$1:$I$89,3,0)*0.475*44/12</f>
        <v>12.664182036463011</v>
      </c>
      <c r="AB155" s="21">
        <f>EXP(-LN(2)/2)*AB154+(1-EXP(-LN(2)/2))/(LN(2)/2)*V155*Y155*VLOOKUP('Données projet'!$B$9,Paramètres!$A$1:$I$89,3,0)*0.475*44/12</f>
        <v>1.8824790091013173E-17</v>
      </c>
      <c r="AC155" s="22">
        <f t="shared" si="163"/>
        <v>53.342357273066391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0</v>
      </c>
      <c r="AJ155" s="13">
        <f>AI155*VLOOKUP('Données projet'!$B$10,Paramètres!$A$1:$I$89,3,0)*VLOOKUP('Données projet'!$B$10,Paramètres!$A$1:$I$89,5,0)</f>
        <v>0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179.44051550872138</v>
      </c>
      <c r="AO155" s="59">
        <f t="shared" si="144"/>
        <v>272.9500808380069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13.471431769225759</v>
      </c>
      <c r="AV155" s="21">
        <f>EXP(-LN(2)/25)*AV154+(1-EXP(-LN(2)/25))/(LN(2)/25)*Calculateur!AQ155*Calculateur!AS155*VLOOKUP('Données projet'!$B$10,Paramètres!$A$1:$I$89,3,0)*0.475*44/12</f>
        <v>11.28286578094489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24.754297550170648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-1.1368683772161603E-13</v>
      </c>
      <c r="BE155" s="13">
        <f>BD155*VLOOKUP('Données projet'!$B$11,Paramètres!$A$1:$I$89,3,0)*VLOOKUP('Données projet'!$B$11,Paramètres!$A$1:$I$89,5,0)</f>
        <v>-6.3550942286383367E-14</v>
      </c>
      <c r="BF155" s="13" t="e">
        <f t="shared" si="167"/>
        <v>#NUM!</v>
      </c>
      <c r="BG155" s="20" t="e">
        <f t="shared" si="168"/>
        <v>#NUM!</v>
      </c>
      <c r="BH155" s="59" t="e">
        <f t="shared" si="116"/>
        <v>#NUM!</v>
      </c>
      <c r="BI155" s="59">
        <f ca="1">AVERAGE(OFFSET($BH$3,0,0,'Données projet'!$E$11+1,1))-AVERAGE(OFFSET($H$3,0,0,'Données projet'!$E$11+1,1))</f>
        <v>278.5296012747549</v>
      </c>
      <c r="BJ155" s="59">
        <f t="shared" si="146"/>
        <v>370.55343097937077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33.19603107158742</v>
      </c>
      <c r="BQ155" s="21">
        <f>EXP(-LN(2)/25)*BQ154+(1-EXP(-LN(2)/25))/(LN(2)/25)*Calculateur!BL155*Calculateur!BN155*VLOOKUP('Données projet'!$B$11,Paramètres!$A$1:$I$89,3,0)*0.475*44/12</f>
        <v>3.9127671641974415</v>
      </c>
      <c r="BR155" s="21">
        <f>EXP(-LN(2)/2)*BR154+(1-EXP(-LN(2)/2))/(LN(2)/2)*BL155*BO155*VLOOKUP('Données projet'!$B$11,Paramètres!$A$1:$I$89,3,0)*0.475*44/12</f>
        <v>8.5818249273057349E-14</v>
      </c>
      <c r="BS155" s="22">
        <f t="shared" si="169"/>
        <v>37.108798235784946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266.99999999999983</v>
      </c>
      <c r="BZ155" s="13">
        <f>BY155*VLOOKUP('Données projet'!$B$12,Paramètres!$A$1:$I$89,3,0)*VLOOKUP('Données projet'!$B$12,Paramètres!$A$1:$I$89,5,0)</f>
        <v>212.42519999999985</v>
      </c>
      <c r="CA155" s="13">
        <f t="shared" si="170"/>
        <v>52.465198231787184</v>
      </c>
      <c r="CB155" s="20">
        <f t="shared" si="171"/>
        <v>461.35077692036231</v>
      </c>
      <c r="CC155" s="59">
        <f t="shared" si="119"/>
        <v>754.68411025369562</v>
      </c>
      <c r="CD155" s="59">
        <f ca="1">AVERAGE(OFFSET($CC$3,0,0,'Données projet'!$E$12+1,1))-AVERAGE(OFFSET($H$3,0,0,'Données projet'!$E$12+1,1))</f>
        <v>225.2323446080772</v>
      </c>
      <c r="CE155" s="59">
        <f t="shared" si="148"/>
        <v>222.29030402759292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6.9183081582463437</v>
      </c>
      <c r="CL155" s="21">
        <f>EXP(-LN(2)/25)*CL154+(1-EXP(-LN(2)/25))/(LN(2)/25)*Calculateur!CG155*Calculateur!CI155*VLOOKUP('Données projet'!$B$12,Paramètres!$A$1:$I$89,3,0)*0.475*44/12</f>
        <v>1.1314159955848839</v>
      </c>
      <c r="CM155" s="21">
        <f>EXP(-LN(2)/2)*CM154+(1-EXP(-LN(2)/2))/(LN(2)/2)*CG155*CJ155*VLOOKUP('Données projet'!$B$12,Paramètres!$A$1:$I$89,3,0)*0.475*44/12</f>
        <v>0</v>
      </c>
      <c r="CN155" s="22">
        <f t="shared" si="172"/>
        <v>8.0497241538312281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5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73.59300000000006</v>
      </c>
      <c r="D156" s="11">
        <f t="shared" si="140"/>
        <v>20.563110184247964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726.81909615910752</v>
      </c>
      <c r="H156" s="67">
        <f t="shared" si="110"/>
        <v>457.32189190423196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4.5474735088646412E-13</v>
      </c>
      <c r="O156" s="13">
        <f>N156*VLOOKUP('Données projet'!$B$9,Paramètres!$A$1:$I$89,3,0)*VLOOKUP('Données projet'!$B$9,Paramètres!$A$1:$I$89,5,0)</f>
        <v>2.1873347577638923E-13</v>
      </c>
      <c r="P156" s="13">
        <f t="shared" si="141"/>
        <v>2.999861355695181E-12</v>
      </c>
      <c r="Q156" s="20">
        <f t="shared" si="162"/>
        <v>5.6057193314796512E-12</v>
      </c>
      <c r="R156" s="59">
        <f t="shared" si="109"/>
        <v>293.33333333333894</v>
      </c>
      <c r="S156" s="59">
        <f ca="1">AVERAGE(OFFSET($R$3,0,0,'Données projet'!$E$9+1,1))-AVERAGE(OFFSET($H$3,0,0,'Données projet'!$E$9+1,1))</f>
        <v>234.10156575337737</v>
      </c>
      <c r="T156" s="59">
        <f t="shared" si="142"/>
        <v>285.68635263076646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39.880501031450578</v>
      </c>
      <c r="AA156" s="21">
        <f>EXP(-LN(2)/25)*AA155+(1-EXP(-LN(2)/25))/(LN(2)/25)*Calculateur!V156*Calculateur!X156*VLOOKUP('Données projet'!$B$9,Paramètres!$A$1:$I$89,3,0)*0.475*44/12</f>
        <v>12.31787931269554</v>
      </c>
      <c r="AB156" s="21">
        <f>EXP(-LN(2)/2)*AB155+(1-EXP(-LN(2)/2))/(LN(2)/2)*V156*Y156*VLOOKUP('Données projet'!$B$9,Paramètres!$A$1:$I$89,3,0)*0.475*44/12</f>
        <v>1.331113672776874E-17</v>
      </c>
      <c r="AC156" s="22">
        <f t="shared" si="163"/>
        <v>52.198380344146116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0</v>
      </c>
      <c r="AJ156" s="13">
        <f>AI156*VLOOKUP('Données projet'!$B$10,Paramètres!$A$1:$I$89,3,0)*VLOOKUP('Données projet'!$B$10,Paramètres!$A$1:$I$89,5,0)</f>
        <v>0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179.44051550872138</v>
      </c>
      <c r="AO156" s="59">
        <f t="shared" si="144"/>
        <v>272.9500808380069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13.207265208993284</v>
      </c>
      <c r="AV156" s="21">
        <f>EXP(-LN(2)/25)*AV155+(1-EXP(-LN(2)/25))/(LN(2)/25)*Calculateur!AQ156*Calculateur!AS156*VLOOKUP('Données projet'!$B$10,Paramètres!$A$1:$I$89,3,0)*0.475*44/12</f>
        <v>10.974335222824829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24.181600431818111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-1.1368683772161603E-13</v>
      </c>
      <c r="BE156" s="13">
        <f>BD156*VLOOKUP('Données projet'!$B$11,Paramètres!$A$1:$I$89,3,0)*VLOOKUP('Données projet'!$B$11,Paramètres!$A$1:$I$89,5,0)</f>
        <v>-6.3550942286383367E-14</v>
      </c>
      <c r="BF156" s="13" t="e">
        <f t="shared" si="167"/>
        <v>#NUM!</v>
      </c>
      <c r="BG156" s="20" t="e">
        <f t="shared" si="168"/>
        <v>#NUM!</v>
      </c>
      <c r="BH156" s="59" t="e">
        <f t="shared" si="116"/>
        <v>#NUM!</v>
      </c>
      <c r="BI156" s="59">
        <f ca="1">AVERAGE(OFFSET($BH$3,0,0,'Données projet'!$E$11+1,1))-AVERAGE(OFFSET($H$3,0,0,'Données projet'!$E$11+1,1))</f>
        <v>278.5296012747549</v>
      </c>
      <c r="BJ156" s="59">
        <f t="shared" si="146"/>
        <v>370.55343097937077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32.545077149853263</v>
      </c>
      <c r="BQ156" s="21">
        <f>EXP(-LN(2)/25)*BQ155+(1-EXP(-LN(2)/25))/(LN(2)/25)*Calculateur!BL156*Calculateur!BN156*VLOOKUP('Données projet'!$B$11,Paramètres!$A$1:$I$89,3,0)*0.475*44/12</f>
        <v>3.8057723403289803</v>
      </c>
      <c r="BR156" s="21">
        <f>EXP(-LN(2)/2)*BR155+(1-EXP(-LN(2)/2))/(LN(2)/2)*BL156*BO156*VLOOKUP('Données projet'!$B$11,Paramètres!$A$1:$I$89,3,0)*0.475*44/12</f>
        <v>6.0682666010536354E-14</v>
      </c>
      <c r="BS156" s="22">
        <f t="shared" si="169"/>
        <v>36.350849490182306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266.99999999999983</v>
      </c>
      <c r="BZ156" s="13">
        <f>BY156*VLOOKUP('Données projet'!$B$12,Paramètres!$A$1:$I$89,3,0)*VLOOKUP('Données projet'!$B$12,Paramètres!$A$1:$I$89,5,0)</f>
        <v>212.42519999999985</v>
      </c>
      <c r="CA156" s="13">
        <f t="shared" si="170"/>
        <v>52.465198231787184</v>
      </c>
      <c r="CB156" s="20">
        <f t="shared" si="171"/>
        <v>461.35077692036231</v>
      </c>
      <c r="CC156" s="59">
        <f t="shared" si="119"/>
        <v>754.68411025369562</v>
      </c>
      <c r="CD156" s="59">
        <f ca="1">AVERAGE(OFFSET($CC$3,0,0,'Données projet'!$E$12+1,1))-AVERAGE(OFFSET($H$3,0,0,'Données projet'!$E$12+1,1))</f>
        <v>225.2323446080772</v>
      </c>
      <c r="CE156" s="59">
        <f t="shared" si="148"/>
        <v>222.29030402759292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6.782644355014444</v>
      </c>
      <c r="CL156" s="21">
        <f>EXP(-LN(2)/25)*CL155+(1-EXP(-LN(2)/25))/(LN(2)/25)*Calculateur!CG156*Calculateur!CI156*VLOOKUP('Données projet'!$B$12,Paramètres!$A$1:$I$89,3,0)*0.475*44/12</f>
        <v>1.1004773656870339</v>
      </c>
      <c r="CM156" s="21">
        <f>EXP(-LN(2)/2)*CM155+(1-EXP(-LN(2)/2))/(LN(2)/2)*CG156*CJ156*VLOOKUP('Données projet'!$B$12,Paramètres!$A$1:$I$89,3,0)*0.475*44/12</f>
        <v>0</v>
      </c>
      <c r="CN156" s="22">
        <f t="shared" si="172"/>
        <v>7.8831217207014781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5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74.074000000000055</v>
      </c>
      <c r="D157" s="11">
        <f t="shared" si="140"/>
        <v>20.681820441449297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731.44843849539848</v>
      </c>
      <c r="H157" s="67">
        <f t="shared" si="110"/>
        <v>458.36638726885758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4.5474735088646412E-13</v>
      </c>
      <c r="O157" s="13">
        <f>N157*VLOOKUP('Données projet'!$B$9,Paramètres!$A$1:$I$89,3,0)*VLOOKUP('Données projet'!$B$9,Paramètres!$A$1:$I$89,5,0)</f>
        <v>2.1873347577638923E-13</v>
      </c>
      <c r="P157" s="13">
        <f t="shared" si="141"/>
        <v>2.999861355695181E-12</v>
      </c>
      <c r="Q157" s="20">
        <f t="shared" si="162"/>
        <v>5.6057193314796512E-12</v>
      </c>
      <c r="R157" s="59">
        <f t="shared" si="109"/>
        <v>293.33333333333894</v>
      </c>
      <c r="S157" s="59">
        <f ca="1">AVERAGE(OFFSET($R$3,0,0,'Données projet'!$E$9+1,1))-AVERAGE(OFFSET($H$3,0,0,'Données projet'!$E$9+1,1))</f>
        <v>234.10156575337737</v>
      </c>
      <c r="T157" s="59">
        <f t="shared" si="142"/>
        <v>285.68635263076646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39.0984687309276</v>
      </c>
      <c r="AA157" s="21">
        <f>EXP(-LN(2)/25)*AA156+(1-EXP(-LN(2)/25))/(LN(2)/25)*Calculateur!V157*Calculateur!X157*VLOOKUP('Données projet'!$B$9,Paramètres!$A$1:$I$89,3,0)*0.475*44/12</f>
        <v>11.981046255120761</v>
      </c>
      <c r="AB157" s="21">
        <f>EXP(-LN(2)/2)*AB156+(1-EXP(-LN(2)/2))/(LN(2)/2)*V157*Y157*VLOOKUP('Données projet'!$B$9,Paramètres!$A$1:$I$89,3,0)*0.475*44/12</f>
        <v>9.4123950455065863E-18</v>
      </c>
      <c r="AC157" s="22">
        <f t="shared" si="163"/>
        <v>51.079514986048359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0</v>
      </c>
      <c r="AJ157" s="13">
        <f>AI157*VLOOKUP('Données projet'!$B$10,Paramètres!$A$1:$I$89,3,0)*VLOOKUP('Données projet'!$B$10,Paramètres!$A$1:$I$89,5,0)</f>
        <v>0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179.44051550872138</v>
      </c>
      <c r="AO157" s="59">
        <f t="shared" si="144"/>
        <v>272.9500808380069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12.948278793881276</v>
      </c>
      <c r="AV157" s="21">
        <f>EXP(-LN(2)/25)*AV156+(1-EXP(-LN(2)/25))/(LN(2)/25)*Calculateur!AQ157*Calculateur!AS157*VLOOKUP('Données projet'!$B$10,Paramètres!$A$1:$I$89,3,0)*0.475*44/12</f>
        <v>10.674241449041476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23.622520242922754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-1.1368683772161603E-13</v>
      </c>
      <c r="BE157" s="13">
        <f>BD157*VLOOKUP('Données projet'!$B$11,Paramètres!$A$1:$I$89,3,0)*VLOOKUP('Données projet'!$B$11,Paramètres!$A$1:$I$89,5,0)</f>
        <v>-6.3550942286383367E-14</v>
      </c>
      <c r="BF157" s="13" t="e">
        <f t="shared" si="167"/>
        <v>#NUM!</v>
      </c>
      <c r="BG157" s="20" t="e">
        <f t="shared" si="168"/>
        <v>#NUM!</v>
      </c>
      <c r="BH157" s="59" t="e">
        <f t="shared" si="116"/>
        <v>#NUM!</v>
      </c>
      <c r="BI157" s="59">
        <f ca="1">AVERAGE(OFFSET($BH$3,0,0,'Données projet'!$E$11+1,1))-AVERAGE(OFFSET($H$3,0,0,'Données projet'!$E$11+1,1))</f>
        <v>278.5296012747549</v>
      </c>
      <c r="BJ157" s="59">
        <f t="shared" si="146"/>
        <v>370.55343097937077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31.906888037481625</v>
      </c>
      <c r="BQ157" s="21">
        <f>EXP(-LN(2)/25)*BQ156+(1-EXP(-LN(2)/25))/(LN(2)/25)*Calculateur!BL157*Calculateur!BN157*VLOOKUP('Données projet'!$B$11,Paramètres!$A$1:$I$89,3,0)*0.475*44/12</f>
        <v>3.7017032955458151</v>
      </c>
      <c r="BR157" s="21">
        <f>EXP(-LN(2)/2)*BR156+(1-EXP(-LN(2)/2))/(LN(2)/2)*BL157*BO157*VLOOKUP('Données projet'!$B$11,Paramètres!$A$1:$I$89,3,0)*0.475*44/12</f>
        <v>4.2909124636528675E-14</v>
      </c>
      <c r="BS157" s="22">
        <f t="shared" si="169"/>
        <v>35.608591333027483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266.99999999999983</v>
      </c>
      <c r="BZ157" s="13">
        <f>BY157*VLOOKUP('Données projet'!$B$12,Paramètres!$A$1:$I$89,3,0)*VLOOKUP('Données projet'!$B$12,Paramètres!$A$1:$I$89,5,0)</f>
        <v>212.42519999999985</v>
      </c>
      <c r="CA157" s="13">
        <f t="shared" si="170"/>
        <v>52.465198231787184</v>
      </c>
      <c r="CB157" s="20">
        <f t="shared" si="171"/>
        <v>461.35077692036231</v>
      </c>
      <c r="CC157" s="59">
        <f t="shared" si="119"/>
        <v>754.68411025369562</v>
      </c>
      <c r="CD157" s="59">
        <f ca="1">AVERAGE(OFFSET($CC$3,0,0,'Données projet'!$E$12+1,1))-AVERAGE(OFFSET($H$3,0,0,'Données projet'!$E$12+1,1))</f>
        <v>225.2323446080772</v>
      </c>
      <c r="CE157" s="59">
        <f t="shared" si="148"/>
        <v>222.29030402759292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6.6496408362171717</v>
      </c>
      <c r="CL157" s="21">
        <f>EXP(-LN(2)/25)*CL156+(1-EXP(-LN(2)/25))/(LN(2)/25)*Calculateur!CG157*Calculateur!CI157*VLOOKUP('Données projet'!$B$12,Paramètres!$A$1:$I$89,3,0)*0.475*44/12</f>
        <v>1.0703847542507325</v>
      </c>
      <c r="CM157" s="21">
        <f>EXP(-LN(2)/2)*CM156+(1-EXP(-LN(2)/2))/(LN(2)/2)*CG157*CJ157*VLOOKUP('Données projet'!$B$12,Paramètres!$A$1:$I$89,3,0)*0.475*44/12</f>
        <v>0</v>
      </c>
      <c r="CN157" s="22">
        <f t="shared" si="172"/>
        <v>7.7200255904679045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5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74.555000000000049</v>
      </c>
      <c r="D158" s="11">
        <f t="shared" si="140"/>
        <v>20.800441005430773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736.07708846297476</v>
      </c>
      <c r="H158" s="67">
        <f t="shared" si="110"/>
        <v>459.41072641779198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4.5474735088646412E-13</v>
      </c>
      <c r="O158" s="13">
        <f>N158*VLOOKUP('Données projet'!$B$9,Paramètres!$A$1:$I$89,3,0)*VLOOKUP('Données projet'!$B$9,Paramètres!$A$1:$I$89,5,0)</f>
        <v>2.1873347577638923E-13</v>
      </c>
      <c r="P158" s="13">
        <f t="shared" si="141"/>
        <v>2.999861355695181E-12</v>
      </c>
      <c r="Q158" s="20">
        <f t="shared" si="162"/>
        <v>5.6057193314796512E-12</v>
      </c>
      <c r="R158" s="59">
        <f t="shared" si="109"/>
        <v>293.33333333333894</v>
      </c>
      <c r="S158" s="59">
        <f ca="1">AVERAGE(OFFSET($R$3,0,0,'Données projet'!$E$9+1,1))-AVERAGE(OFFSET($H$3,0,0,'Données projet'!$E$9+1,1))</f>
        <v>234.10156575337737</v>
      </c>
      <c r="T158" s="59">
        <f t="shared" si="142"/>
        <v>285.68635263076646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38.331771606825271</v>
      </c>
      <c r="AA158" s="21">
        <f>EXP(-LN(2)/25)*AA157+(1-EXP(-LN(2)/25))/(LN(2)/25)*Calculateur!V158*Calculateur!X158*VLOOKUP('Données projet'!$B$9,Paramètres!$A$1:$I$89,3,0)*0.475*44/12</f>
        <v>11.653423915218644</v>
      </c>
      <c r="AB158" s="21">
        <f>EXP(-LN(2)/2)*AB157+(1-EXP(-LN(2)/2))/(LN(2)/2)*V158*Y158*VLOOKUP('Données projet'!$B$9,Paramètres!$A$1:$I$89,3,0)*0.475*44/12</f>
        <v>6.6555683638843698E-18</v>
      </c>
      <c r="AC158" s="22">
        <f t="shared" si="163"/>
        <v>49.985195522043917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0</v>
      </c>
      <c r="AJ158" s="13">
        <f>AI158*VLOOKUP('Données projet'!$B$10,Paramètres!$A$1:$I$89,3,0)*VLOOKUP('Données projet'!$B$10,Paramètres!$A$1:$I$89,5,0)</f>
        <v>0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179.44051550872138</v>
      </c>
      <c r="AO158" s="59">
        <f t="shared" si="144"/>
        <v>272.9500808380069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12.694370944403499</v>
      </c>
      <c r="AV158" s="21">
        <f>EXP(-LN(2)/25)*AV157+(1-EXP(-LN(2)/25))/(LN(2)/25)*Calculateur!AQ158*Calculateur!AS158*VLOOKUP('Données projet'!$B$10,Paramètres!$A$1:$I$89,3,0)*0.475*44/12</f>
        <v>10.382353755283475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23.076724699686974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-1.1368683772161603E-13</v>
      </c>
      <c r="BE158" s="13">
        <f>BD158*VLOOKUP('Données projet'!$B$11,Paramètres!$A$1:$I$89,3,0)*VLOOKUP('Données projet'!$B$11,Paramètres!$A$1:$I$89,5,0)</f>
        <v>-6.3550942286383367E-14</v>
      </c>
      <c r="BF158" s="13" t="e">
        <f t="shared" si="167"/>
        <v>#NUM!</v>
      </c>
      <c r="BG158" s="20" t="e">
        <f t="shared" si="168"/>
        <v>#NUM!</v>
      </c>
      <c r="BH158" s="59" t="e">
        <f t="shared" si="116"/>
        <v>#NUM!</v>
      </c>
      <c r="BI158" s="59">
        <f ca="1">AVERAGE(OFFSET($BH$3,0,0,'Données projet'!$E$11+1,1))-AVERAGE(OFFSET($H$3,0,0,'Données projet'!$E$11+1,1))</f>
        <v>278.5296012747549</v>
      </c>
      <c r="BJ158" s="59">
        <f t="shared" si="146"/>
        <v>370.55343097937077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31.281213424346671</v>
      </c>
      <c r="BQ158" s="21">
        <f>EXP(-LN(2)/25)*BQ157+(1-EXP(-LN(2)/25))/(LN(2)/25)*Calculateur!BL158*Calculateur!BN158*VLOOKUP('Données projet'!$B$11,Paramètres!$A$1:$I$89,3,0)*0.475*44/12</f>
        <v>3.600480024264999</v>
      </c>
      <c r="BR158" s="21">
        <f>EXP(-LN(2)/2)*BR157+(1-EXP(-LN(2)/2))/(LN(2)/2)*BL158*BO158*VLOOKUP('Données projet'!$B$11,Paramètres!$A$1:$I$89,3,0)*0.475*44/12</f>
        <v>3.0341333005268177E-14</v>
      </c>
      <c r="BS158" s="22">
        <f t="shared" si="169"/>
        <v>34.881693448611699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266.99999999999983</v>
      </c>
      <c r="BZ158" s="13">
        <f>BY158*VLOOKUP('Données projet'!$B$12,Paramètres!$A$1:$I$89,3,0)*VLOOKUP('Données projet'!$B$12,Paramètres!$A$1:$I$89,5,0)</f>
        <v>212.42519999999985</v>
      </c>
      <c r="CA158" s="13">
        <f t="shared" si="170"/>
        <v>52.465198231787184</v>
      </c>
      <c r="CB158" s="20">
        <f t="shared" si="171"/>
        <v>461.35077692036231</v>
      </c>
      <c r="CC158" s="59">
        <f t="shared" si="119"/>
        <v>754.68411025369562</v>
      </c>
      <c r="CD158" s="59">
        <f ca="1">AVERAGE(OFFSET($CC$3,0,0,'Données projet'!$E$12+1,1))-AVERAGE(OFFSET($H$3,0,0,'Données projet'!$E$12+1,1))</f>
        <v>225.2323446080772</v>
      </c>
      <c r="CE158" s="59">
        <f t="shared" si="148"/>
        <v>222.29030402759292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6.5192454352993785</v>
      </c>
      <c r="CL158" s="21">
        <f>EXP(-LN(2)/25)*CL157+(1-EXP(-LN(2)/25))/(LN(2)/25)*Calculateur!CG158*Calculateur!CI158*VLOOKUP('Données projet'!$B$12,Paramètres!$A$1:$I$89,3,0)*0.475*44/12</f>
        <v>1.0411150268566585</v>
      </c>
      <c r="CM158" s="21">
        <f>EXP(-LN(2)/2)*CM157+(1-EXP(-LN(2)/2))/(LN(2)/2)*CG158*CJ158*VLOOKUP('Données projet'!$B$12,Paramètres!$A$1:$I$89,3,0)*0.475*44/12</f>
        <v>0</v>
      </c>
      <c r="CN158" s="22">
        <f t="shared" si="172"/>
        <v>7.5603604621560372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5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75.036000000000044</v>
      </c>
      <c r="D159" s="11">
        <f t="shared" si="140"/>
        <v>20.918972521981534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740.70505104687538</v>
      </c>
      <c r="H159" s="67">
        <f t="shared" si="110"/>
        <v>460.45491047578457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4.5474735088646412E-13</v>
      </c>
      <c r="O159" s="13">
        <f>N159*VLOOKUP('Données projet'!$B$9,Paramètres!$A$1:$I$89,3,0)*VLOOKUP('Données projet'!$B$9,Paramètres!$A$1:$I$89,5,0)</f>
        <v>2.1873347577638923E-13</v>
      </c>
      <c r="P159" s="13">
        <f t="shared" si="141"/>
        <v>2.999861355695181E-12</v>
      </c>
      <c r="Q159" s="20">
        <f t="shared" si="162"/>
        <v>5.6057193314796512E-12</v>
      </c>
      <c r="R159" s="59">
        <f t="shared" si="109"/>
        <v>293.33333333333894</v>
      </c>
      <c r="S159" s="59">
        <f ca="1">AVERAGE(OFFSET($R$3,0,0,'Données projet'!$E$9+1,1))-AVERAGE(OFFSET($H$3,0,0,'Données projet'!$E$9+1,1))</f>
        <v>234.10156575337737</v>
      </c>
      <c r="T159" s="59">
        <f t="shared" si="142"/>
        <v>285.68635263076646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37.58010894568752</v>
      </c>
      <c r="AA159" s="21">
        <f>EXP(-LN(2)/25)*AA158+(1-EXP(-LN(2)/25))/(LN(2)/25)*Calculateur!V159*Calculateur!X159*VLOOKUP('Données projet'!$B$9,Paramètres!$A$1:$I$89,3,0)*0.475*44/12</f>
        <v>11.33476042543006</v>
      </c>
      <c r="AB159" s="21">
        <f>EXP(-LN(2)/2)*AB158+(1-EXP(-LN(2)/2))/(LN(2)/2)*V159*Y159*VLOOKUP('Données projet'!$B$9,Paramètres!$A$1:$I$89,3,0)*0.475*44/12</f>
        <v>4.7061975227532932E-18</v>
      </c>
      <c r="AC159" s="22">
        <f t="shared" si="163"/>
        <v>48.914869371117582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0</v>
      </c>
      <c r="AJ159" s="13">
        <f>AI159*VLOOKUP('Données projet'!$B$10,Paramètres!$A$1:$I$89,3,0)*VLOOKUP('Données projet'!$B$10,Paramètres!$A$1:$I$89,5,0)</f>
        <v>0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179.44051550872138</v>
      </c>
      <c r="AO159" s="59">
        <f t="shared" si="144"/>
        <v>272.9500808380069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12.445442072985484</v>
      </c>
      <c r="AV159" s="21">
        <f>EXP(-LN(2)/25)*AV158+(1-EXP(-LN(2)/25))/(LN(2)/25)*Calculateur!AQ159*Calculateur!AS159*VLOOKUP('Données projet'!$B$10,Paramètres!$A$1:$I$89,3,0)*0.475*44/12</f>
        <v>10.098447745860994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22.54388981884648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-1.1368683772161603E-13</v>
      </c>
      <c r="BE159" s="13">
        <f>BD159*VLOOKUP('Données projet'!$B$11,Paramètres!$A$1:$I$89,3,0)*VLOOKUP('Données projet'!$B$11,Paramètres!$A$1:$I$89,5,0)</f>
        <v>-6.3550942286383367E-14</v>
      </c>
      <c r="BF159" s="13" t="e">
        <f t="shared" si="167"/>
        <v>#NUM!</v>
      </c>
      <c r="BG159" s="20" t="e">
        <f t="shared" si="168"/>
        <v>#NUM!</v>
      </c>
      <c r="BH159" s="59" t="e">
        <f t="shared" si="116"/>
        <v>#NUM!</v>
      </c>
      <c r="BI159" s="59">
        <f ca="1">AVERAGE(OFFSET($BH$3,0,0,'Données projet'!$E$11+1,1))-AVERAGE(OFFSET($H$3,0,0,'Données projet'!$E$11+1,1))</f>
        <v>278.5296012747549</v>
      </c>
      <c r="BJ159" s="59">
        <f t="shared" si="146"/>
        <v>370.55343097937077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30.667807908751463</v>
      </c>
      <c r="BQ159" s="21">
        <f>EXP(-LN(2)/25)*BQ158+(1-EXP(-LN(2)/25))/(LN(2)/25)*Calculateur!BL159*Calculateur!BN159*VLOOKUP('Données projet'!$B$11,Paramètres!$A$1:$I$89,3,0)*0.475*44/12</f>
        <v>3.502024708660457</v>
      </c>
      <c r="BR159" s="21">
        <f>EXP(-LN(2)/2)*BR158+(1-EXP(-LN(2)/2))/(LN(2)/2)*BL159*BO159*VLOOKUP('Données projet'!$B$11,Paramètres!$A$1:$I$89,3,0)*0.475*44/12</f>
        <v>2.1454562318264337E-14</v>
      </c>
      <c r="BS159" s="22">
        <f t="shared" si="169"/>
        <v>34.169832617411942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266.99999999999983</v>
      </c>
      <c r="BZ159" s="13">
        <f>BY159*VLOOKUP('Données projet'!$B$12,Paramètres!$A$1:$I$89,3,0)*VLOOKUP('Données projet'!$B$12,Paramètres!$A$1:$I$89,5,0)</f>
        <v>212.42519999999985</v>
      </c>
      <c r="CA159" s="13">
        <f t="shared" si="170"/>
        <v>52.465198231787184</v>
      </c>
      <c r="CB159" s="20">
        <f t="shared" si="171"/>
        <v>461.35077692036231</v>
      </c>
      <c r="CC159" s="59">
        <f t="shared" si="119"/>
        <v>754.68411025369562</v>
      </c>
      <c r="CD159" s="59">
        <f ca="1">AVERAGE(OFFSET($CC$3,0,0,'Données projet'!$E$12+1,1))-AVERAGE(OFFSET($H$3,0,0,'Données projet'!$E$12+1,1))</f>
        <v>225.2323446080772</v>
      </c>
      <c r="CE159" s="59">
        <f t="shared" si="148"/>
        <v>222.29030402759292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6.3914070086602415</v>
      </c>
      <c r="CL159" s="21">
        <f>EXP(-LN(2)/25)*CL158+(1-EXP(-LN(2)/25))/(LN(2)/25)*Calculateur!CG159*Calculateur!CI159*VLOOKUP('Données projet'!$B$12,Paramètres!$A$1:$I$89,3,0)*0.475*44/12</f>
        <v>1.0126456816974034</v>
      </c>
      <c r="CM159" s="21">
        <f>EXP(-LN(2)/2)*CM158+(1-EXP(-LN(2)/2))/(LN(2)/2)*CG159*CJ159*VLOOKUP('Données projet'!$B$12,Paramètres!$A$1:$I$89,3,0)*0.475*44/12</f>
        <v>0</v>
      </c>
      <c r="CN159" s="22">
        <f t="shared" si="172"/>
        <v>7.4040526903576449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5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75.517000000000039</v>
      </c>
      <c r="D160" s="11">
        <f t="shared" si="140"/>
        <v>21.037415628132592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745.33233116453266</v>
      </c>
      <c r="H160" s="67">
        <f t="shared" si="110"/>
        <v>461.49894055233096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4.5474735088646412E-13</v>
      </c>
      <c r="O160" s="13">
        <f>N160*VLOOKUP('Données projet'!$B$9,Paramètres!$A$1:$I$89,3,0)*VLOOKUP('Données projet'!$B$9,Paramètres!$A$1:$I$89,5,0)</f>
        <v>2.1873347577638923E-13</v>
      </c>
      <c r="P160" s="13">
        <f t="shared" si="141"/>
        <v>2.999861355695181E-12</v>
      </c>
      <c r="Q160" s="20">
        <f t="shared" si="162"/>
        <v>5.6057193314796512E-12</v>
      </c>
      <c r="R160" s="59">
        <f t="shared" si="109"/>
        <v>293.33333333333894</v>
      </c>
      <c r="S160" s="59">
        <f ca="1">AVERAGE(OFFSET($R$3,0,0,'Données projet'!$E$9+1,1))-AVERAGE(OFFSET($H$3,0,0,'Données projet'!$E$9+1,1))</f>
        <v>234.10156575337737</v>
      </c>
      <c r="T160" s="59">
        <f t="shared" si="142"/>
        <v>285.68635263076646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36.843185930865722</v>
      </c>
      <c r="AA160" s="21">
        <f>EXP(-LN(2)/25)*AA159+(1-EXP(-LN(2)/25))/(LN(2)/25)*Calculateur!V160*Calculateur!X160*VLOOKUP('Données projet'!$B$9,Paramètres!$A$1:$I$89,3,0)*0.475*44/12</f>
        <v>11.02481080552753</v>
      </c>
      <c r="AB160" s="21">
        <f>EXP(-LN(2)/2)*AB159+(1-EXP(-LN(2)/2))/(LN(2)/2)*V160*Y160*VLOOKUP('Données projet'!$B$9,Paramètres!$A$1:$I$89,3,0)*0.475*44/12</f>
        <v>3.3277841819421849E-18</v>
      </c>
      <c r="AC160" s="22">
        <f t="shared" si="163"/>
        <v>47.867996736393252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0</v>
      </c>
      <c r="AJ160" s="13">
        <f>AI160*VLOOKUP('Données projet'!$B$10,Paramètres!$A$1:$I$89,3,0)*VLOOKUP('Données projet'!$B$10,Paramètres!$A$1:$I$89,5,0)</f>
        <v>0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179.44051550872138</v>
      </c>
      <c r="AO160" s="59">
        <f t="shared" si="144"/>
        <v>272.9500808380069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12.201394544904357</v>
      </c>
      <c r="AV160" s="21">
        <f>EXP(-LN(2)/25)*AV159+(1-EXP(-LN(2)/25))/(LN(2)/25)*Calculateur!AQ160*Calculateur!AS160*VLOOKUP('Données projet'!$B$10,Paramètres!$A$1:$I$89,3,0)*0.475*44/12</f>
        <v>9.8223051611961392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22.023699706100494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-1.1368683772161603E-13</v>
      </c>
      <c r="BE160" s="13">
        <f>BD160*VLOOKUP('Données projet'!$B$11,Paramètres!$A$1:$I$89,3,0)*VLOOKUP('Données projet'!$B$11,Paramètres!$A$1:$I$89,5,0)</f>
        <v>-6.3550942286383367E-14</v>
      </c>
      <c r="BF160" s="13" t="e">
        <f t="shared" si="167"/>
        <v>#NUM!</v>
      </c>
      <c r="BG160" s="20" t="e">
        <f t="shared" si="168"/>
        <v>#NUM!</v>
      </c>
      <c r="BH160" s="59" t="e">
        <f t="shared" si="116"/>
        <v>#NUM!</v>
      </c>
      <c r="BI160" s="59">
        <f ca="1">AVERAGE(OFFSET($BH$3,0,0,'Données projet'!$E$11+1,1))-AVERAGE(OFFSET($H$3,0,0,'Données projet'!$E$11+1,1))</f>
        <v>278.5296012747549</v>
      </c>
      <c r="BJ160" s="59">
        <f t="shared" si="146"/>
        <v>370.55343097937077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30.066430901176656</v>
      </c>
      <c r="BQ160" s="21">
        <f>EXP(-LN(2)/25)*BQ159+(1-EXP(-LN(2)/25))/(LN(2)/25)*Calculateur!BL160*Calculateur!BN160*VLOOKUP('Données projet'!$B$11,Paramètres!$A$1:$I$89,3,0)*0.475*44/12</f>
        <v>3.4062616588386612</v>
      </c>
      <c r="BR160" s="21">
        <f>EXP(-LN(2)/2)*BR159+(1-EXP(-LN(2)/2))/(LN(2)/2)*BL160*BO160*VLOOKUP('Données projet'!$B$11,Paramètres!$A$1:$I$89,3,0)*0.475*44/12</f>
        <v>1.5170666502634088E-14</v>
      </c>
      <c r="BS160" s="22">
        <f t="shared" si="169"/>
        <v>33.472692560015332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266.99999999999983</v>
      </c>
      <c r="BZ160" s="13">
        <f>BY160*VLOOKUP('Données projet'!$B$12,Paramètres!$A$1:$I$89,3,0)*VLOOKUP('Données projet'!$B$12,Paramètres!$A$1:$I$89,5,0)</f>
        <v>212.42519999999985</v>
      </c>
      <c r="CA160" s="13">
        <f t="shared" si="170"/>
        <v>52.465198231787184</v>
      </c>
      <c r="CB160" s="20">
        <f t="shared" si="171"/>
        <v>461.35077692036231</v>
      </c>
      <c r="CC160" s="59">
        <f t="shared" si="119"/>
        <v>754.68411025369562</v>
      </c>
      <c r="CD160" s="59">
        <f ca="1">AVERAGE(OFFSET($CC$3,0,0,'Données projet'!$E$12+1,1))-AVERAGE(OFFSET($H$3,0,0,'Données projet'!$E$12+1,1))</f>
        <v>225.2323446080772</v>
      </c>
      <c r="CE160" s="59">
        <f t="shared" si="148"/>
        <v>222.29030402759292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6.2660754155937575</v>
      </c>
      <c r="CL160" s="21">
        <f>EXP(-LN(2)/25)*CL159+(1-EXP(-LN(2)/25))/(LN(2)/25)*Calculateur!CG160*Calculateur!CI160*VLOOKUP('Données projet'!$B$12,Paramètres!$A$1:$I$89,3,0)*0.475*44/12</f>
        <v>0.98495483227866598</v>
      </c>
      <c r="CM160" s="21">
        <f>EXP(-LN(2)/2)*CM159+(1-EXP(-LN(2)/2))/(LN(2)/2)*CG160*CJ160*VLOOKUP('Données projet'!$B$12,Paramètres!$A$1:$I$89,3,0)*0.475*44/12</f>
        <v>0</v>
      </c>
      <c r="CN160" s="22">
        <f t="shared" si="172"/>
        <v>7.2510302478724231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5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75.998000000000033</v>
      </c>
      <c r="D161" s="11">
        <f t="shared" si="140"/>
        <v>21.155770952330599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749.95893366711368</v>
      </c>
      <c r="H161" s="67">
        <f t="shared" si="110"/>
        <v>462.5428177419758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4.5474735088646412E-13</v>
      </c>
      <c r="O161" s="13">
        <f>N161*VLOOKUP('Données projet'!$B$9,Paramètres!$A$1:$I$89,3,0)*VLOOKUP('Données projet'!$B$9,Paramètres!$A$1:$I$89,5,0)</f>
        <v>2.1873347577638923E-13</v>
      </c>
      <c r="P161" s="13">
        <f t="shared" si="141"/>
        <v>2.999861355695181E-12</v>
      </c>
      <c r="Q161" s="20">
        <f t="shared" si="162"/>
        <v>5.6057193314796512E-12</v>
      </c>
      <c r="R161" s="59">
        <f t="shared" si="109"/>
        <v>293.33333333333894</v>
      </c>
      <c r="S161" s="59">
        <f ca="1">AVERAGE(OFFSET($R$3,0,0,'Données projet'!$E$9+1,1))-AVERAGE(OFFSET($H$3,0,0,'Données projet'!$E$9+1,1))</f>
        <v>234.10156575337737</v>
      </c>
      <c r="T161" s="59">
        <f t="shared" si="142"/>
        <v>285.68635263076646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36.120713526885922</v>
      </c>
      <c r="AA161" s="21">
        <f>EXP(-LN(2)/25)*AA160+(1-EXP(-LN(2)/25))/(LN(2)/25)*Calculateur!V161*Calculateur!X161*VLOOKUP('Données projet'!$B$9,Paramètres!$A$1:$I$89,3,0)*0.475*44/12</f>
        <v>10.723336774280776</v>
      </c>
      <c r="AB161" s="21">
        <f>EXP(-LN(2)/2)*AB160+(1-EXP(-LN(2)/2))/(LN(2)/2)*V161*Y161*VLOOKUP('Données projet'!$B$9,Paramètres!$A$1:$I$89,3,0)*0.475*44/12</f>
        <v>2.3530987613766466E-18</v>
      </c>
      <c r="AC161" s="22">
        <f t="shared" si="163"/>
        <v>46.844050301166696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0</v>
      </c>
      <c r="AJ161" s="13">
        <f>AI161*VLOOKUP('Données projet'!$B$10,Paramètres!$A$1:$I$89,3,0)*VLOOKUP('Données projet'!$B$10,Paramètres!$A$1:$I$89,5,0)</f>
        <v>0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179.44051550872138</v>
      </c>
      <c r="AO161" s="59">
        <f t="shared" si="144"/>
        <v>272.9500808380069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11.962132639994607</v>
      </c>
      <c r="AV161" s="21">
        <f>EXP(-LN(2)/25)*AV160+(1-EXP(-LN(2)/25))/(LN(2)/25)*Calculateur!AQ161*Calculateur!AS161*VLOOKUP('Données projet'!$B$10,Paramètres!$A$1:$I$89,3,0)*0.475*44/12</f>
        <v>9.5537137100306513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21.515846350025257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-1.1368683772161603E-13</v>
      </c>
      <c r="BE161" s="13">
        <f>BD161*VLOOKUP('Données projet'!$B$11,Paramètres!$A$1:$I$89,3,0)*VLOOKUP('Données projet'!$B$11,Paramètres!$A$1:$I$89,5,0)</f>
        <v>-6.3550942286383367E-14</v>
      </c>
      <c r="BF161" s="13" t="e">
        <f t="shared" si="167"/>
        <v>#NUM!</v>
      </c>
      <c r="BG161" s="20" t="e">
        <f t="shared" si="168"/>
        <v>#NUM!</v>
      </c>
      <c r="BH161" s="59" t="e">
        <f t="shared" si="116"/>
        <v>#NUM!</v>
      </c>
      <c r="BI161" s="59">
        <f ca="1">AVERAGE(OFFSET($BH$3,0,0,'Données projet'!$E$11+1,1))-AVERAGE(OFFSET($H$3,0,0,'Données projet'!$E$11+1,1))</f>
        <v>278.5296012747549</v>
      </c>
      <c r="BJ161" s="59">
        <f t="shared" si="146"/>
        <v>370.55343097937077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29.476846529916635</v>
      </c>
      <c r="BQ161" s="21">
        <f>EXP(-LN(2)/25)*BQ160+(1-EXP(-LN(2)/25))/(LN(2)/25)*Calculateur!BL161*Calculateur!BN161*VLOOKUP('Données projet'!$B$11,Paramètres!$A$1:$I$89,3,0)*0.475*44/12</f>
        <v>3.3131172546502023</v>
      </c>
      <c r="BR161" s="21">
        <f>EXP(-LN(2)/2)*BR160+(1-EXP(-LN(2)/2))/(LN(2)/2)*BL161*BO161*VLOOKUP('Données projet'!$B$11,Paramètres!$A$1:$I$89,3,0)*0.475*44/12</f>
        <v>1.0727281159132169E-14</v>
      </c>
      <c r="BS161" s="22">
        <f t="shared" si="169"/>
        <v>32.789963784566851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266.99999999999983</v>
      </c>
      <c r="BZ161" s="13">
        <f>BY161*VLOOKUP('Données projet'!$B$12,Paramètres!$A$1:$I$89,3,0)*VLOOKUP('Données projet'!$B$12,Paramètres!$A$1:$I$89,5,0)</f>
        <v>212.42519999999985</v>
      </c>
      <c r="CA161" s="13">
        <f t="shared" si="170"/>
        <v>52.465198231787184</v>
      </c>
      <c r="CB161" s="20">
        <f t="shared" si="171"/>
        <v>461.35077692036231</v>
      </c>
      <c r="CC161" s="59">
        <f t="shared" si="119"/>
        <v>754.68411025369562</v>
      </c>
      <c r="CD161" s="59">
        <f ca="1">AVERAGE(OFFSET($CC$3,0,0,'Données projet'!$E$12+1,1))-AVERAGE(OFFSET($H$3,0,0,'Données projet'!$E$12+1,1))</f>
        <v>225.2323446080772</v>
      </c>
      <c r="CE161" s="59">
        <f t="shared" si="148"/>
        <v>222.29030402759292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6.1432014986225836</v>
      </c>
      <c r="CL161" s="21">
        <f>EXP(-LN(2)/25)*CL160+(1-EXP(-LN(2)/25))/(LN(2)/25)*Calculateur!CG161*Calculateur!CI161*VLOOKUP('Données projet'!$B$12,Paramètres!$A$1:$I$89,3,0)*0.475*44/12</f>
        <v>0.95802119059348234</v>
      </c>
      <c r="CM161" s="21">
        <f>EXP(-LN(2)/2)*CM160+(1-EXP(-LN(2)/2))/(LN(2)/2)*CG161*CJ161*VLOOKUP('Données projet'!$B$12,Paramètres!$A$1:$I$89,3,0)*0.475*44/12</f>
        <v>0</v>
      </c>
      <c r="CN161" s="22">
        <f t="shared" si="172"/>
        <v>7.1012226892160655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5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76.479000000000028</v>
      </c>
      <c r="D162" s="11">
        <f t="shared" si="140"/>
        <v>21.274039114607188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754.58486334082772</v>
      </c>
      <c r="H162" s="67">
        <f t="shared" si="110"/>
        <v>463.58654312460754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4.5474735088646412E-13</v>
      </c>
      <c r="O162" s="13">
        <f>N162*VLOOKUP('Données projet'!$B$9,Paramètres!$A$1:$I$89,3,0)*VLOOKUP('Données projet'!$B$9,Paramètres!$A$1:$I$89,5,0)</f>
        <v>2.1873347577638923E-13</v>
      </c>
      <c r="P162" s="13">
        <f t="shared" si="141"/>
        <v>2.999861355695181E-12</v>
      </c>
      <c r="Q162" s="20">
        <f t="shared" si="162"/>
        <v>5.6057193314796512E-12</v>
      </c>
      <c r="R162" s="59">
        <f t="shared" si="109"/>
        <v>293.33333333333894</v>
      </c>
      <c r="S162" s="59">
        <f ca="1">AVERAGE(OFFSET($R$3,0,0,'Données projet'!$E$9+1,1))-AVERAGE(OFFSET($H$3,0,0,'Données projet'!$E$9+1,1))</f>
        <v>234.10156575337737</v>
      </c>
      <c r="T162" s="59">
        <f t="shared" si="142"/>
        <v>285.68635263076646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35.412408366083511</v>
      </c>
      <c r="AA162" s="21">
        <f>EXP(-LN(2)/25)*AA161+(1-EXP(-LN(2)/25))/(LN(2)/25)*Calculateur!V162*Calculateur!X162*VLOOKUP('Données projet'!$B$9,Paramètres!$A$1:$I$89,3,0)*0.475*44/12</f>
        <v>10.430106566272295</v>
      </c>
      <c r="AB162" s="21">
        <f>EXP(-LN(2)/2)*AB161+(1-EXP(-LN(2)/2))/(LN(2)/2)*V162*Y162*VLOOKUP('Données projet'!$B$9,Paramètres!$A$1:$I$89,3,0)*0.475*44/12</f>
        <v>1.6638920909710925E-18</v>
      </c>
      <c r="AC162" s="22">
        <f t="shared" si="163"/>
        <v>45.842514932355805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0</v>
      </c>
      <c r="AJ162" s="13">
        <f>AI162*VLOOKUP('Données projet'!$B$10,Paramètres!$A$1:$I$89,3,0)*VLOOKUP('Données projet'!$B$10,Paramètres!$A$1:$I$89,5,0)</f>
        <v>0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179.44051550872138</v>
      </c>
      <c r="AO162" s="59">
        <f t="shared" si="144"/>
        <v>272.9500808380069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11.727562515104784</v>
      </c>
      <c r="AV162" s="21">
        <f>EXP(-LN(2)/25)*AV161+(1-EXP(-LN(2)/25))/(LN(2)/25)*Calculateur!AQ162*Calculateur!AS162*VLOOKUP('Données projet'!$B$10,Paramètres!$A$1:$I$89,3,0)*0.475*44/12</f>
        <v>9.292466906221895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21.020029421326679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-1.1368683772161603E-13</v>
      </c>
      <c r="BE162" s="13">
        <f>BD162*VLOOKUP('Données projet'!$B$11,Paramètres!$A$1:$I$89,3,0)*VLOOKUP('Données projet'!$B$11,Paramètres!$A$1:$I$89,5,0)</f>
        <v>-6.3550942286383367E-14</v>
      </c>
      <c r="BF162" s="13" t="e">
        <f t="shared" si="167"/>
        <v>#NUM!</v>
      </c>
      <c r="BG162" s="20" t="e">
        <f t="shared" si="168"/>
        <v>#NUM!</v>
      </c>
      <c r="BH162" s="59" t="e">
        <f t="shared" si="116"/>
        <v>#NUM!</v>
      </c>
      <c r="BI162" s="59">
        <f ca="1">AVERAGE(OFFSET($BH$3,0,0,'Données projet'!$E$11+1,1))-AVERAGE(OFFSET($H$3,0,0,'Données projet'!$E$11+1,1))</f>
        <v>278.5296012747549</v>
      </c>
      <c r="BJ162" s="59">
        <f t="shared" si="146"/>
        <v>370.55343097937077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28.898823548566064</v>
      </c>
      <c r="BQ162" s="21">
        <f>EXP(-LN(2)/25)*BQ161+(1-EXP(-LN(2)/25))/(LN(2)/25)*Calculateur!BL162*Calculateur!BN162*VLOOKUP('Données projet'!$B$11,Paramètres!$A$1:$I$89,3,0)*0.475*44/12</f>
        <v>3.2225198890925282</v>
      </c>
      <c r="BR162" s="21">
        <f>EXP(-LN(2)/2)*BR161+(1-EXP(-LN(2)/2))/(LN(2)/2)*BL162*BO162*VLOOKUP('Données projet'!$B$11,Paramètres!$A$1:$I$89,3,0)*0.475*44/12</f>
        <v>7.5853332513170442E-15</v>
      </c>
      <c r="BS162" s="22">
        <f t="shared" si="169"/>
        <v>32.121343437658602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266.99999999999983</v>
      </c>
      <c r="BZ162" s="13">
        <f>BY162*VLOOKUP('Données projet'!$B$12,Paramètres!$A$1:$I$89,3,0)*VLOOKUP('Données projet'!$B$12,Paramètres!$A$1:$I$89,5,0)</f>
        <v>212.42519999999985</v>
      </c>
      <c r="CA162" s="13">
        <f t="shared" si="170"/>
        <v>52.465198231787184</v>
      </c>
      <c r="CB162" s="20">
        <f t="shared" si="171"/>
        <v>461.35077692036231</v>
      </c>
      <c r="CC162" s="59">
        <f t="shared" si="119"/>
        <v>754.68411025369562</v>
      </c>
      <c r="CD162" s="59">
        <f ca="1">AVERAGE(OFFSET($CC$3,0,0,'Données projet'!$E$12+1,1))-AVERAGE(OFFSET($H$3,0,0,'Données projet'!$E$12+1,1))</f>
        <v>225.2323446080772</v>
      </c>
      <c r="CE162" s="59">
        <f t="shared" si="148"/>
        <v>222.29030402759292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6.0227370642175249</v>
      </c>
      <c r="CL162" s="21">
        <f>EXP(-LN(2)/25)*CL161+(1-EXP(-LN(2)/25))/(LN(2)/25)*Calculateur!CG162*Calculateur!CI162*VLOOKUP('Données projet'!$B$12,Paramètres!$A$1:$I$89,3,0)*0.475*44/12</f>
        <v>0.93182405075655872</v>
      </c>
      <c r="CM162" s="21">
        <f>EXP(-LN(2)/2)*CM161+(1-EXP(-LN(2)/2))/(LN(2)/2)*CG162*CJ162*VLOOKUP('Données projet'!$B$12,Paramètres!$A$1:$I$89,3,0)*0.475*44/12</f>
        <v>0</v>
      </c>
      <c r="CN162" s="22">
        <f t="shared" si="172"/>
        <v>6.9545611149740836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5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76.960000000000022</v>
      </c>
      <c r="D163" s="11">
        <f t="shared" si="140"/>
        <v>21.392220726743776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759.21012490819783</v>
      </c>
      <c r="H163" s="67">
        <f t="shared" si="110"/>
        <v>464.63011776574541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4.5474735088646412E-13</v>
      </c>
      <c r="O163" s="13">
        <f>N163*VLOOKUP('Données projet'!$B$9,Paramètres!$A$1:$I$89,3,0)*VLOOKUP('Données projet'!$B$9,Paramètres!$A$1:$I$89,5,0)</f>
        <v>2.1873347577638923E-13</v>
      </c>
      <c r="P163" s="13">
        <f t="shared" si="141"/>
        <v>2.999861355695181E-12</v>
      </c>
      <c r="Q163" s="20">
        <f t="shared" si="162"/>
        <v>5.6057193314796512E-12</v>
      </c>
      <c r="R163" s="59">
        <f t="shared" si="109"/>
        <v>293.33333333333894</v>
      </c>
      <c r="S163" s="59">
        <f ca="1">AVERAGE(OFFSET($R$3,0,0,'Données projet'!$E$9+1,1))-AVERAGE(OFFSET($H$3,0,0,'Données projet'!$E$9+1,1))</f>
        <v>234.10156575337737</v>
      </c>
      <c r="T163" s="59">
        <f t="shared" si="142"/>
        <v>285.68635263076646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34.717992637460952</v>
      </c>
      <c r="AA163" s="21">
        <f>EXP(-LN(2)/25)*AA162+(1-EXP(-LN(2)/25))/(LN(2)/25)*Calculateur!V163*Calculateur!X163*VLOOKUP('Données projet'!$B$9,Paramètres!$A$1:$I$89,3,0)*0.475*44/12</f>
        <v>10.144894753722113</v>
      </c>
      <c r="AB163" s="21">
        <f>EXP(-LN(2)/2)*AB162+(1-EXP(-LN(2)/2))/(LN(2)/2)*V163*Y163*VLOOKUP('Données projet'!$B$9,Paramètres!$A$1:$I$89,3,0)*0.475*44/12</f>
        <v>1.1765493806883233E-18</v>
      </c>
      <c r="AC163" s="22">
        <f t="shared" si="163"/>
        <v>44.862887391183065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0</v>
      </c>
      <c r="AJ163" s="13">
        <f>AI163*VLOOKUP('Données projet'!$B$10,Paramètres!$A$1:$I$89,3,0)*VLOOKUP('Données projet'!$B$10,Paramètres!$A$1:$I$89,5,0)</f>
        <v>0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179.44051550872138</v>
      </c>
      <c r="AO163" s="59">
        <f t="shared" si="144"/>
        <v>272.9500808380069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11.497592167290403</v>
      </c>
      <c r="AV163" s="21">
        <f>EXP(-LN(2)/25)*AV162+(1-EXP(-LN(2)/25))/(LN(2)/25)*Calculateur!AQ163*Calculateur!AS163*VLOOKUP('Données projet'!$B$10,Paramètres!$A$1:$I$89,3,0)*0.475*44/12</f>
        <v>9.0383639100016602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20.535956077292063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-1.1368683772161603E-13</v>
      </c>
      <c r="BE163" s="13">
        <f>BD163*VLOOKUP('Données projet'!$B$11,Paramètres!$A$1:$I$89,3,0)*VLOOKUP('Données projet'!$B$11,Paramètres!$A$1:$I$89,5,0)</f>
        <v>-6.3550942286383367E-14</v>
      </c>
      <c r="BF163" s="13" t="e">
        <f t="shared" si="167"/>
        <v>#NUM!</v>
      </c>
      <c r="BG163" s="20" t="e">
        <f t="shared" si="168"/>
        <v>#NUM!</v>
      </c>
      <c r="BH163" s="59" t="e">
        <f t="shared" si="116"/>
        <v>#NUM!</v>
      </c>
      <c r="BI163" s="59">
        <f ca="1">AVERAGE(OFFSET($BH$3,0,0,'Données projet'!$E$11+1,1))-AVERAGE(OFFSET($H$3,0,0,'Données projet'!$E$11+1,1))</f>
        <v>278.5296012747549</v>
      </c>
      <c r="BJ163" s="59">
        <f t="shared" si="146"/>
        <v>370.55343097937077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28.332135245320572</v>
      </c>
      <c r="BQ163" s="21">
        <f>EXP(-LN(2)/25)*BQ162+(1-EXP(-LN(2)/25))/(LN(2)/25)*Calculateur!BL163*Calculateur!BN163*VLOOKUP('Données projet'!$B$11,Paramètres!$A$1:$I$89,3,0)*0.475*44/12</f>
        <v>3.1343999132603373</v>
      </c>
      <c r="BR163" s="21">
        <f>EXP(-LN(2)/2)*BR162+(1-EXP(-LN(2)/2))/(LN(2)/2)*BL163*BO163*VLOOKUP('Données projet'!$B$11,Paramètres!$A$1:$I$89,3,0)*0.475*44/12</f>
        <v>5.3636405795660843E-15</v>
      </c>
      <c r="BS163" s="22">
        <f t="shared" si="169"/>
        <v>31.466535158580918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266.99999999999983</v>
      </c>
      <c r="BZ163" s="13">
        <f>BY163*VLOOKUP('Données projet'!$B$12,Paramètres!$A$1:$I$89,3,0)*VLOOKUP('Données projet'!$B$12,Paramètres!$A$1:$I$89,5,0)</f>
        <v>212.42519999999985</v>
      </c>
      <c r="CA163" s="13">
        <f t="shared" si="170"/>
        <v>52.465198231787184</v>
      </c>
      <c r="CB163" s="20">
        <f t="shared" si="171"/>
        <v>461.35077692036231</v>
      </c>
      <c r="CC163" s="59">
        <f t="shared" si="119"/>
        <v>754.68411025369562</v>
      </c>
      <c r="CD163" s="59">
        <f ca="1">AVERAGE(OFFSET($CC$3,0,0,'Données projet'!$E$12+1,1))-AVERAGE(OFFSET($H$3,0,0,'Données projet'!$E$12+1,1))</f>
        <v>225.2323446080772</v>
      </c>
      <c r="CE163" s="59">
        <f t="shared" si="148"/>
        <v>222.29030402759292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5.9046348638951001</v>
      </c>
      <c r="CL163" s="21">
        <f>EXP(-LN(2)/25)*CL162+(1-EXP(-LN(2)/25))/(LN(2)/25)*Calculateur!CG163*Calculateur!CI163*VLOOKUP('Données projet'!$B$12,Paramètres!$A$1:$I$89,3,0)*0.475*44/12</f>
        <v>0.9063432730861235</v>
      </c>
      <c r="CM163" s="21">
        <f>EXP(-LN(2)/2)*CM162+(1-EXP(-LN(2)/2))/(LN(2)/2)*CG163*CJ163*VLOOKUP('Données projet'!$B$12,Paramètres!$A$1:$I$89,3,0)*0.475*44/12</f>
        <v>0</v>
      </c>
      <c r="CN163" s="22">
        <f t="shared" si="172"/>
        <v>6.8109781369812232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5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77.441000000000017</v>
      </c>
      <c r="D164" s="11">
        <f t="shared" si="140"/>
        <v>21.51031639243222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763.83472302930147</v>
      </c>
      <c r="H164" s="67">
        <f t="shared" si="110"/>
        <v>465.67354271681944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4.5474735088646412E-13</v>
      </c>
      <c r="O164" s="13">
        <f>N164*VLOOKUP('Données projet'!$B$9,Paramètres!$A$1:$I$89,3,0)*VLOOKUP('Données projet'!$B$9,Paramètres!$A$1:$I$89,5,0)</f>
        <v>2.1873347577638923E-13</v>
      </c>
      <c r="P164" s="13">
        <f t="shared" si="141"/>
        <v>2.999861355695181E-12</v>
      </c>
      <c r="Q164" s="20">
        <f t="shared" si="162"/>
        <v>5.6057193314796512E-12</v>
      </c>
      <c r="R164" s="59">
        <f t="shared" si="109"/>
        <v>293.33333333333894</v>
      </c>
      <c r="S164" s="59">
        <f ca="1">AVERAGE(OFFSET($R$3,0,0,'Données projet'!$E$9+1,1))-AVERAGE(OFFSET($H$3,0,0,'Données projet'!$E$9+1,1))</f>
        <v>234.10156575337737</v>
      </c>
      <c r="T164" s="59">
        <f t="shared" si="142"/>
        <v>285.68635263076646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34.037193977724904</v>
      </c>
      <c r="AA164" s="21">
        <f>EXP(-LN(2)/25)*AA163+(1-EXP(-LN(2)/25))/(LN(2)/25)*Calculateur!V164*Calculateur!X164*VLOOKUP('Données projet'!$B$9,Paramètres!$A$1:$I$89,3,0)*0.475*44/12</f>
        <v>9.8674820731847532</v>
      </c>
      <c r="AB164" s="21">
        <f>EXP(-LN(2)/2)*AB163+(1-EXP(-LN(2)/2))/(LN(2)/2)*V164*Y164*VLOOKUP('Données projet'!$B$9,Paramètres!$A$1:$I$89,3,0)*0.475*44/12</f>
        <v>8.3194604548554623E-19</v>
      </c>
      <c r="AC164" s="22">
        <f t="shared" si="163"/>
        <v>43.904676050909657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0</v>
      </c>
      <c r="AJ164" s="13">
        <f>AI164*VLOOKUP('Données projet'!$B$10,Paramètres!$A$1:$I$89,3,0)*VLOOKUP('Données projet'!$B$10,Paramètres!$A$1:$I$89,5,0)</f>
        <v>0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179.44051550872138</v>
      </c>
      <c r="AO164" s="59">
        <f t="shared" si="144"/>
        <v>272.9500808380069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11.2721313977286</v>
      </c>
      <c r="AV164" s="21">
        <f>EXP(-LN(2)/25)*AV163+(1-EXP(-LN(2)/25))/(LN(2)/25)*Calculateur!AQ164*Calculateur!AS164*VLOOKUP('Données projet'!$B$10,Paramètres!$A$1:$I$89,3,0)*0.475*44/12</f>
        <v>8.7912093735757644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20.063340771304365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-1.1368683772161603E-13</v>
      </c>
      <c r="BE164" s="13">
        <f>BD164*VLOOKUP('Données projet'!$B$11,Paramètres!$A$1:$I$89,3,0)*VLOOKUP('Données projet'!$B$11,Paramètres!$A$1:$I$89,5,0)</f>
        <v>-6.3550942286383367E-14</v>
      </c>
      <c r="BF164" s="13" t="e">
        <f t="shared" si="167"/>
        <v>#NUM!</v>
      </c>
      <c r="BG164" s="20" t="e">
        <f t="shared" si="168"/>
        <v>#NUM!</v>
      </c>
      <c r="BH164" s="59" t="e">
        <f t="shared" si="116"/>
        <v>#NUM!</v>
      </c>
      <c r="BI164" s="59">
        <f ca="1">AVERAGE(OFFSET($BH$3,0,0,'Données projet'!$E$11+1,1))-AVERAGE(OFFSET($H$3,0,0,'Données projet'!$E$11+1,1))</f>
        <v>278.5296012747549</v>
      </c>
      <c r="BJ164" s="59">
        <f t="shared" si="146"/>
        <v>370.55343097937077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27.776559354055987</v>
      </c>
      <c r="BQ164" s="21">
        <f>EXP(-LN(2)/25)*BQ163+(1-EXP(-LN(2)/25))/(LN(2)/25)*Calculateur!BL164*Calculateur!BN164*VLOOKUP('Données projet'!$B$11,Paramètres!$A$1:$I$89,3,0)*0.475*44/12</f>
        <v>3.0486895828013059</v>
      </c>
      <c r="BR164" s="21">
        <f>EXP(-LN(2)/2)*BR163+(1-EXP(-LN(2)/2))/(LN(2)/2)*BL164*BO164*VLOOKUP('Données projet'!$B$11,Paramètres!$A$1:$I$89,3,0)*0.475*44/12</f>
        <v>3.7926666256585221E-15</v>
      </c>
      <c r="BS164" s="22">
        <f t="shared" si="169"/>
        <v>30.825248936857296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266.99999999999983</v>
      </c>
      <c r="BZ164" s="13">
        <f>BY164*VLOOKUP('Données projet'!$B$12,Paramètres!$A$1:$I$89,3,0)*VLOOKUP('Données projet'!$B$12,Paramètres!$A$1:$I$89,5,0)</f>
        <v>212.42519999999985</v>
      </c>
      <c r="CA164" s="13">
        <f t="shared" si="170"/>
        <v>52.465198231787184</v>
      </c>
      <c r="CB164" s="20">
        <f t="shared" si="171"/>
        <v>461.35077692036231</v>
      </c>
      <c r="CC164" s="59">
        <f t="shared" si="119"/>
        <v>754.68411025369562</v>
      </c>
      <c r="CD164" s="59">
        <f ca="1">AVERAGE(OFFSET($CC$3,0,0,'Données projet'!$E$12+1,1))-AVERAGE(OFFSET($H$3,0,0,'Données projet'!$E$12+1,1))</f>
        <v>225.2323446080772</v>
      </c>
      <c r="CE164" s="59">
        <f t="shared" si="148"/>
        <v>222.29030402759292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5.7888485756857682</v>
      </c>
      <c r="CL164" s="21">
        <f>EXP(-LN(2)/25)*CL163+(1-EXP(-LN(2)/25))/(LN(2)/25)*Calculateur!CG164*Calculateur!CI164*VLOOKUP('Données projet'!$B$12,Paramètres!$A$1:$I$89,3,0)*0.475*44/12</f>
        <v>0.88155926862106215</v>
      </c>
      <c r="CM164" s="21">
        <f>EXP(-LN(2)/2)*CM163+(1-EXP(-LN(2)/2))/(LN(2)/2)*CG164*CJ164*VLOOKUP('Données projet'!$B$12,Paramètres!$A$1:$I$89,3,0)*0.475*44/12</f>
        <v>0</v>
      </c>
      <c r="CN164" s="22">
        <f t="shared" si="172"/>
        <v>6.6704078443068306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5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77.922000000000011</v>
      </c>
      <c r="D165" s="11">
        <f t="shared" si="140"/>
        <v>21.628326707431373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768.45866230297918</v>
      </c>
      <c r="H165" s="67">
        <f t="shared" si="110"/>
        <v>466.71681901544298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4.5474735088646412E-13</v>
      </c>
      <c r="O165" s="13">
        <f>N165*VLOOKUP('Données projet'!$B$9,Paramètres!$A$1:$I$89,3,0)*VLOOKUP('Données projet'!$B$9,Paramètres!$A$1:$I$89,5,0)</f>
        <v>2.1873347577638923E-13</v>
      </c>
      <c r="P165" s="13">
        <f t="shared" si="141"/>
        <v>2.999861355695181E-12</v>
      </c>
      <c r="Q165" s="20">
        <f t="shared" si="162"/>
        <v>5.6057193314796512E-12</v>
      </c>
      <c r="R165" s="59">
        <f t="shared" si="109"/>
        <v>293.33333333333894</v>
      </c>
      <c r="S165" s="59">
        <f ca="1">AVERAGE(OFFSET($R$3,0,0,'Données projet'!$E$9+1,1))-AVERAGE(OFFSET($H$3,0,0,'Données projet'!$E$9+1,1))</f>
        <v>234.10156575337737</v>
      </c>
      <c r="T165" s="59">
        <f t="shared" si="142"/>
        <v>285.68635263076646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33.369745364460101</v>
      </c>
      <c r="AA165" s="21">
        <f>EXP(-LN(2)/25)*AA164+(1-EXP(-LN(2)/25))/(LN(2)/25)*Calculateur!V165*Calculateur!X165*VLOOKUP('Données projet'!$B$9,Paramètres!$A$1:$I$89,3,0)*0.475*44/12</f>
        <v>9.5976552569851865</v>
      </c>
      <c r="AB165" s="21">
        <f>EXP(-LN(2)/2)*AB164+(1-EXP(-LN(2)/2))/(LN(2)/2)*V165*Y165*VLOOKUP('Données projet'!$B$9,Paramètres!$A$1:$I$89,3,0)*0.475*44/12</f>
        <v>5.8827469034416164E-19</v>
      </c>
      <c r="AC165" s="22">
        <f t="shared" si="163"/>
        <v>42.967400621445286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0</v>
      </c>
      <c r="AJ165" s="13">
        <f>AI165*VLOOKUP('Données projet'!$B$10,Paramètres!$A$1:$I$89,3,0)*VLOOKUP('Données projet'!$B$10,Paramètres!$A$1:$I$89,5,0)</f>
        <v>0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179.44051550872138</v>
      </c>
      <c r="AO165" s="59">
        <f t="shared" si="144"/>
        <v>272.9500808380069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11.051091776340414</v>
      </c>
      <c r="AV165" s="21">
        <f>EXP(-LN(2)/25)*AV164+(1-EXP(-LN(2)/25))/(LN(2)/25)*Calculateur!AQ165*Calculateur!AS165*VLOOKUP('Données projet'!$B$10,Paramètres!$A$1:$I$89,3,0)*0.475*44/12</f>
        <v>8.550813290945726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19.60190506728614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-1.1368683772161603E-13</v>
      </c>
      <c r="BE165" s="13">
        <f>BD165*VLOOKUP('Données projet'!$B$11,Paramètres!$A$1:$I$89,3,0)*VLOOKUP('Données projet'!$B$11,Paramètres!$A$1:$I$89,5,0)</f>
        <v>-6.3550942286383367E-14</v>
      </c>
      <c r="BF165" s="13" t="e">
        <f t="shared" si="167"/>
        <v>#NUM!</v>
      </c>
      <c r="BG165" s="20" t="e">
        <f t="shared" si="168"/>
        <v>#NUM!</v>
      </c>
      <c r="BH165" s="59" t="e">
        <f t="shared" si="116"/>
        <v>#NUM!</v>
      </c>
      <c r="BI165" s="59">
        <f ca="1">AVERAGE(OFFSET($BH$3,0,0,'Données projet'!$E$11+1,1))-AVERAGE(OFFSET($H$3,0,0,'Données projet'!$E$11+1,1))</f>
        <v>278.5296012747549</v>
      </c>
      <c r="BJ165" s="59">
        <f t="shared" si="146"/>
        <v>370.55343097937077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27.23187796715127</v>
      </c>
      <c r="BQ165" s="21">
        <f>EXP(-LN(2)/25)*BQ164+(1-EXP(-LN(2)/25))/(LN(2)/25)*Calculateur!BL165*Calculateur!BN165*VLOOKUP('Données projet'!$B$11,Paramètres!$A$1:$I$89,3,0)*0.475*44/12</f>
        <v>2.965323005835987</v>
      </c>
      <c r="BR165" s="21">
        <f>EXP(-LN(2)/2)*BR164+(1-EXP(-LN(2)/2))/(LN(2)/2)*BL165*BO165*VLOOKUP('Données projet'!$B$11,Paramètres!$A$1:$I$89,3,0)*0.475*44/12</f>
        <v>2.6818202897830422E-15</v>
      </c>
      <c r="BS165" s="22">
        <f t="shared" si="169"/>
        <v>30.197200972987261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266.99999999999983</v>
      </c>
      <c r="BZ165" s="13">
        <f>BY165*VLOOKUP('Données projet'!$B$12,Paramètres!$A$1:$I$89,3,0)*VLOOKUP('Données projet'!$B$12,Paramètres!$A$1:$I$89,5,0)</f>
        <v>212.42519999999985</v>
      </c>
      <c r="CA165" s="13">
        <f t="shared" si="170"/>
        <v>52.465198231787184</v>
      </c>
      <c r="CB165" s="20">
        <f t="shared" si="171"/>
        <v>461.35077692036231</v>
      </c>
      <c r="CC165" s="59">
        <f t="shared" si="119"/>
        <v>754.68411025369562</v>
      </c>
      <c r="CD165" s="59">
        <f ca="1">AVERAGE(OFFSET($CC$3,0,0,'Données projet'!$E$12+1,1))-AVERAGE(OFFSET($H$3,0,0,'Données projet'!$E$12+1,1))</f>
        <v>225.2323446080772</v>
      </c>
      <c r="CE165" s="59">
        <f t="shared" si="148"/>
        <v>222.29030402759292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5.6753327859655593</v>
      </c>
      <c r="CL165" s="21">
        <f>EXP(-LN(2)/25)*CL164+(1-EXP(-LN(2)/25))/(LN(2)/25)*Calculateur!CG165*Calculateur!CI165*VLOOKUP('Données projet'!$B$12,Paramètres!$A$1:$I$89,3,0)*0.475*44/12</f>
        <v>0.85745298406143211</v>
      </c>
      <c r="CM165" s="21">
        <f>EXP(-LN(2)/2)*CM164+(1-EXP(-LN(2)/2))/(LN(2)/2)*CG165*CJ165*VLOOKUP('Données projet'!$B$12,Paramètres!$A$1:$I$89,3,0)*0.475*44/12</f>
        <v>0</v>
      </c>
      <c r="CN165" s="22">
        <f t="shared" si="172"/>
        <v>6.5327857700269911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5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78.403000000000006</v>
      </c>
      <c r="D166" s="11">
        <f t="shared" si="140"/>
        <v>21.74625225971964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773.08194726801139</v>
      </c>
      <c r="H166" s="67">
        <f t="shared" si="110"/>
        <v>467.75994768567836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4.5474735088646412E-13</v>
      </c>
      <c r="O166" s="13">
        <f>N166*VLOOKUP('Données projet'!$B$9,Paramètres!$A$1:$I$89,3,0)*VLOOKUP('Données projet'!$B$9,Paramètres!$A$1:$I$89,5,0)</f>
        <v>2.1873347577638923E-13</v>
      </c>
      <c r="P166" s="13">
        <f t="shared" si="141"/>
        <v>2.999861355695181E-12</v>
      </c>
      <c r="Q166" s="20">
        <f t="shared" si="162"/>
        <v>5.6057193314796512E-12</v>
      </c>
      <c r="R166" s="59">
        <f t="shared" si="109"/>
        <v>293.33333333333894</v>
      </c>
      <c r="S166" s="59">
        <f ca="1">AVERAGE(OFFSET($R$3,0,0,'Données projet'!$E$9+1,1))-AVERAGE(OFFSET($H$3,0,0,'Données projet'!$E$9+1,1))</f>
        <v>234.10156575337737</v>
      </c>
      <c r="T166" s="59">
        <f t="shared" si="142"/>
        <v>285.68635263076646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32.715385011397963</v>
      </c>
      <c r="AA166" s="21">
        <f>EXP(-LN(2)/25)*AA165+(1-EXP(-LN(2)/25))/(LN(2)/25)*Calculateur!V166*Calculateur!X166*VLOOKUP('Données projet'!$B$9,Paramètres!$A$1:$I$89,3,0)*0.475*44/12</f>
        <v>9.335206869264173</v>
      </c>
      <c r="AB166" s="21">
        <f>EXP(-LN(2)/2)*AB165+(1-EXP(-LN(2)/2))/(LN(2)/2)*V166*Y166*VLOOKUP('Données projet'!$B$9,Paramètres!$A$1:$I$89,3,0)*0.475*44/12</f>
        <v>4.1597302274277311E-19</v>
      </c>
      <c r="AC166" s="22">
        <f t="shared" si="163"/>
        <v>42.050591880662139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0</v>
      </c>
      <c r="AJ166" s="13">
        <f>AI166*VLOOKUP('Données projet'!$B$10,Paramètres!$A$1:$I$89,3,0)*VLOOKUP('Données projet'!$B$10,Paramètres!$A$1:$I$89,5,0)</f>
        <v>0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179.44051550872138</v>
      </c>
      <c r="AO166" s="59">
        <f t="shared" si="144"/>
        <v>272.9500808380069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10.834386607106792</v>
      </c>
      <c r="AV166" s="21">
        <f>EXP(-LN(2)/25)*AV165+(1-EXP(-LN(2)/25))/(LN(2)/25)*Calculateur!AQ166*Calculateur!AS166*VLOOKUP('Données projet'!$B$10,Paramètres!$A$1:$I$89,3,0)*0.475*44/12</f>
        <v>8.3169908518370868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19.151377458943877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-1.1368683772161603E-13</v>
      </c>
      <c r="BE166" s="13">
        <f>BD166*VLOOKUP('Données projet'!$B$11,Paramètres!$A$1:$I$89,3,0)*VLOOKUP('Données projet'!$B$11,Paramètres!$A$1:$I$89,5,0)</f>
        <v>-6.3550942286383367E-14</v>
      </c>
      <c r="BF166" s="13" t="e">
        <f t="shared" si="167"/>
        <v>#NUM!</v>
      </c>
      <c r="BG166" s="20" t="e">
        <f t="shared" si="168"/>
        <v>#NUM!</v>
      </c>
      <c r="BH166" s="59" t="e">
        <f t="shared" si="116"/>
        <v>#NUM!</v>
      </c>
      <c r="BI166" s="59">
        <f ca="1">AVERAGE(OFFSET($BH$3,0,0,'Données projet'!$E$11+1,1))-AVERAGE(OFFSET($H$3,0,0,'Données projet'!$E$11+1,1))</f>
        <v>278.5296012747549</v>
      </c>
      <c r="BJ166" s="59">
        <f t="shared" si="146"/>
        <v>370.55343097937077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26.697877450020911</v>
      </c>
      <c r="BQ166" s="21">
        <f>EXP(-LN(2)/25)*BQ165+(1-EXP(-LN(2)/25))/(LN(2)/25)*Calculateur!BL166*Calculateur!BN166*VLOOKUP('Données projet'!$B$11,Paramètres!$A$1:$I$89,3,0)*0.475*44/12</f>
        <v>2.8842360923018422</v>
      </c>
      <c r="BR166" s="21">
        <f>EXP(-LN(2)/2)*BR165+(1-EXP(-LN(2)/2))/(LN(2)/2)*BL166*BO166*VLOOKUP('Données projet'!$B$11,Paramètres!$A$1:$I$89,3,0)*0.475*44/12</f>
        <v>1.8963333128292611E-15</v>
      </c>
      <c r="BS166" s="22">
        <f t="shared" si="169"/>
        <v>29.582113542322755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266.99999999999983</v>
      </c>
      <c r="BZ166" s="13">
        <f>BY166*VLOOKUP('Données projet'!$B$12,Paramètres!$A$1:$I$89,3,0)*VLOOKUP('Données projet'!$B$12,Paramètres!$A$1:$I$89,5,0)</f>
        <v>212.42519999999985</v>
      </c>
      <c r="CA166" s="13">
        <f t="shared" si="170"/>
        <v>52.465198231787184</v>
      </c>
      <c r="CB166" s="20">
        <f t="shared" si="171"/>
        <v>461.35077692036231</v>
      </c>
      <c r="CC166" s="59">
        <f t="shared" si="119"/>
        <v>754.68411025369562</v>
      </c>
      <c r="CD166" s="59">
        <f ca="1">AVERAGE(OFFSET($CC$3,0,0,'Données projet'!$E$12+1,1))-AVERAGE(OFFSET($H$3,0,0,'Données projet'!$E$12+1,1))</f>
        <v>225.2323446080772</v>
      </c>
      <c r="CE166" s="59">
        <f t="shared" si="148"/>
        <v>222.29030402759292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5.5640429716439685</v>
      </c>
      <c r="CL166" s="21">
        <f>EXP(-LN(2)/25)*CL165+(1-EXP(-LN(2)/25))/(LN(2)/25)*Calculateur!CG166*Calculateur!CI166*VLOOKUP('Données projet'!$B$12,Paramètres!$A$1:$I$89,3,0)*0.475*44/12</f>
        <v>0.8340058871207795</v>
      </c>
      <c r="CM166" s="21">
        <f>EXP(-LN(2)/2)*CM165+(1-EXP(-LN(2)/2))/(LN(2)/2)*CG166*CJ166*VLOOKUP('Données projet'!$B$12,Paramètres!$A$1:$I$89,3,0)*0.475*44/12</f>
        <v>0</v>
      </c>
      <c r="CN166" s="22">
        <f t="shared" si="172"/>
        <v>6.3980488587647484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5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78.884</v>
      </c>
      <c r="D167" s="11">
        <f t="shared" si="140"/>
        <v>21.864093629643623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777.7045824042666</v>
      </c>
      <c r="H167" s="67">
        <f t="shared" si="110"/>
        <v>468.80292973829592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4.5474735088646412E-13</v>
      </c>
      <c r="O167" s="13">
        <f>N167*VLOOKUP('Données projet'!$B$9,Paramètres!$A$1:$I$89,3,0)*VLOOKUP('Données projet'!$B$9,Paramètres!$A$1:$I$89,5,0)</f>
        <v>2.1873347577638923E-13</v>
      </c>
      <c r="P167" s="13">
        <f t="shared" si="141"/>
        <v>2.999861355695181E-12</v>
      </c>
      <c r="Q167" s="20">
        <f t="shared" si="162"/>
        <v>5.6057193314796512E-12</v>
      </c>
      <c r="R167" s="59">
        <f t="shared" si="109"/>
        <v>293.33333333333894</v>
      </c>
      <c r="S167" s="59">
        <f ca="1">AVERAGE(OFFSET($R$3,0,0,'Données projet'!$E$9+1,1))-AVERAGE(OFFSET($H$3,0,0,'Données projet'!$E$9+1,1))</f>
        <v>234.10156575337737</v>
      </c>
      <c r="T167" s="59">
        <f t="shared" si="142"/>
        <v>285.68635263076646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32.073856265738968</v>
      </c>
      <c r="AA167" s="21">
        <f>EXP(-LN(2)/25)*AA166+(1-EXP(-LN(2)/25))/(LN(2)/25)*Calculateur!V167*Calculateur!X167*VLOOKUP('Données projet'!$B$9,Paramètres!$A$1:$I$89,3,0)*0.475*44/12</f>
        <v>9.0799351465069513</v>
      </c>
      <c r="AB167" s="21">
        <f>EXP(-LN(2)/2)*AB166+(1-EXP(-LN(2)/2))/(LN(2)/2)*V167*Y167*VLOOKUP('Données projet'!$B$9,Paramètres!$A$1:$I$89,3,0)*0.475*44/12</f>
        <v>2.9413734517208082E-19</v>
      </c>
      <c r="AC167" s="22">
        <f t="shared" si="163"/>
        <v>41.153791412245923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0</v>
      </c>
      <c r="AJ167" s="13">
        <f>AI167*VLOOKUP('Données projet'!$B$10,Paramètres!$A$1:$I$89,3,0)*VLOOKUP('Données projet'!$B$10,Paramètres!$A$1:$I$89,5,0)</f>
        <v>0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179.44051550872138</v>
      </c>
      <c r="AO167" s="59">
        <f t="shared" si="144"/>
        <v>272.9500808380069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10.621930894064739</v>
      </c>
      <c r="AV167" s="21">
        <f>EXP(-LN(2)/25)*AV166+(1-EXP(-LN(2)/25))/(LN(2)/25)*Calculateur!AQ167*Calculateur!AS167*VLOOKUP('Données projet'!$B$10,Paramètres!$A$1:$I$89,3,0)*0.475*44/12</f>
        <v>8.0895622996220613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18.711493193686799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-1.1368683772161603E-13</v>
      </c>
      <c r="BE167" s="13">
        <f>BD167*VLOOKUP('Données projet'!$B$11,Paramètres!$A$1:$I$89,3,0)*VLOOKUP('Données projet'!$B$11,Paramètres!$A$1:$I$89,5,0)</f>
        <v>-6.3550942286383367E-14</v>
      </c>
      <c r="BF167" s="13" t="e">
        <f t="shared" si="167"/>
        <v>#NUM!</v>
      </c>
      <c r="BG167" s="20" t="e">
        <f t="shared" si="168"/>
        <v>#NUM!</v>
      </c>
      <c r="BH167" s="59" t="e">
        <f t="shared" si="116"/>
        <v>#NUM!</v>
      </c>
      <c r="BI167" s="59">
        <f ca="1">AVERAGE(OFFSET($BH$3,0,0,'Données projet'!$E$11+1,1))-AVERAGE(OFFSET($H$3,0,0,'Données projet'!$E$11+1,1))</f>
        <v>278.5296012747549</v>
      </c>
      <c r="BJ167" s="59">
        <f t="shared" si="146"/>
        <v>370.55343097937077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26.174348357323325</v>
      </c>
      <c r="BQ167" s="21">
        <f>EXP(-LN(2)/25)*BQ166+(1-EXP(-LN(2)/25))/(LN(2)/25)*Calculateur!BL167*Calculateur!BN167*VLOOKUP('Données projet'!$B$11,Paramètres!$A$1:$I$89,3,0)*0.475*44/12</f>
        <v>2.8053665046824641</v>
      </c>
      <c r="BR167" s="21">
        <f>EXP(-LN(2)/2)*BR166+(1-EXP(-LN(2)/2))/(LN(2)/2)*BL167*BO167*VLOOKUP('Données projet'!$B$11,Paramètres!$A$1:$I$89,3,0)*0.475*44/12</f>
        <v>1.3409101448915211E-15</v>
      </c>
      <c r="BS167" s="22">
        <f t="shared" si="169"/>
        <v>28.979714862005789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266.99999999999983</v>
      </c>
      <c r="BZ167" s="13">
        <f>BY167*VLOOKUP('Données projet'!$B$12,Paramètres!$A$1:$I$89,3,0)*VLOOKUP('Données projet'!$B$12,Paramètres!$A$1:$I$89,5,0)</f>
        <v>212.42519999999985</v>
      </c>
      <c r="CA167" s="13">
        <f t="shared" si="170"/>
        <v>52.465198231787184</v>
      </c>
      <c r="CB167" s="20">
        <f t="shared" si="171"/>
        <v>461.35077692036231</v>
      </c>
      <c r="CC167" s="59">
        <f t="shared" si="119"/>
        <v>754.68411025369562</v>
      </c>
      <c r="CD167" s="59">
        <f ca="1">AVERAGE(OFFSET($CC$3,0,0,'Données projet'!$E$12+1,1))-AVERAGE(OFFSET($H$3,0,0,'Données projet'!$E$12+1,1))</f>
        <v>225.2323446080772</v>
      </c>
      <c r="CE167" s="59">
        <f t="shared" si="148"/>
        <v>222.29030402759292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5.4549354827011403</v>
      </c>
      <c r="CL167" s="21">
        <f>EXP(-LN(2)/25)*CL166+(1-EXP(-LN(2)/25))/(LN(2)/25)*Calculateur!CG167*Calculateur!CI167*VLOOKUP('Données projet'!$B$12,Paramètres!$A$1:$I$89,3,0)*0.475*44/12</f>
        <v>0.81119995227899833</v>
      </c>
      <c r="CM167" s="21">
        <f>EXP(-LN(2)/2)*CM166+(1-EXP(-LN(2)/2))/(LN(2)/2)*CG167*CJ167*VLOOKUP('Données projet'!$B$12,Paramètres!$A$1:$I$89,3,0)*0.475*44/12</f>
        <v>0</v>
      </c>
      <c r="CN167" s="22">
        <f t="shared" si="172"/>
        <v>6.2661354349801384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5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79.364999999999995</v>
      </c>
      <c r="D168" s="11">
        <f t="shared" si="140"/>
        <v>21.981851390063195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782.32657213382117</v>
      </c>
      <c r="H168" s="67">
        <f t="shared" si="110"/>
        <v>469.8457661710267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4.5474735088646412E-13</v>
      </c>
      <c r="O168" s="13">
        <f>N168*VLOOKUP('Données projet'!$B$9,Paramètres!$A$1:$I$89,3,0)*VLOOKUP('Données projet'!$B$9,Paramètres!$A$1:$I$89,5,0)</f>
        <v>2.1873347577638923E-13</v>
      </c>
      <c r="P168" s="13">
        <f t="shared" si="141"/>
        <v>2.999861355695181E-12</v>
      </c>
      <c r="Q168" s="20">
        <f t="shared" si="162"/>
        <v>5.6057193314796512E-12</v>
      </c>
      <c r="R168" s="59">
        <f t="shared" si="109"/>
        <v>293.33333333333894</v>
      </c>
      <c r="S168" s="59">
        <f ca="1">AVERAGE(OFFSET($R$3,0,0,'Données projet'!$E$9+1,1))-AVERAGE(OFFSET($H$3,0,0,'Données projet'!$E$9+1,1))</f>
        <v>234.10156575337737</v>
      </c>
      <c r="T168" s="59">
        <f t="shared" si="142"/>
        <v>285.68635263076646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31.444907507488452</v>
      </c>
      <c r="AA168" s="21">
        <f>EXP(-LN(2)/25)*AA167+(1-EXP(-LN(2)/25))/(LN(2)/25)*Calculateur!V168*Calculateur!X168*VLOOKUP('Données projet'!$B$9,Paramètres!$A$1:$I$89,3,0)*0.475*44/12</f>
        <v>8.8316438424326815</v>
      </c>
      <c r="AB168" s="21">
        <f>EXP(-LN(2)/2)*AB167+(1-EXP(-LN(2)/2))/(LN(2)/2)*V168*Y168*VLOOKUP('Données projet'!$B$9,Paramètres!$A$1:$I$89,3,0)*0.475*44/12</f>
        <v>2.0798651137138656E-19</v>
      </c>
      <c r="AC168" s="22">
        <f t="shared" si="163"/>
        <v>40.276551349921135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0</v>
      </c>
      <c r="AJ168" s="13">
        <f>AI168*VLOOKUP('Données projet'!$B$10,Paramètres!$A$1:$I$89,3,0)*VLOOKUP('Données projet'!$B$10,Paramètres!$A$1:$I$89,5,0)</f>
        <v>0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179.44051550872138</v>
      </c>
      <c r="AO168" s="59">
        <f t="shared" si="144"/>
        <v>272.9500808380069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10.413641307970254</v>
      </c>
      <c r="AV168" s="21">
        <f>EXP(-LN(2)/25)*AV167+(1-EXP(-LN(2)/25))/(LN(2)/25)*Calculateur!AQ168*Calculateur!AS168*VLOOKUP('Données projet'!$B$10,Paramètres!$A$1:$I$89,3,0)*0.475*44/12</f>
        <v>7.8683527931273041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18.28199410109756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-1.1368683772161603E-13</v>
      </c>
      <c r="BE168" s="13">
        <f>BD168*VLOOKUP('Données projet'!$B$11,Paramètres!$A$1:$I$89,3,0)*VLOOKUP('Données projet'!$B$11,Paramètres!$A$1:$I$89,5,0)</f>
        <v>-6.3550942286383367E-14</v>
      </c>
      <c r="BF168" s="13" t="e">
        <f t="shared" si="167"/>
        <v>#NUM!</v>
      </c>
      <c r="BG168" s="20" t="e">
        <f t="shared" si="168"/>
        <v>#NUM!</v>
      </c>
      <c r="BH168" s="59" t="e">
        <f t="shared" si="116"/>
        <v>#NUM!</v>
      </c>
      <c r="BI168" s="59">
        <f ca="1">AVERAGE(OFFSET($BH$3,0,0,'Données projet'!$E$11+1,1))-AVERAGE(OFFSET($H$3,0,0,'Données projet'!$E$11+1,1))</f>
        <v>278.5296012747549</v>
      </c>
      <c r="BJ168" s="59">
        <f t="shared" si="146"/>
        <v>370.55343097937077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25.661085350812321</v>
      </c>
      <c r="BQ168" s="21">
        <f>EXP(-LN(2)/25)*BQ167+(1-EXP(-LN(2)/25))/(LN(2)/25)*Calculateur!BL168*Calculateur!BN168*VLOOKUP('Données projet'!$B$11,Paramètres!$A$1:$I$89,3,0)*0.475*44/12</f>
        <v>2.7286536100841094</v>
      </c>
      <c r="BR168" s="21">
        <f>EXP(-LN(2)/2)*BR167+(1-EXP(-LN(2)/2))/(LN(2)/2)*BL168*BO168*VLOOKUP('Données projet'!$B$11,Paramètres!$A$1:$I$89,3,0)*0.475*44/12</f>
        <v>9.4816665641463053E-16</v>
      </c>
      <c r="BS168" s="22">
        <f t="shared" si="169"/>
        <v>28.38973896089643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266.99999999999983</v>
      </c>
      <c r="BZ168" s="13">
        <f>BY168*VLOOKUP('Données projet'!$B$12,Paramètres!$A$1:$I$89,3,0)*VLOOKUP('Données projet'!$B$12,Paramètres!$A$1:$I$89,5,0)</f>
        <v>212.42519999999985</v>
      </c>
      <c r="CA168" s="13">
        <f t="shared" si="170"/>
        <v>52.465198231787184</v>
      </c>
      <c r="CB168" s="20">
        <f t="shared" si="171"/>
        <v>461.35077692036231</v>
      </c>
      <c r="CC168" s="59">
        <f t="shared" si="119"/>
        <v>754.68411025369562</v>
      </c>
      <c r="CD168" s="59">
        <f ca="1">AVERAGE(OFFSET($CC$3,0,0,'Données projet'!$E$12+1,1))-AVERAGE(OFFSET($H$3,0,0,'Données projet'!$E$12+1,1))</f>
        <v>225.2323446080772</v>
      </c>
      <c r="CE168" s="59">
        <f t="shared" si="148"/>
        <v>222.29030402759292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5.3479675250674834</v>
      </c>
      <c r="CL168" s="21">
        <f>EXP(-LN(2)/25)*CL167+(1-EXP(-LN(2)/25))/(LN(2)/25)*Calculateur!CG168*Calculateur!CI168*VLOOKUP('Données projet'!$B$12,Paramètres!$A$1:$I$89,3,0)*0.475*44/12</f>
        <v>0.7890176469247776</v>
      </c>
      <c r="CM168" s="21">
        <f>EXP(-LN(2)/2)*CM167+(1-EXP(-LN(2)/2))/(LN(2)/2)*CG168*CJ168*VLOOKUP('Données projet'!$B$12,Paramètres!$A$1:$I$89,3,0)*0.475*44/12</f>
        <v>0</v>
      </c>
      <c r="CN168" s="22">
        <f t="shared" si="172"/>
        <v>6.1369851719922615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5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79.845999999999989</v>
      </c>
      <c r="D169" s="11">
        <f t="shared" si="140"/>
        <v>22.099526106492764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786.94792082204947</v>
      </c>
      <c r="H169" s="67">
        <f t="shared" si="110"/>
        <v>470.88845796880821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4.5474735088646412E-13</v>
      </c>
      <c r="O169" s="13">
        <f>N169*VLOOKUP('Données projet'!$B$9,Paramètres!$A$1:$I$89,3,0)*VLOOKUP('Données projet'!$B$9,Paramètres!$A$1:$I$89,5,0)</f>
        <v>2.1873347577638923E-13</v>
      </c>
      <c r="P169" s="13">
        <f t="shared" si="141"/>
        <v>2.999861355695181E-12</v>
      </c>
      <c r="Q169" s="20">
        <f t="shared" si="162"/>
        <v>5.6057193314796512E-12</v>
      </c>
      <c r="R169" s="59">
        <f t="shared" si="109"/>
        <v>293.33333333333894</v>
      </c>
      <c r="S169" s="59">
        <f ca="1">AVERAGE(OFFSET($R$3,0,0,'Données projet'!$E$9+1,1))-AVERAGE(OFFSET($H$3,0,0,'Données projet'!$E$9+1,1))</f>
        <v>234.10156575337737</v>
      </c>
      <c r="T169" s="59">
        <f t="shared" si="142"/>
        <v>285.68635263076646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30.828292050766365</v>
      </c>
      <c r="AA169" s="21">
        <f>EXP(-LN(2)/25)*AA168+(1-EXP(-LN(2)/25))/(LN(2)/25)*Calculateur!V169*Calculateur!X169*VLOOKUP('Données projet'!$B$9,Paramètres!$A$1:$I$89,3,0)*0.475*44/12</f>
        <v>8.590142077125396</v>
      </c>
      <c r="AB169" s="21">
        <f>EXP(-LN(2)/2)*AB168+(1-EXP(-LN(2)/2))/(LN(2)/2)*V169*Y169*VLOOKUP('Données projet'!$B$9,Paramètres!$A$1:$I$89,3,0)*0.475*44/12</f>
        <v>1.4706867258604041E-19</v>
      </c>
      <c r="AC169" s="22">
        <f t="shared" si="163"/>
        <v>39.418434127891757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0</v>
      </c>
      <c r="AJ169" s="13">
        <f>AI169*VLOOKUP('Données projet'!$B$10,Paramètres!$A$1:$I$89,3,0)*VLOOKUP('Données projet'!$B$10,Paramètres!$A$1:$I$89,5,0)</f>
        <v>0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179.44051550872138</v>
      </c>
      <c r="AO169" s="59">
        <f t="shared" si="144"/>
        <v>272.9500808380069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10.209436153614977</v>
      </c>
      <c r="AV169" s="21">
        <f>EXP(-LN(2)/25)*AV168+(1-EXP(-LN(2)/25))/(LN(2)/25)*Calculateur!AQ169*Calculateur!AS169*VLOOKUP('Données projet'!$B$10,Paramètres!$A$1:$I$89,3,0)*0.475*44/12</f>
        <v>7.6531922722205481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17.862628425835524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-1.1368683772161603E-13</v>
      </c>
      <c r="BE169" s="13">
        <f>BD169*VLOOKUP('Données projet'!$B$11,Paramètres!$A$1:$I$89,3,0)*VLOOKUP('Données projet'!$B$11,Paramètres!$A$1:$I$89,5,0)</f>
        <v>-6.3550942286383367E-14</v>
      </c>
      <c r="BF169" s="13" t="e">
        <f t="shared" si="167"/>
        <v>#NUM!</v>
      </c>
      <c r="BG169" s="20" t="e">
        <f t="shared" si="168"/>
        <v>#NUM!</v>
      </c>
      <c r="BH169" s="59" t="e">
        <f t="shared" si="116"/>
        <v>#NUM!</v>
      </c>
      <c r="BI169" s="59">
        <f ca="1">AVERAGE(OFFSET($BH$3,0,0,'Données projet'!$E$11+1,1))-AVERAGE(OFFSET($H$3,0,0,'Données projet'!$E$11+1,1))</f>
        <v>278.5296012747549</v>
      </c>
      <c r="BJ169" s="59">
        <f t="shared" si="146"/>
        <v>370.55343097937077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25.157887118799476</v>
      </c>
      <c r="BQ169" s="21">
        <f>EXP(-LN(2)/25)*BQ168+(1-EXP(-LN(2)/25))/(LN(2)/25)*Calculateur!BL169*Calculateur!BN169*VLOOKUP('Données projet'!$B$11,Paramètres!$A$1:$I$89,3,0)*0.475*44/12</f>
        <v>2.6540384336227025</v>
      </c>
      <c r="BR169" s="21">
        <f>EXP(-LN(2)/2)*BR168+(1-EXP(-LN(2)/2))/(LN(2)/2)*BL169*BO169*VLOOKUP('Données projet'!$B$11,Paramètres!$A$1:$I$89,3,0)*0.475*44/12</f>
        <v>6.7045507244576054E-16</v>
      </c>
      <c r="BS169" s="22">
        <f t="shared" si="169"/>
        <v>27.811925552422178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266.99999999999983</v>
      </c>
      <c r="BZ169" s="13">
        <f>BY169*VLOOKUP('Données projet'!$B$12,Paramètres!$A$1:$I$89,3,0)*VLOOKUP('Données projet'!$B$12,Paramètres!$A$1:$I$89,5,0)</f>
        <v>212.42519999999985</v>
      </c>
      <c r="CA169" s="13">
        <f t="shared" si="170"/>
        <v>52.465198231787184</v>
      </c>
      <c r="CB169" s="20">
        <f t="shared" si="171"/>
        <v>461.35077692036231</v>
      </c>
      <c r="CC169" s="59">
        <f t="shared" si="119"/>
        <v>754.68411025369562</v>
      </c>
      <c r="CD169" s="59">
        <f ca="1">AVERAGE(OFFSET($CC$3,0,0,'Données projet'!$E$12+1,1))-AVERAGE(OFFSET($H$3,0,0,'Données projet'!$E$12+1,1))</f>
        <v>225.2323446080772</v>
      </c>
      <c r="CE169" s="59">
        <f t="shared" si="148"/>
        <v>222.29030402759292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5.2430971438390106</v>
      </c>
      <c r="CL169" s="21">
        <f>EXP(-LN(2)/25)*CL168+(1-EXP(-LN(2)/25))/(LN(2)/25)*Calculateur!CG169*Calculateur!CI169*VLOOKUP('Données projet'!$B$12,Paramètres!$A$1:$I$89,3,0)*0.475*44/12</f>
        <v>0.76744191787698479</v>
      </c>
      <c r="CM169" s="21">
        <f>EXP(-LN(2)/2)*CM168+(1-EXP(-LN(2)/2))/(LN(2)/2)*CG169*CJ169*VLOOKUP('Données projet'!$B$12,Paramètres!$A$1:$I$89,3,0)*0.475*44/12</f>
        <v>0</v>
      </c>
      <c r="CN169" s="22">
        <f t="shared" si="172"/>
        <v>6.0105390617159955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5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80.326999999999984</v>
      </c>
      <c r="D170" s="11">
        <f t="shared" si="140"/>
        <v>22.217118337239182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791.56863277868831</v>
      </c>
      <c r="H170" s="67">
        <f t="shared" si="110"/>
        <v>471.93100610402485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4.5474735088646412E-13</v>
      </c>
      <c r="O170" s="13">
        <f>N170*VLOOKUP('Données projet'!$B$9,Paramètres!$A$1:$I$89,3,0)*VLOOKUP('Données projet'!$B$9,Paramètres!$A$1:$I$89,5,0)</f>
        <v>2.1873347577638923E-13</v>
      </c>
      <c r="P170" s="13">
        <f t="shared" si="141"/>
        <v>2.999861355695181E-12</v>
      </c>
      <c r="Q170" s="20">
        <f t="shared" si="162"/>
        <v>5.6057193314796512E-12</v>
      </c>
      <c r="R170" s="59">
        <f t="shared" si="109"/>
        <v>293.33333333333894</v>
      </c>
      <c r="S170" s="59">
        <f ca="1">AVERAGE(OFFSET($R$3,0,0,'Données projet'!$E$9+1,1))-AVERAGE(OFFSET($H$3,0,0,'Données projet'!$E$9+1,1))</f>
        <v>234.10156575337737</v>
      </c>
      <c r="T170" s="59">
        <f t="shared" si="142"/>
        <v>285.68635263076646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30.223768047052307</v>
      </c>
      <c r="AA170" s="21">
        <f>EXP(-LN(2)/25)*AA169+(1-EXP(-LN(2)/25))/(LN(2)/25)*Calculateur!V170*Calculateur!X170*VLOOKUP('Données projet'!$B$9,Paramètres!$A$1:$I$89,3,0)*0.475*44/12</f>
        <v>8.3552441902904633</v>
      </c>
      <c r="AB170" s="21">
        <f>EXP(-LN(2)/2)*AB169+(1-EXP(-LN(2)/2))/(LN(2)/2)*V170*Y170*VLOOKUP('Données projet'!$B$9,Paramètres!$A$1:$I$89,3,0)*0.475*44/12</f>
        <v>1.0399325568569328E-19</v>
      </c>
      <c r="AC170" s="22">
        <f t="shared" si="163"/>
        <v>38.579012237342766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0</v>
      </c>
      <c r="AJ170" s="13">
        <f>AI170*VLOOKUP('Données projet'!$B$10,Paramètres!$A$1:$I$89,3,0)*VLOOKUP('Données projet'!$B$10,Paramètres!$A$1:$I$89,5,0)</f>
        <v>0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179.44051550872138</v>
      </c>
      <c r="AO170" s="59">
        <f t="shared" si="144"/>
        <v>272.9500808380069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10.009235337783762</v>
      </c>
      <c r="AV170" s="21">
        <f>EXP(-LN(2)/25)*AV169+(1-EXP(-LN(2)/25))/(LN(2)/25)*Calculateur!AQ170*Calculateur!AS170*VLOOKUP('Données projet'!$B$10,Paramètres!$A$1:$I$89,3,0)*0.475*44/12</f>
        <v>7.4439153270727871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17.453150664856551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-1.1368683772161603E-13</v>
      </c>
      <c r="BE170" s="13">
        <f>BD170*VLOOKUP('Données projet'!$B$11,Paramètres!$A$1:$I$89,3,0)*VLOOKUP('Données projet'!$B$11,Paramètres!$A$1:$I$89,5,0)</f>
        <v>-6.3550942286383367E-14</v>
      </c>
      <c r="BF170" s="13" t="e">
        <f t="shared" si="167"/>
        <v>#NUM!</v>
      </c>
      <c r="BG170" s="20" t="e">
        <f t="shared" si="168"/>
        <v>#NUM!</v>
      </c>
      <c r="BH170" s="59" t="e">
        <f t="shared" si="116"/>
        <v>#NUM!</v>
      </c>
      <c r="BI170" s="59">
        <f ca="1">AVERAGE(OFFSET($BH$3,0,0,'Données projet'!$E$11+1,1))-AVERAGE(OFFSET($H$3,0,0,'Données projet'!$E$11+1,1))</f>
        <v>278.5296012747549</v>
      </c>
      <c r="BJ170" s="59">
        <f t="shared" si="146"/>
        <v>370.55343097937077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24.664556297195787</v>
      </c>
      <c r="BQ170" s="21">
        <f>EXP(-LN(2)/25)*BQ169+(1-EXP(-LN(2)/25))/(LN(2)/25)*Calculateur!BL170*Calculateur!BN170*VLOOKUP('Données projet'!$B$11,Paramètres!$A$1:$I$89,3,0)*0.475*44/12</f>
        <v>2.5814636130854742</v>
      </c>
      <c r="BR170" s="21">
        <f>EXP(-LN(2)/2)*BR169+(1-EXP(-LN(2)/2))/(LN(2)/2)*BL170*BO170*VLOOKUP('Données projet'!$B$11,Paramètres!$A$1:$I$89,3,0)*0.475*44/12</f>
        <v>4.7408332820731527E-16</v>
      </c>
      <c r="BS170" s="22">
        <f t="shared" si="169"/>
        <v>27.246019910281262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266.99999999999983</v>
      </c>
      <c r="BZ170" s="13">
        <f>BY170*VLOOKUP('Données projet'!$B$12,Paramètres!$A$1:$I$89,3,0)*VLOOKUP('Données projet'!$B$12,Paramètres!$A$1:$I$89,5,0)</f>
        <v>212.42519999999985</v>
      </c>
      <c r="CA170" s="13">
        <f t="shared" si="170"/>
        <v>52.465198231787184</v>
      </c>
      <c r="CB170" s="20">
        <f t="shared" si="171"/>
        <v>461.35077692036231</v>
      </c>
      <c r="CC170" s="59">
        <f t="shared" si="119"/>
        <v>754.68411025369562</v>
      </c>
      <c r="CD170" s="59">
        <f ca="1">AVERAGE(OFFSET($CC$3,0,0,'Données projet'!$E$12+1,1))-AVERAGE(OFFSET($H$3,0,0,'Données projet'!$E$12+1,1))</f>
        <v>225.2323446080772</v>
      </c>
      <c r="CE170" s="59">
        <f t="shared" si="148"/>
        <v>222.29030402759292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5.1402832068218114</v>
      </c>
      <c r="CL170" s="21">
        <f>EXP(-LN(2)/25)*CL169+(1-EXP(-LN(2)/25))/(LN(2)/25)*Calculateur!CG170*Calculateur!CI170*VLOOKUP('Données projet'!$B$12,Paramètres!$A$1:$I$89,3,0)*0.475*44/12</f>
        <v>0.74645617827462218</v>
      </c>
      <c r="CM170" s="21">
        <f>EXP(-LN(2)/2)*CM169+(1-EXP(-LN(2)/2))/(LN(2)/2)*CG170*CJ170*VLOOKUP('Données projet'!$B$12,Paramètres!$A$1:$I$89,3,0)*0.475*44/12</f>
        <v>0</v>
      </c>
      <c r="CN170" s="22">
        <f t="shared" si="172"/>
        <v>5.8867393850964334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5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80.807999999999979</v>
      </c>
      <c r="D171" s="11">
        <f t="shared" si="140"/>
        <v>22.334628633536209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796.18871225887597</v>
      </c>
      <c r="H171" s="67">
        <f t="shared" si="110"/>
        <v>472.97341153674216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4.5474735088646412E-13</v>
      </c>
      <c r="O171" s="13">
        <f>N171*VLOOKUP('Données projet'!$B$9,Paramètres!$A$1:$I$89,3,0)*VLOOKUP('Données projet'!$B$9,Paramètres!$A$1:$I$89,5,0)</f>
        <v>2.1873347577638923E-13</v>
      </c>
      <c r="P171" s="13">
        <f t="shared" si="141"/>
        <v>2.999861355695181E-12</v>
      </c>
      <c r="Q171" s="20">
        <f t="shared" si="162"/>
        <v>5.6057193314796512E-12</v>
      </c>
      <c r="R171" s="59">
        <f t="shared" si="109"/>
        <v>293.33333333333894</v>
      </c>
      <c r="S171" s="59">
        <f ca="1">AVERAGE(OFFSET($R$3,0,0,'Données projet'!$E$9+1,1))-AVERAGE(OFFSET($H$3,0,0,'Données projet'!$E$9+1,1))</f>
        <v>234.10156575337737</v>
      </c>
      <c r="T171" s="59">
        <f t="shared" si="142"/>
        <v>285.68635263076646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29.631098390327846</v>
      </c>
      <c r="AA171" s="21">
        <f>EXP(-LN(2)/25)*AA170+(1-EXP(-LN(2)/25))/(LN(2)/25)*Calculateur!V171*Calculateur!X171*VLOOKUP('Données projet'!$B$9,Paramètres!$A$1:$I$89,3,0)*0.475*44/12</f>
        <v>8.126769598523774</v>
      </c>
      <c r="AB171" s="21">
        <f>EXP(-LN(2)/2)*AB170+(1-EXP(-LN(2)/2))/(LN(2)/2)*V171*Y171*VLOOKUP('Données projet'!$B$9,Paramètres!$A$1:$I$89,3,0)*0.475*44/12</f>
        <v>7.3534336293020205E-20</v>
      </c>
      <c r="AC171" s="22">
        <f t="shared" si="163"/>
        <v>37.757867988851622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0</v>
      </c>
      <c r="AJ171" s="13">
        <f>AI171*VLOOKUP('Données projet'!$B$10,Paramètres!$A$1:$I$89,3,0)*VLOOKUP('Données projet'!$B$10,Paramètres!$A$1:$I$89,5,0)</f>
        <v>0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179.44051550872138</v>
      </c>
      <c r="AO171" s="59">
        <f t="shared" si="144"/>
        <v>272.9500808380069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9.8129603378405577</v>
      </c>
      <c r="AV171" s="21">
        <f>EXP(-LN(2)/25)*AV170+(1-EXP(-LN(2)/25))/(LN(2)/25)*Calculateur!AQ171*Calculateur!AS171*VLOOKUP('Données projet'!$B$10,Paramètres!$A$1:$I$89,3,0)*0.475*44/12</f>
        <v>7.2403610709954878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17.053321408836045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-1.1368683772161603E-13</v>
      </c>
      <c r="BE171" s="13">
        <f>BD171*VLOOKUP('Données projet'!$B$11,Paramètres!$A$1:$I$89,3,0)*VLOOKUP('Données projet'!$B$11,Paramètres!$A$1:$I$89,5,0)</f>
        <v>-6.3550942286383367E-14</v>
      </c>
      <c r="BF171" s="13" t="e">
        <f t="shared" si="167"/>
        <v>#NUM!</v>
      </c>
      <c r="BG171" s="20" t="e">
        <f t="shared" si="168"/>
        <v>#NUM!</v>
      </c>
      <c r="BH171" s="59" t="e">
        <f t="shared" si="116"/>
        <v>#NUM!</v>
      </c>
      <c r="BI171" s="59">
        <f ca="1">AVERAGE(OFFSET($BH$3,0,0,'Données projet'!$E$11+1,1))-AVERAGE(OFFSET($H$3,0,0,'Données projet'!$E$11+1,1))</f>
        <v>278.5296012747549</v>
      </c>
      <c r="BJ171" s="59">
        <f t="shared" si="146"/>
        <v>370.55343097937077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24.180899392101658</v>
      </c>
      <c r="BQ171" s="21">
        <f>EXP(-LN(2)/25)*BQ170+(1-EXP(-LN(2)/25))/(LN(2)/25)*Calculateur!BL171*Calculateur!BN171*VLOOKUP('Données projet'!$B$11,Paramètres!$A$1:$I$89,3,0)*0.475*44/12</f>
        <v>2.5108733548323805</v>
      </c>
      <c r="BR171" s="21">
        <f>EXP(-LN(2)/2)*BR170+(1-EXP(-LN(2)/2))/(LN(2)/2)*BL171*BO171*VLOOKUP('Données projet'!$B$11,Paramètres!$A$1:$I$89,3,0)*0.475*44/12</f>
        <v>3.3522753622288027E-16</v>
      </c>
      <c r="BS171" s="22">
        <f t="shared" si="169"/>
        <v>26.691772746934038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266.99999999999983</v>
      </c>
      <c r="BZ171" s="13">
        <f>BY171*VLOOKUP('Données projet'!$B$12,Paramètres!$A$1:$I$89,3,0)*VLOOKUP('Données projet'!$B$12,Paramètres!$A$1:$I$89,5,0)</f>
        <v>212.42519999999985</v>
      </c>
      <c r="CA171" s="13">
        <f t="shared" si="170"/>
        <v>52.465198231787184</v>
      </c>
      <c r="CB171" s="20">
        <f t="shared" si="171"/>
        <v>461.35077692036231</v>
      </c>
      <c r="CC171" s="59">
        <f t="shared" si="119"/>
        <v>754.68411025369562</v>
      </c>
      <c r="CD171" s="59">
        <f ca="1">AVERAGE(OFFSET($CC$3,0,0,'Données projet'!$E$12+1,1))-AVERAGE(OFFSET($H$3,0,0,'Données projet'!$E$12+1,1))</f>
        <v>225.2323446080772</v>
      </c>
      <c r="CE171" s="59">
        <f t="shared" si="148"/>
        <v>222.29030402759292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5.0394853883992106</v>
      </c>
      <c r="CL171" s="21">
        <f>EXP(-LN(2)/25)*CL170+(1-EXP(-LN(2)/25))/(LN(2)/25)*Calculateur!CG171*Calculateur!CI171*VLOOKUP('Données projet'!$B$12,Paramètres!$A$1:$I$89,3,0)*0.475*44/12</f>
        <v>0.72604429482527832</v>
      </c>
      <c r="CM171" s="21">
        <f>EXP(-LN(2)/2)*CM170+(1-EXP(-LN(2)/2))/(LN(2)/2)*CG171*CJ171*VLOOKUP('Données projet'!$B$12,Paramètres!$A$1:$I$89,3,0)*0.475*44/12</f>
        <v>0</v>
      </c>
      <c r="CN171" s="22">
        <f t="shared" si="172"/>
        <v>5.7655296832244893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5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81.288999999999973</v>
      </c>
      <c r="D172" s="11">
        <f t="shared" si="140"/>
        <v>22.452057539675593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800.80816346416225</v>
      </c>
      <c r="H172" s="67">
        <f t="shared" si="110"/>
        <v>474.0156752149349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4.5474735088646412E-13</v>
      </c>
      <c r="O172" s="13">
        <f>N172*VLOOKUP('Données projet'!$B$9,Paramètres!$A$1:$I$89,3,0)*VLOOKUP('Données projet'!$B$9,Paramètres!$A$1:$I$89,5,0)</f>
        <v>2.1873347577638923E-13</v>
      </c>
      <c r="P172" s="13">
        <f t="shared" si="141"/>
        <v>2.999861355695181E-12</v>
      </c>
      <c r="Q172" s="20">
        <f t="shared" si="162"/>
        <v>5.6057193314796512E-12</v>
      </c>
      <c r="R172" s="59">
        <f t="shared" si="109"/>
        <v>293.33333333333894</v>
      </c>
      <c r="S172" s="59">
        <f ca="1">AVERAGE(OFFSET($R$3,0,0,'Données projet'!$E$9+1,1))-AVERAGE(OFFSET($H$3,0,0,'Données projet'!$E$9+1,1))</f>
        <v>234.10156575337737</v>
      </c>
      <c r="T172" s="59">
        <f t="shared" si="142"/>
        <v>285.68635263076646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29.050050624078956</v>
      </c>
      <c r="AA172" s="21">
        <f>EXP(-LN(2)/25)*AA171+(1-EXP(-LN(2)/25))/(LN(2)/25)*Calculateur!V172*Calculateur!X172*VLOOKUP('Données projet'!$B$9,Paramètres!$A$1:$I$89,3,0)*0.475*44/12</f>
        <v>7.9045426564839021</v>
      </c>
      <c r="AB172" s="21">
        <f>EXP(-LN(2)/2)*AB171+(1-EXP(-LN(2)/2))/(LN(2)/2)*V172*Y172*VLOOKUP('Données projet'!$B$9,Paramètres!$A$1:$I$89,3,0)*0.475*44/12</f>
        <v>5.1996627842846639E-20</v>
      </c>
      <c r="AC172" s="22">
        <f t="shared" si="163"/>
        <v>36.954593280562861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0</v>
      </c>
      <c r="AJ172" s="13">
        <f>AI172*VLOOKUP('Données projet'!$B$10,Paramètres!$A$1:$I$89,3,0)*VLOOKUP('Données projet'!$B$10,Paramètres!$A$1:$I$89,5,0)</f>
        <v>0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179.44051550872138</v>
      </c>
      <c r="AO172" s="59">
        <f t="shared" si="144"/>
        <v>272.9500808380069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9.6205341709303092</v>
      </c>
      <c r="AV172" s="21">
        <f>EXP(-LN(2)/25)*AV171+(1-EXP(-LN(2)/25))/(LN(2)/25)*Calculateur!AQ172*Calculateur!AS172*VLOOKUP('Données projet'!$B$10,Paramètres!$A$1:$I$89,3,0)*0.475*44/12</f>
        <v>7.0423730167550751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16.662907187685384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-1.1368683772161603E-13</v>
      </c>
      <c r="BE172" s="13">
        <f>BD172*VLOOKUP('Données projet'!$B$11,Paramètres!$A$1:$I$89,3,0)*VLOOKUP('Données projet'!$B$11,Paramètres!$A$1:$I$89,5,0)</f>
        <v>-6.3550942286383367E-14</v>
      </c>
      <c r="BF172" s="13" t="e">
        <f t="shared" si="167"/>
        <v>#NUM!</v>
      </c>
      <c r="BG172" s="20" t="e">
        <f t="shared" si="168"/>
        <v>#NUM!</v>
      </c>
      <c r="BH172" s="59" t="e">
        <f t="shared" si="116"/>
        <v>#NUM!</v>
      </c>
      <c r="BI172" s="59">
        <f ca="1">AVERAGE(OFFSET($BH$3,0,0,'Données projet'!$E$11+1,1))-AVERAGE(OFFSET($H$3,0,0,'Données projet'!$E$11+1,1))</f>
        <v>278.5296012747549</v>
      </c>
      <c r="BJ172" s="59">
        <f t="shared" si="146"/>
        <v>370.55343097937077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23.706726703914843</v>
      </c>
      <c r="BQ172" s="21">
        <f>EXP(-LN(2)/25)*BQ171+(1-EXP(-LN(2)/25))/(LN(2)/25)*Calculateur!BL172*Calculateur!BN172*VLOOKUP('Données projet'!$B$11,Paramètres!$A$1:$I$89,3,0)*0.475*44/12</f>
        <v>2.4422133909033978</v>
      </c>
      <c r="BR172" s="21">
        <f>EXP(-LN(2)/2)*BR171+(1-EXP(-LN(2)/2))/(LN(2)/2)*BL172*BO172*VLOOKUP('Données projet'!$B$11,Paramètres!$A$1:$I$89,3,0)*0.475*44/12</f>
        <v>2.3704166410365763E-16</v>
      </c>
      <c r="BS172" s="22">
        <f t="shared" si="169"/>
        <v>26.14894009481824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266.99999999999983</v>
      </c>
      <c r="BZ172" s="13">
        <f>BY172*VLOOKUP('Données projet'!$B$12,Paramètres!$A$1:$I$89,3,0)*VLOOKUP('Données projet'!$B$12,Paramètres!$A$1:$I$89,5,0)</f>
        <v>212.42519999999985</v>
      </c>
      <c r="CA172" s="13">
        <f t="shared" si="170"/>
        <v>52.465198231787184</v>
      </c>
      <c r="CB172" s="20">
        <f t="shared" si="171"/>
        <v>461.35077692036231</v>
      </c>
      <c r="CC172" s="59">
        <f t="shared" si="119"/>
        <v>754.68411025369562</v>
      </c>
      <c r="CD172" s="59">
        <f ca="1">AVERAGE(OFFSET($CC$3,0,0,'Données projet'!$E$12+1,1))-AVERAGE(OFFSET($H$3,0,0,'Données projet'!$E$12+1,1))</f>
        <v>225.2323446080772</v>
      </c>
      <c r="CE172" s="59">
        <f t="shared" si="148"/>
        <v>222.29030402759292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4.9406641537152778</v>
      </c>
      <c r="CL172" s="21">
        <f>EXP(-LN(2)/25)*CL171+(1-EXP(-LN(2)/25))/(LN(2)/25)*Calculateur!CG172*Calculateur!CI172*VLOOKUP('Données projet'!$B$12,Paramètres!$A$1:$I$89,3,0)*0.475*44/12</f>
        <v>0.70619057540227104</v>
      </c>
      <c r="CM172" s="21">
        <f>EXP(-LN(2)/2)*CM171+(1-EXP(-LN(2)/2))/(LN(2)/2)*CG172*CJ172*VLOOKUP('Données projet'!$B$12,Paramètres!$A$1:$I$89,3,0)*0.475*44/12</f>
        <v>0</v>
      </c>
      <c r="CN172" s="22">
        <f t="shared" si="172"/>
        <v>5.6468547291175488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5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81.769999999999968</v>
      </c>
      <c r="D173" s="11">
        <f t="shared" si="140"/>
        <v>22.569405593135201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805.42699054349953</v>
      </c>
      <c r="H173" s="67">
        <f t="shared" si="110"/>
        <v>475.05779807471038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4.5474735088646412E-13</v>
      </c>
      <c r="O173" s="13">
        <f>N173*VLOOKUP('Données projet'!$B$9,Paramètres!$A$1:$I$89,3,0)*VLOOKUP('Données projet'!$B$9,Paramètres!$A$1:$I$89,5,0)</f>
        <v>2.1873347577638923E-13</v>
      </c>
      <c r="P173" s="13">
        <f t="shared" si="141"/>
        <v>2.999861355695181E-12</v>
      </c>
      <c r="Q173" s="20">
        <f t="shared" si="162"/>
        <v>5.6057193314796512E-12</v>
      </c>
      <c r="R173" s="59">
        <f t="shared" si="109"/>
        <v>293.33333333333894</v>
      </c>
      <c r="S173" s="59">
        <f ca="1">AVERAGE(OFFSET($R$3,0,0,'Données projet'!$E$9+1,1))-AVERAGE(OFFSET($H$3,0,0,'Données projet'!$E$9+1,1))</f>
        <v>234.10156575337737</v>
      </c>
      <c r="T173" s="59">
        <f t="shared" si="142"/>
        <v>285.68635263076646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28.480396850122066</v>
      </c>
      <c r="AA173" s="21">
        <f>EXP(-LN(2)/25)*AA172+(1-EXP(-LN(2)/25))/(LN(2)/25)*Calculateur!V173*Calculateur!X173*VLOOKUP('Données projet'!$B$9,Paramètres!$A$1:$I$89,3,0)*0.475*44/12</f>
        <v>7.6883925218605178</v>
      </c>
      <c r="AB173" s="21">
        <f>EXP(-LN(2)/2)*AB172+(1-EXP(-LN(2)/2))/(LN(2)/2)*V173*Y173*VLOOKUP('Données projet'!$B$9,Paramètres!$A$1:$I$89,3,0)*0.475*44/12</f>
        <v>3.6767168146510103E-20</v>
      </c>
      <c r="AC173" s="22">
        <f t="shared" si="163"/>
        <v>36.168789371982584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0</v>
      </c>
      <c r="AJ173" s="13">
        <f>AI173*VLOOKUP('Données projet'!$B$10,Paramètres!$A$1:$I$89,3,0)*VLOOKUP('Données projet'!$B$10,Paramètres!$A$1:$I$89,5,0)</f>
        <v>0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179.44051550872138</v>
      </c>
      <c r="AO173" s="59">
        <f t="shared" si="144"/>
        <v>272.9500808380069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9.4318813637847985</v>
      </c>
      <c r="AV173" s="21">
        <f>EXP(-LN(2)/25)*AV172+(1-EXP(-LN(2)/25))/(LN(2)/25)*Calculateur!AQ173*Calculateur!AS173*VLOOKUP('Données projet'!$B$10,Paramètres!$A$1:$I$89,3,0)*0.475*44/12</f>
        <v>6.8497989562696064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16.281680320054406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-1.1368683772161603E-13</v>
      </c>
      <c r="BE173" s="13">
        <f>BD173*VLOOKUP('Données projet'!$B$11,Paramètres!$A$1:$I$89,3,0)*VLOOKUP('Données projet'!$B$11,Paramètres!$A$1:$I$89,5,0)</f>
        <v>-6.3550942286383367E-14</v>
      </c>
      <c r="BF173" s="13" t="e">
        <f t="shared" si="167"/>
        <v>#NUM!</v>
      </c>
      <c r="BG173" s="20" t="e">
        <f t="shared" si="168"/>
        <v>#NUM!</v>
      </c>
      <c r="BH173" s="59" t="e">
        <f t="shared" si="116"/>
        <v>#NUM!</v>
      </c>
      <c r="BI173" s="59">
        <f ca="1">AVERAGE(OFFSET($BH$3,0,0,'Données projet'!$E$11+1,1))-AVERAGE(OFFSET($H$3,0,0,'Données projet'!$E$11+1,1))</f>
        <v>278.5296012747549</v>
      </c>
      <c r="BJ173" s="59">
        <f t="shared" si="146"/>
        <v>370.55343097937077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23.241852252926588</v>
      </c>
      <c r="BQ173" s="21">
        <f>EXP(-LN(2)/25)*BQ172+(1-EXP(-LN(2)/25))/(LN(2)/25)*Calculateur!BL173*Calculateur!BN173*VLOOKUP('Données projet'!$B$11,Paramètres!$A$1:$I$89,3,0)*0.475*44/12</f>
        <v>2.3754309372987241</v>
      </c>
      <c r="BR173" s="21">
        <f>EXP(-LN(2)/2)*BR172+(1-EXP(-LN(2)/2))/(LN(2)/2)*BL173*BO173*VLOOKUP('Données projet'!$B$11,Paramètres!$A$1:$I$89,3,0)*0.475*44/12</f>
        <v>1.6761376811144013E-16</v>
      </c>
      <c r="BS173" s="22">
        <f t="shared" si="169"/>
        <v>25.617283190225312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266.99999999999983</v>
      </c>
      <c r="BZ173" s="13">
        <f>BY173*VLOOKUP('Données projet'!$B$12,Paramètres!$A$1:$I$89,3,0)*VLOOKUP('Données projet'!$B$12,Paramètres!$A$1:$I$89,5,0)</f>
        <v>212.42519999999985</v>
      </c>
      <c r="CA173" s="13">
        <f t="shared" si="170"/>
        <v>52.465198231787184</v>
      </c>
      <c r="CB173" s="20">
        <f t="shared" si="171"/>
        <v>461.35077692036231</v>
      </c>
      <c r="CC173" s="59">
        <f t="shared" si="119"/>
        <v>754.68411025369562</v>
      </c>
      <c r="CD173" s="59">
        <f ca="1">AVERAGE(OFFSET($CC$3,0,0,'Données projet'!$E$12+1,1))-AVERAGE(OFFSET($H$3,0,0,'Données projet'!$E$12+1,1))</f>
        <v>225.2323446080772</v>
      </c>
      <c r="CE173" s="59">
        <f t="shared" si="148"/>
        <v>222.29030402759292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4.8437807431684954</v>
      </c>
      <c r="CL173" s="21">
        <f>EXP(-LN(2)/25)*CL172+(1-EXP(-LN(2)/25))/(LN(2)/25)*Calculateur!CG173*Calculateur!CI173*VLOOKUP('Données projet'!$B$12,Paramètres!$A$1:$I$89,3,0)*0.475*44/12</f>
        <v>0.68687975698094761</v>
      </c>
      <c r="CM173" s="21">
        <f>EXP(-LN(2)/2)*CM172+(1-EXP(-LN(2)/2))/(LN(2)/2)*CG173*CJ173*VLOOKUP('Données projet'!$B$12,Paramètres!$A$1:$I$89,3,0)*0.475*44/12</f>
        <v>0</v>
      </c>
      <c r="CN173" s="22">
        <f t="shared" si="172"/>
        <v>5.5306605001494429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5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82.250999999999962</v>
      </c>
      <c r="D174" s="11">
        <f t="shared" si="140"/>
        <v>22.686673324703712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810.04519759420373</v>
      </c>
      <c r="H174" s="67">
        <f t="shared" si="110"/>
        <v>476.0997810405255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4.5474735088646412E-13</v>
      </c>
      <c r="O174" s="13">
        <f>N174*VLOOKUP('Données projet'!$B$9,Paramètres!$A$1:$I$89,3,0)*VLOOKUP('Données projet'!$B$9,Paramètres!$A$1:$I$89,5,0)</f>
        <v>2.1873347577638923E-13</v>
      </c>
      <c r="P174" s="13">
        <f t="shared" si="141"/>
        <v>2.999861355695181E-12</v>
      </c>
      <c r="Q174" s="20">
        <f t="shared" si="162"/>
        <v>5.6057193314796512E-12</v>
      </c>
      <c r="R174" s="59">
        <f t="shared" si="109"/>
        <v>293.33333333333894</v>
      </c>
      <c r="S174" s="59">
        <f ca="1">AVERAGE(OFFSET($R$3,0,0,'Données projet'!$E$9+1,1))-AVERAGE(OFFSET($H$3,0,0,'Données projet'!$E$9+1,1))</f>
        <v>234.10156575337737</v>
      </c>
      <c r="T174" s="59">
        <f t="shared" si="142"/>
        <v>285.68635263076646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27.921913639217976</v>
      </c>
      <c r="AA174" s="21">
        <f>EXP(-LN(2)/25)*AA173+(1-EXP(-LN(2)/25))/(LN(2)/25)*Calculateur!V174*Calculateur!X174*VLOOKUP('Données projet'!$B$9,Paramètres!$A$1:$I$89,3,0)*0.475*44/12</f>
        <v>7.478153024035251</v>
      </c>
      <c r="AB174" s="21">
        <f>EXP(-LN(2)/2)*AB173+(1-EXP(-LN(2)/2))/(LN(2)/2)*V174*Y174*VLOOKUP('Données projet'!$B$9,Paramètres!$A$1:$I$89,3,0)*0.475*44/12</f>
        <v>2.599831392142332E-20</v>
      </c>
      <c r="AC174" s="22">
        <f t="shared" si="163"/>
        <v>35.400066663253227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0</v>
      </c>
      <c r="AJ174" s="13">
        <f>AI174*VLOOKUP('Données projet'!$B$10,Paramètres!$A$1:$I$89,3,0)*VLOOKUP('Données projet'!$B$10,Paramètres!$A$1:$I$89,5,0)</f>
        <v>0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179.44051550872138</v>
      </c>
      <c r="AO174" s="59">
        <f t="shared" si="144"/>
        <v>272.9500808380069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9.2469279231205608</v>
      </c>
      <c r="AV174" s="21">
        <f>EXP(-LN(2)/25)*AV173+(1-EXP(-LN(2)/25))/(LN(2)/25)*Calculateur!AQ174*Calculateur!AS174*VLOOKUP('Données projet'!$B$10,Paramètres!$A$1:$I$89,3,0)*0.475*44/12</f>
        <v>6.6624908435951422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15.909418766715703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-1.1368683772161603E-13</v>
      </c>
      <c r="BE174" s="13">
        <f>BD174*VLOOKUP('Données projet'!$B$11,Paramètres!$A$1:$I$89,3,0)*VLOOKUP('Données projet'!$B$11,Paramètres!$A$1:$I$89,5,0)</f>
        <v>-6.3550942286383367E-14</v>
      </c>
      <c r="BF174" s="13" t="e">
        <f t="shared" si="167"/>
        <v>#NUM!</v>
      </c>
      <c r="BG174" s="20" t="e">
        <f t="shared" si="168"/>
        <v>#NUM!</v>
      </c>
      <c r="BH174" s="59" t="e">
        <f t="shared" si="116"/>
        <v>#NUM!</v>
      </c>
      <c r="BI174" s="59">
        <f ca="1">AVERAGE(OFFSET($BH$3,0,0,'Données projet'!$E$11+1,1))-AVERAGE(OFFSET($H$3,0,0,'Données projet'!$E$11+1,1))</f>
        <v>278.5296012747549</v>
      </c>
      <c r="BJ174" s="59">
        <f t="shared" si="146"/>
        <v>370.55343097937077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22.786093706376796</v>
      </c>
      <c r="BQ174" s="21">
        <f>EXP(-LN(2)/25)*BQ173+(1-EXP(-LN(2)/25))/(LN(2)/25)*Calculateur!BL174*Calculateur!BN174*VLOOKUP('Données projet'!$B$11,Paramètres!$A$1:$I$89,3,0)*0.475*44/12</f>
        <v>2.3104746533998068</v>
      </c>
      <c r="BR174" s="21">
        <f>EXP(-LN(2)/2)*BR173+(1-EXP(-LN(2)/2))/(LN(2)/2)*BL174*BO174*VLOOKUP('Données projet'!$B$11,Paramètres!$A$1:$I$89,3,0)*0.475*44/12</f>
        <v>1.1852083205182882E-16</v>
      </c>
      <c r="BS174" s="22">
        <f t="shared" si="169"/>
        <v>25.096568359776604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266.99999999999983</v>
      </c>
      <c r="BZ174" s="13">
        <f>BY174*VLOOKUP('Données projet'!$B$12,Paramètres!$A$1:$I$89,3,0)*VLOOKUP('Données projet'!$B$12,Paramètres!$A$1:$I$89,5,0)</f>
        <v>212.42519999999985</v>
      </c>
      <c r="CA174" s="13">
        <f t="shared" si="170"/>
        <v>52.465198231787184</v>
      </c>
      <c r="CB174" s="20">
        <f t="shared" si="171"/>
        <v>461.35077692036231</v>
      </c>
      <c r="CC174" s="59">
        <f t="shared" si="119"/>
        <v>754.68411025369562</v>
      </c>
      <c r="CD174" s="59">
        <f ca="1">AVERAGE(OFFSET($CC$3,0,0,'Données projet'!$E$12+1,1))-AVERAGE(OFFSET($H$3,0,0,'Données projet'!$E$12+1,1))</f>
        <v>225.2323446080772</v>
      </c>
      <c r="CE174" s="59">
        <f t="shared" si="148"/>
        <v>222.29030402759292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4.7487971572094905</v>
      </c>
      <c r="CL174" s="21">
        <f>EXP(-LN(2)/25)*CL173+(1-EXP(-LN(2)/25))/(LN(2)/25)*Calculateur!CG174*Calculateur!CI174*VLOOKUP('Données projet'!$B$12,Paramètres!$A$1:$I$89,3,0)*0.475*44/12</f>
        <v>0.6680969939048671</v>
      </c>
      <c r="CM174" s="21">
        <f>EXP(-LN(2)/2)*CM173+(1-EXP(-LN(2)/2))/(LN(2)/2)*CG174*CJ174*VLOOKUP('Données projet'!$B$12,Paramètres!$A$1:$I$89,3,0)*0.475*44/12</f>
        <v>0</v>
      </c>
      <c r="CN174" s="22">
        <f t="shared" si="172"/>
        <v>5.4168941511143576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5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82.731999999999957</v>
      </c>
      <c r="D175" s="11">
        <f t="shared" si="140"/>
        <v>22.803861258602598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814.66278866289701</v>
      </c>
      <c r="H175" s="67">
        <f t="shared" si="110"/>
        <v>477.14162502539943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4.5474735088646412E-13</v>
      </c>
      <c r="O175" s="13">
        <f>N175*VLOOKUP('Données projet'!$B$9,Paramètres!$A$1:$I$89,3,0)*VLOOKUP('Données projet'!$B$9,Paramètres!$A$1:$I$89,5,0)</f>
        <v>2.1873347577638923E-13</v>
      </c>
      <c r="P175" s="13">
        <f t="shared" si="141"/>
        <v>2.999861355695181E-12</v>
      </c>
      <c r="Q175" s="20">
        <f t="shared" si="162"/>
        <v>5.6057193314796512E-12</v>
      </c>
      <c r="R175" s="59">
        <f t="shared" si="109"/>
        <v>293.33333333333894</v>
      </c>
      <c r="S175" s="59">
        <f ca="1">AVERAGE(OFFSET($R$3,0,0,'Données projet'!$E$9+1,1))-AVERAGE(OFFSET($H$3,0,0,'Données projet'!$E$9+1,1))</f>
        <v>234.10156575337737</v>
      </c>
      <c r="T175" s="59">
        <f t="shared" si="142"/>
        <v>285.68635263076646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27.374381943438593</v>
      </c>
      <c r="AA175" s="21">
        <f>EXP(-LN(2)/25)*AA174+(1-EXP(-LN(2)/25))/(LN(2)/25)*Calculateur!V175*Calculateur!X175*VLOOKUP('Données projet'!$B$9,Paramètres!$A$1:$I$89,3,0)*0.475*44/12</f>
        <v>7.2736625363340313</v>
      </c>
      <c r="AB175" s="21">
        <f>EXP(-LN(2)/2)*AB174+(1-EXP(-LN(2)/2))/(LN(2)/2)*V175*Y175*VLOOKUP('Données projet'!$B$9,Paramètres!$A$1:$I$89,3,0)*0.475*44/12</f>
        <v>1.8383584073255051E-20</v>
      </c>
      <c r="AC175" s="22">
        <f t="shared" si="163"/>
        <v>34.648044479772622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0</v>
      </c>
      <c r="AJ175" s="13">
        <f>AI175*VLOOKUP('Données projet'!$B$10,Paramètres!$A$1:$I$89,3,0)*VLOOKUP('Données projet'!$B$10,Paramètres!$A$1:$I$89,5,0)</f>
        <v>0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179.44051550872138</v>
      </c>
      <c r="AO175" s="59">
        <f t="shared" si="144"/>
        <v>272.9500808380069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9.0656013066172889</v>
      </c>
      <c r="AV175" s="21">
        <f>EXP(-LN(2)/25)*AV174+(1-EXP(-LN(2)/25))/(LN(2)/25)*Calculateur!AQ175*Calculateur!AS175*VLOOKUP('Données projet'!$B$10,Paramètres!$A$1:$I$89,3,0)*0.475*44/12</f>
        <v>6.4803046811118667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15.545905987729157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-1.1368683772161603E-13</v>
      </c>
      <c r="BE175" s="13">
        <f>BD175*VLOOKUP('Données projet'!$B$11,Paramètres!$A$1:$I$89,3,0)*VLOOKUP('Données projet'!$B$11,Paramètres!$A$1:$I$89,5,0)</f>
        <v>-6.3550942286383367E-14</v>
      </c>
      <c r="BF175" s="13" t="e">
        <f t="shared" si="167"/>
        <v>#NUM!</v>
      </c>
      <c r="BG175" s="20" t="e">
        <f t="shared" si="168"/>
        <v>#NUM!</v>
      </c>
      <c r="BH175" s="59" t="e">
        <f t="shared" si="116"/>
        <v>#NUM!</v>
      </c>
      <c r="BI175" s="59">
        <f ca="1">AVERAGE(OFFSET($BH$3,0,0,'Données projet'!$E$11+1,1))-AVERAGE(OFFSET($H$3,0,0,'Données projet'!$E$11+1,1))</f>
        <v>278.5296012747549</v>
      </c>
      <c r="BJ175" s="59">
        <f t="shared" si="146"/>
        <v>370.55343097937077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22.339272306939581</v>
      </c>
      <c r="BQ175" s="21">
        <f>EXP(-LN(2)/25)*BQ174+(1-EXP(-LN(2)/25))/(LN(2)/25)*Calculateur!BL175*Calculateur!BN175*VLOOKUP('Données projet'!$B$11,Paramètres!$A$1:$I$89,3,0)*0.475*44/12</f>
        <v>2.2472946025000078</v>
      </c>
      <c r="BR175" s="21">
        <f>EXP(-LN(2)/2)*BR174+(1-EXP(-LN(2)/2))/(LN(2)/2)*BL175*BO175*VLOOKUP('Données projet'!$B$11,Paramètres!$A$1:$I$89,3,0)*0.475*44/12</f>
        <v>8.3806884055720067E-17</v>
      </c>
      <c r="BS175" s="22">
        <f t="shared" si="169"/>
        <v>24.58656690943959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266.99999999999983</v>
      </c>
      <c r="BZ175" s="13">
        <f>BY175*VLOOKUP('Données projet'!$B$12,Paramètres!$A$1:$I$89,3,0)*VLOOKUP('Données projet'!$B$12,Paramètres!$A$1:$I$89,5,0)</f>
        <v>212.42519999999985</v>
      </c>
      <c r="CA175" s="13">
        <f t="shared" si="170"/>
        <v>52.465198231787184</v>
      </c>
      <c r="CB175" s="20">
        <f t="shared" si="171"/>
        <v>461.35077692036231</v>
      </c>
      <c r="CC175" s="59">
        <f t="shared" si="119"/>
        <v>754.68411025369562</v>
      </c>
      <c r="CD175" s="59">
        <f ca="1">AVERAGE(OFFSET($CC$3,0,0,'Données projet'!$E$12+1,1))-AVERAGE(OFFSET($H$3,0,0,'Données projet'!$E$12+1,1))</f>
        <v>225.2323446080772</v>
      </c>
      <c r="CE175" s="59">
        <f t="shared" si="148"/>
        <v>222.29030402759292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4.6556761414368744</v>
      </c>
      <c r="CL175" s="21">
        <f>EXP(-LN(2)/25)*CL174+(1-EXP(-LN(2)/25))/(LN(2)/25)*Calculateur!CG175*Calculateur!CI175*VLOOKUP('Données projet'!$B$12,Paramètres!$A$1:$I$89,3,0)*0.475*44/12</f>
        <v>0.64982784647284453</v>
      </c>
      <c r="CM175" s="21">
        <f>EXP(-LN(2)/2)*CM174+(1-EXP(-LN(2)/2))/(LN(2)/2)*CG175*CJ175*VLOOKUP('Données projet'!$B$12,Paramètres!$A$1:$I$89,3,0)*0.475*44/12</f>
        <v>0</v>
      </c>
      <c r="CN175" s="22">
        <f t="shared" si="172"/>
        <v>5.3055039879097192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5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83.212999999999951</v>
      </c>
      <c r="D176" s="11">
        <f t="shared" si="140"/>
        <v>22.920969912605038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819.27976774642445</v>
      </c>
      <c r="H176" s="67">
        <f t="shared" si="110"/>
        <v>478.18333093112028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4.5474735088646412E-13</v>
      </c>
      <c r="O176" s="13">
        <f>N176*VLOOKUP('Données projet'!$B$9,Paramètres!$A$1:$I$89,3,0)*VLOOKUP('Données projet'!$B$9,Paramètres!$A$1:$I$89,5,0)</f>
        <v>2.1873347577638923E-13</v>
      </c>
      <c r="P176" s="13">
        <f t="shared" si="141"/>
        <v>2.999861355695181E-12</v>
      </c>
      <c r="Q176" s="20">
        <f t="shared" si="162"/>
        <v>5.6057193314796512E-12</v>
      </c>
      <c r="R176" s="59">
        <f t="shared" si="109"/>
        <v>293.33333333333894</v>
      </c>
      <c r="S176" s="59">
        <f ca="1">AVERAGE(OFFSET($R$3,0,0,'Données projet'!$E$9+1,1))-AVERAGE(OFFSET($H$3,0,0,'Données projet'!$E$9+1,1))</f>
        <v>234.10156575337737</v>
      </c>
      <c r="T176" s="59">
        <f t="shared" si="142"/>
        <v>285.68635263076646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26.837587010252083</v>
      </c>
      <c r="AA176" s="21">
        <f>EXP(-LN(2)/25)*AA175+(1-EXP(-LN(2)/25))/(LN(2)/25)*Calculateur!V176*Calculateur!X176*VLOOKUP('Données projet'!$B$9,Paramètres!$A$1:$I$89,3,0)*0.475*44/12</f>
        <v>7.0747638517726887</v>
      </c>
      <c r="AB176" s="21">
        <f>EXP(-LN(2)/2)*AB175+(1-EXP(-LN(2)/2))/(LN(2)/2)*V176*Y176*VLOOKUP('Données projet'!$B$9,Paramètres!$A$1:$I$89,3,0)*0.475*44/12</f>
        <v>1.299915696071166E-20</v>
      </c>
      <c r="AC176" s="22">
        <f t="shared" si="163"/>
        <v>33.912350862024773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0</v>
      </c>
      <c r="AJ176" s="13">
        <f>AI176*VLOOKUP('Données projet'!$B$10,Paramètres!$A$1:$I$89,3,0)*VLOOKUP('Données projet'!$B$10,Paramètres!$A$1:$I$89,5,0)</f>
        <v>0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179.44051550872138</v>
      </c>
      <c r="AO176" s="59">
        <f t="shared" si="144"/>
        <v>272.9500808380069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8.8878303944653307</v>
      </c>
      <c r="AV176" s="21">
        <f>EXP(-LN(2)/25)*AV175+(1-EXP(-LN(2)/25))/(LN(2)/25)*Calculateur!AQ176*Calculateur!AS176*VLOOKUP('Données projet'!$B$10,Paramètres!$A$1:$I$89,3,0)*0.475*44/12</f>
        <v>6.3031004088224503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15.190930803287781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-1.1368683772161603E-13</v>
      </c>
      <c r="BE176" s="13">
        <f>BD176*VLOOKUP('Données projet'!$B$11,Paramètres!$A$1:$I$89,3,0)*VLOOKUP('Données projet'!$B$11,Paramètres!$A$1:$I$89,5,0)</f>
        <v>-6.3550942286383367E-14</v>
      </c>
      <c r="BF176" s="13" t="e">
        <f t="shared" si="167"/>
        <v>#NUM!</v>
      </c>
      <c r="BG176" s="20" t="e">
        <f t="shared" si="168"/>
        <v>#NUM!</v>
      </c>
      <c r="BH176" s="59" t="e">
        <f t="shared" si="116"/>
        <v>#NUM!</v>
      </c>
      <c r="BI176" s="59">
        <f ca="1">AVERAGE(OFFSET($BH$3,0,0,'Données projet'!$E$11+1,1))-AVERAGE(OFFSET($H$3,0,0,'Données projet'!$E$11+1,1))</f>
        <v>278.5296012747549</v>
      </c>
      <c r="BJ176" s="59">
        <f t="shared" si="146"/>
        <v>370.55343097937077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21.901212802611184</v>
      </c>
      <c r="BQ176" s="21">
        <f>EXP(-LN(2)/25)*BQ175+(1-EXP(-LN(2)/25))/(LN(2)/25)*Calculateur!BL176*Calculateur!BN176*VLOOKUP('Données projet'!$B$11,Paramètres!$A$1:$I$89,3,0)*0.475*44/12</f>
        <v>2.1858422134145581</v>
      </c>
      <c r="BR176" s="21">
        <f>EXP(-LN(2)/2)*BR175+(1-EXP(-LN(2)/2))/(LN(2)/2)*BL176*BO176*VLOOKUP('Données projet'!$B$11,Paramètres!$A$1:$I$89,3,0)*0.475*44/12</f>
        <v>5.9260416025914408E-17</v>
      </c>
      <c r="BS176" s="22">
        <f t="shared" si="169"/>
        <v>24.087055016025744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266.99999999999983</v>
      </c>
      <c r="BZ176" s="13">
        <f>BY176*VLOOKUP('Données projet'!$B$12,Paramètres!$A$1:$I$89,3,0)*VLOOKUP('Données projet'!$B$12,Paramètres!$A$1:$I$89,5,0)</f>
        <v>212.42519999999985</v>
      </c>
      <c r="CA176" s="13">
        <f t="shared" si="170"/>
        <v>52.465198231787184</v>
      </c>
      <c r="CB176" s="20">
        <f t="shared" si="171"/>
        <v>461.35077692036231</v>
      </c>
      <c r="CC176" s="59">
        <f t="shared" si="119"/>
        <v>754.68411025369562</v>
      </c>
      <c r="CD176" s="59">
        <f ca="1">AVERAGE(OFFSET($CC$3,0,0,'Données projet'!$E$12+1,1))-AVERAGE(OFFSET($H$3,0,0,'Données projet'!$E$12+1,1))</f>
        <v>225.2323446080772</v>
      </c>
      <c r="CE176" s="59">
        <f t="shared" si="148"/>
        <v>222.29030402759292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4.5643811719853487</v>
      </c>
      <c r="CL176" s="21">
        <f>EXP(-LN(2)/25)*CL175+(1-EXP(-LN(2)/25))/(LN(2)/25)*Calculateur!CG176*Calculateur!CI176*VLOOKUP('Données projet'!$B$12,Paramètres!$A$1:$I$89,3,0)*0.475*44/12</f>
        <v>0.63205826983808333</v>
      </c>
      <c r="CM176" s="21">
        <f>EXP(-LN(2)/2)*CM175+(1-EXP(-LN(2)/2))/(LN(2)/2)*CG176*CJ176*VLOOKUP('Données projet'!$B$12,Paramètres!$A$1:$I$89,3,0)*0.475*44/12</f>
        <v>0</v>
      </c>
      <c r="CN176" s="22">
        <f t="shared" si="172"/>
        <v>5.1964394418234319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5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83.693999999999946</v>
      </c>
      <c r="D177" s="11">
        <f t="shared" si="140"/>
        <v>23.037999798152033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823.89613879275214</v>
      </c>
      <c r="H177" s="67">
        <f t="shared" si="110"/>
        <v>479.224899648448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4.5474735088646412E-13</v>
      </c>
      <c r="O177" s="13">
        <f>N177*VLOOKUP('Données projet'!$B$9,Paramètres!$A$1:$I$89,3,0)*VLOOKUP('Données projet'!$B$9,Paramètres!$A$1:$I$89,5,0)</f>
        <v>2.1873347577638923E-13</v>
      </c>
      <c r="P177" s="13">
        <f t="shared" si="141"/>
        <v>2.999861355695181E-12</v>
      </c>
      <c r="Q177" s="20">
        <f t="shared" si="162"/>
        <v>5.6057193314796512E-12</v>
      </c>
      <c r="R177" s="59">
        <f t="shared" si="109"/>
        <v>293.33333333333894</v>
      </c>
      <c r="S177" s="59">
        <f ca="1">AVERAGE(OFFSET($R$3,0,0,'Données projet'!$E$9+1,1))-AVERAGE(OFFSET($H$3,0,0,'Données projet'!$E$9+1,1))</f>
        <v>234.10156575337737</v>
      </c>
      <c r="T177" s="59">
        <f t="shared" si="142"/>
        <v>285.68635263076646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26.311318298292779</v>
      </c>
      <c r="AA177" s="21">
        <f>EXP(-LN(2)/25)*AA176+(1-EXP(-LN(2)/25))/(LN(2)/25)*Calculateur!V177*Calculateur!X177*VLOOKUP('Données projet'!$B$9,Paramètres!$A$1:$I$89,3,0)*0.475*44/12</f>
        <v>6.8813040622003028</v>
      </c>
      <c r="AB177" s="21">
        <f>EXP(-LN(2)/2)*AB176+(1-EXP(-LN(2)/2))/(LN(2)/2)*V177*Y177*VLOOKUP('Données projet'!$B$9,Paramètres!$A$1:$I$89,3,0)*0.475*44/12</f>
        <v>9.1917920366275257E-21</v>
      </c>
      <c r="AC177" s="22">
        <f t="shared" si="163"/>
        <v>33.192622360493083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0</v>
      </c>
      <c r="AJ177" s="13">
        <f>AI177*VLOOKUP('Données projet'!$B$10,Paramètres!$A$1:$I$89,3,0)*VLOOKUP('Données projet'!$B$10,Paramètres!$A$1:$I$89,5,0)</f>
        <v>0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179.44051550872138</v>
      </c>
      <c r="AO177" s="59">
        <f t="shared" si="144"/>
        <v>272.9500808380069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8.7135454614711225</v>
      </c>
      <c r="AV177" s="21">
        <f>EXP(-LN(2)/25)*AV176+(1-EXP(-LN(2)/25))/(LN(2)/25)*Calculateur!AQ177*Calculateur!AS177*VLOOKUP('Données projet'!$B$10,Paramètres!$A$1:$I$89,3,0)*0.475*44/12</f>
        <v>6.1307417966775555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14.844287258148679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-1.1368683772161603E-13</v>
      </c>
      <c r="BE177" s="13">
        <f>BD177*VLOOKUP('Données projet'!$B$11,Paramètres!$A$1:$I$89,3,0)*VLOOKUP('Données projet'!$B$11,Paramètres!$A$1:$I$89,5,0)</f>
        <v>-6.3550942286383367E-14</v>
      </c>
      <c r="BF177" s="13" t="e">
        <f t="shared" si="167"/>
        <v>#NUM!</v>
      </c>
      <c r="BG177" s="20" t="e">
        <f t="shared" si="168"/>
        <v>#NUM!</v>
      </c>
      <c r="BH177" s="59" t="e">
        <f t="shared" si="116"/>
        <v>#NUM!</v>
      </c>
      <c r="BI177" s="59">
        <f ca="1">AVERAGE(OFFSET($BH$3,0,0,'Données projet'!$E$11+1,1))-AVERAGE(OFFSET($H$3,0,0,'Données projet'!$E$11+1,1))</f>
        <v>278.5296012747549</v>
      </c>
      <c r="BJ177" s="59">
        <f t="shared" si="146"/>
        <v>370.55343097937077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21.471743377972754</v>
      </c>
      <c r="BQ177" s="21">
        <f>EXP(-LN(2)/25)*BQ176+(1-EXP(-LN(2)/25))/(LN(2)/25)*Calculateur!BL177*Calculateur!BN177*VLOOKUP('Données projet'!$B$11,Paramètres!$A$1:$I$89,3,0)*0.475*44/12</f>
        <v>2.1260702431402909</v>
      </c>
      <c r="BR177" s="21">
        <f>EXP(-LN(2)/2)*BR176+(1-EXP(-LN(2)/2))/(LN(2)/2)*BL177*BO177*VLOOKUP('Données projet'!$B$11,Paramètres!$A$1:$I$89,3,0)*0.475*44/12</f>
        <v>4.1903442027860034E-17</v>
      </c>
      <c r="BS177" s="22">
        <f t="shared" si="169"/>
        <v>23.597813621113044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266.99999999999983</v>
      </c>
      <c r="BZ177" s="13">
        <f>BY177*VLOOKUP('Données projet'!$B$12,Paramètres!$A$1:$I$89,3,0)*VLOOKUP('Données projet'!$B$12,Paramètres!$A$1:$I$89,5,0)</f>
        <v>212.42519999999985</v>
      </c>
      <c r="CA177" s="13">
        <f t="shared" si="170"/>
        <v>52.465198231787184</v>
      </c>
      <c r="CB177" s="20">
        <f t="shared" si="171"/>
        <v>461.35077692036231</v>
      </c>
      <c r="CC177" s="59">
        <f t="shared" si="119"/>
        <v>754.68411025369562</v>
      </c>
      <c r="CD177" s="59">
        <f ca="1">AVERAGE(OFFSET($CC$3,0,0,'Données projet'!$E$12+1,1))-AVERAGE(OFFSET($H$3,0,0,'Données projet'!$E$12+1,1))</f>
        <v>225.2323446080772</v>
      </c>
      <c r="CE177" s="59">
        <f t="shared" si="148"/>
        <v>222.29030402759292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4.4748764412003341</v>
      </c>
      <c r="CL177" s="21">
        <f>EXP(-LN(2)/25)*CL176+(1-EXP(-LN(2)/25))/(LN(2)/25)*Calculateur!CG177*Calculateur!CI177*VLOOKUP('Données projet'!$B$12,Paramètres!$A$1:$I$89,3,0)*0.475*44/12</f>
        <v>0.61477460321086108</v>
      </c>
      <c r="CM177" s="21">
        <f>EXP(-LN(2)/2)*CM176+(1-EXP(-LN(2)/2))/(LN(2)/2)*CG177*CJ177*VLOOKUP('Données projet'!$B$12,Paramètres!$A$1:$I$89,3,0)*0.475*44/12</f>
        <v>0</v>
      </c>
      <c r="CN177" s="22">
        <f t="shared" si="172"/>
        <v>5.0896510444111955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5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84.17499999999994</v>
      </c>
      <c r="D178" s="11">
        <f t="shared" si="140"/>
        <v>23.154951420465835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828.5119057018411</v>
      </c>
      <c r="H178" s="67">
        <f t="shared" si="110"/>
        <v>480.26633205731122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4.5474735088646412E-13</v>
      </c>
      <c r="O178" s="13">
        <f>N178*VLOOKUP('Données projet'!$B$9,Paramètres!$A$1:$I$89,3,0)*VLOOKUP('Données projet'!$B$9,Paramètres!$A$1:$I$89,5,0)</f>
        <v>2.1873347577638923E-13</v>
      </c>
      <c r="P178" s="13">
        <f t="shared" si="141"/>
        <v>2.999861355695181E-12</v>
      </c>
      <c r="Q178" s="20">
        <f t="shared" si="162"/>
        <v>5.6057193314796512E-12</v>
      </c>
      <c r="R178" s="59">
        <f t="shared" si="109"/>
        <v>293.33333333333894</v>
      </c>
      <c r="S178" s="59">
        <f ca="1">AVERAGE(OFFSET($R$3,0,0,'Données projet'!$E$9+1,1))-AVERAGE(OFFSET($H$3,0,0,'Données projet'!$E$9+1,1))</f>
        <v>234.10156575337737</v>
      </c>
      <c r="T178" s="59">
        <f t="shared" si="142"/>
        <v>285.68635263076646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25.795369394782778</v>
      </c>
      <c r="AA178" s="21">
        <f>EXP(-LN(2)/25)*AA177+(1-EXP(-LN(2)/25))/(LN(2)/25)*Calculateur!V178*Calculateur!X178*VLOOKUP('Données projet'!$B$9,Paramètres!$A$1:$I$89,3,0)*0.475*44/12</f>
        <v>6.6931344407473823</v>
      </c>
      <c r="AB178" s="21">
        <f>EXP(-LN(2)/2)*AB177+(1-EXP(-LN(2)/2))/(LN(2)/2)*V178*Y178*VLOOKUP('Données projet'!$B$9,Paramètres!$A$1:$I$89,3,0)*0.475*44/12</f>
        <v>6.4995784803558299E-21</v>
      </c>
      <c r="AC178" s="22">
        <f t="shared" si="163"/>
        <v>32.48850383553016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0</v>
      </c>
      <c r="AJ178" s="13">
        <f>AI178*VLOOKUP('Données projet'!$B$10,Paramètres!$A$1:$I$89,3,0)*VLOOKUP('Données projet'!$B$10,Paramètres!$A$1:$I$89,5,0)</f>
        <v>0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179.44051550872138</v>
      </c>
      <c r="AO178" s="59">
        <f t="shared" si="144"/>
        <v>272.9500808380069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8.5426781497096194</v>
      </c>
      <c r="AV178" s="21">
        <f>EXP(-LN(2)/25)*AV177+(1-EXP(-LN(2)/25))/(LN(2)/25)*Calculateur!AQ178*Calculateur!AS178*VLOOKUP('Données projet'!$B$10,Paramètres!$A$1:$I$89,3,0)*0.475*44/12</f>
        <v>5.9630963398457082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14.505774489555328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-1.1368683772161603E-13</v>
      </c>
      <c r="BE178" s="13">
        <f>BD178*VLOOKUP('Données projet'!$B$11,Paramètres!$A$1:$I$89,3,0)*VLOOKUP('Données projet'!$B$11,Paramètres!$A$1:$I$89,5,0)</f>
        <v>-6.3550942286383367E-14</v>
      </c>
      <c r="BF178" s="13" t="e">
        <f t="shared" si="167"/>
        <v>#NUM!</v>
      </c>
      <c r="BG178" s="20" t="e">
        <f t="shared" si="168"/>
        <v>#NUM!</v>
      </c>
      <c r="BH178" s="59" t="e">
        <f t="shared" si="116"/>
        <v>#NUM!</v>
      </c>
      <c r="BI178" s="59">
        <f ca="1">AVERAGE(OFFSET($BH$3,0,0,'Données projet'!$E$11+1,1))-AVERAGE(OFFSET($H$3,0,0,'Données projet'!$E$11+1,1))</f>
        <v>278.5296012747549</v>
      </c>
      <c r="BJ178" s="59">
        <f t="shared" si="146"/>
        <v>370.55343097937077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21.050695586800998</v>
      </c>
      <c r="BQ178" s="21">
        <f>EXP(-LN(2)/25)*BQ177+(1-EXP(-LN(2)/25))/(LN(2)/25)*Calculateur!BL178*Calculateur!BN178*VLOOKUP('Données projet'!$B$11,Paramètres!$A$1:$I$89,3,0)*0.475*44/12</f>
        <v>2.0679327405364449</v>
      </c>
      <c r="BR178" s="21">
        <f>EXP(-LN(2)/2)*BR177+(1-EXP(-LN(2)/2))/(LN(2)/2)*BL178*BO178*VLOOKUP('Données projet'!$B$11,Paramètres!$A$1:$I$89,3,0)*0.475*44/12</f>
        <v>2.9630208012957204E-17</v>
      </c>
      <c r="BS178" s="22">
        <f t="shared" si="169"/>
        <v>23.118628327337444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266.99999999999983</v>
      </c>
      <c r="BZ178" s="13">
        <f>BY178*VLOOKUP('Données projet'!$B$12,Paramètres!$A$1:$I$89,3,0)*VLOOKUP('Données projet'!$B$12,Paramètres!$A$1:$I$89,5,0)</f>
        <v>212.42519999999985</v>
      </c>
      <c r="CA178" s="13">
        <f t="shared" si="170"/>
        <v>52.465198231787184</v>
      </c>
      <c r="CB178" s="20">
        <f t="shared" si="171"/>
        <v>461.35077692036231</v>
      </c>
      <c r="CC178" s="59">
        <f t="shared" si="119"/>
        <v>754.68411025369562</v>
      </c>
      <c r="CD178" s="59">
        <f ca="1">AVERAGE(OFFSET($CC$3,0,0,'Données projet'!$E$12+1,1))-AVERAGE(OFFSET($H$3,0,0,'Données projet'!$E$12+1,1))</f>
        <v>225.2323446080772</v>
      </c>
      <c r="CE178" s="59">
        <f t="shared" si="148"/>
        <v>222.29030402759292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4.387126843593518</v>
      </c>
      <c r="CL178" s="21">
        <f>EXP(-LN(2)/25)*CL177+(1-EXP(-LN(2)/25))/(LN(2)/25)*Calculateur!CG178*Calculateur!CI178*VLOOKUP('Données projet'!$B$12,Paramètres!$A$1:$I$89,3,0)*0.475*44/12</f>
        <v>0.59796355935646883</v>
      </c>
      <c r="CM178" s="21">
        <f>EXP(-LN(2)/2)*CM177+(1-EXP(-LN(2)/2))/(LN(2)/2)*CG178*CJ178*VLOOKUP('Données projet'!$B$12,Paramètres!$A$1:$I$89,3,0)*0.475*44/12</f>
        <v>0</v>
      </c>
      <c r="CN178" s="22">
        <f t="shared" si="172"/>
        <v>4.9850904029499867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5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84.655999999999935</v>
      </c>
      <c r="D179" s="11">
        <f t="shared" si="140"/>
        <v>23.271825278660558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833.12707232650212</v>
      </c>
      <c r="H179" s="67">
        <f t="shared" si="110"/>
        <v>481.3076290270003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4.5474735088646412E-13</v>
      </c>
      <c r="O179" s="13">
        <f>N179*VLOOKUP('Données projet'!$B$9,Paramètres!$A$1:$I$89,3,0)*VLOOKUP('Données projet'!$B$9,Paramètres!$A$1:$I$89,5,0)</f>
        <v>2.1873347577638923E-13</v>
      </c>
      <c r="P179" s="13">
        <f t="shared" si="141"/>
        <v>2.999861355695181E-12</v>
      </c>
      <c r="Q179" s="20">
        <f t="shared" si="162"/>
        <v>5.6057193314796512E-12</v>
      </c>
      <c r="R179" s="59">
        <f t="shared" si="109"/>
        <v>293.33333333333894</v>
      </c>
      <c r="S179" s="59">
        <f ca="1">AVERAGE(OFFSET($R$3,0,0,'Données projet'!$E$9+1,1))-AVERAGE(OFFSET($H$3,0,0,'Données projet'!$E$9+1,1))</f>
        <v>234.10156575337737</v>
      </c>
      <c r="T179" s="59">
        <f t="shared" si="142"/>
        <v>285.68635263076646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25.289537934572852</v>
      </c>
      <c r="AA179" s="21">
        <f>EXP(-LN(2)/25)*AA178+(1-EXP(-LN(2)/25))/(LN(2)/25)*Calculateur!V179*Calculateur!X179*VLOOKUP('Données projet'!$B$9,Paramètres!$A$1:$I$89,3,0)*0.475*44/12</f>
        <v>6.5101103274885022</v>
      </c>
      <c r="AB179" s="21">
        <f>EXP(-LN(2)/2)*AB178+(1-EXP(-LN(2)/2))/(LN(2)/2)*V179*Y179*VLOOKUP('Données projet'!$B$9,Paramètres!$A$1:$I$89,3,0)*0.475*44/12</f>
        <v>4.5958960183137628E-21</v>
      </c>
      <c r="AC179" s="22">
        <f t="shared" si="163"/>
        <v>31.799648262061353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0</v>
      </c>
      <c r="AJ179" s="13">
        <f>AI179*VLOOKUP('Données projet'!$B$10,Paramètres!$A$1:$I$89,3,0)*VLOOKUP('Données projet'!$B$10,Paramètres!$A$1:$I$89,5,0)</f>
        <v>0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179.44051550872138</v>
      </c>
      <c r="AO179" s="59">
        <f t="shared" si="144"/>
        <v>272.9500808380069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8.3751614417129883</v>
      </c>
      <c r="AV179" s="21">
        <f>EXP(-LN(2)/25)*AV178+(1-EXP(-LN(2)/25))/(LN(2)/25)*Calculateur!AQ179*Calculateur!AS179*VLOOKUP('Données projet'!$B$10,Paramètres!$A$1:$I$89,3,0)*0.475*44/12</f>
        <v>5.8000351568470192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14.175196598560007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-1.1368683772161603E-13</v>
      </c>
      <c r="BE179" s="13">
        <f>BD179*VLOOKUP('Données projet'!$B$11,Paramètres!$A$1:$I$89,3,0)*VLOOKUP('Données projet'!$B$11,Paramètres!$A$1:$I$89,5,0)</f>
        <v>-6.3550942286383367E-14</v>
      </c>
      <c r="BF179" s="13" t="e">
        <f t="shared" si="167"/>
        <v>#NUM!</v>
      </c>
      <c r="BG179" s="20" t="e">
        <f t="shared" si="168"/>
        <v>#NUM!</v>
      </c>
      <c r="BH179" s="59" t="e">
        <f t="shared" si="116"/>
        <v>#NUM!</v>
      </c>
      <c r="BI179" s="59">
        <f ca="1">AVERAGE(OFFSET($BH$3,0,0,'Données projet'!$E$11+1,1))-AVERAGE(OFFSET($H$3,0,0,'Données projet'!$E$11+1,1))</f>
        <v>278.5296012747549</v>
      </c>
      <c r="BJ179" s="59">
        <f t="shared" si="146"/>
        <v>370.55343097937077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20.637904286000328</v>
      </c>
      <c r="BQ179" s="21">
        <f>EXP(-LN(2)/25)*BQ178+(1-EXP(-LN(2)/25))/(LN(2)/25)*Calculateur!BL179*Calculateur!BN179*VLOOKUP('Données projet'!$B$11,Paramètres!$A$1:$I$89,3,0)*0.475*44/12</f>
        <v>2.0113850109986195</v>
      </c>
      <c r="BR179" s="21">
        <f>EXP(-LN(2)/2)*BR178+(1-EXP(-LN(2)/2))/(LN(2)/2)*BL179*BO179*VLOOKUP('Données projet'!$B$11,Paramètres!$A$1:$I$89,3,0)*0.475*44/12</f>
        <v>2.0951721013930017E-17</v>
      </c>
      <c r="BS179" s="22">
        <f t="shared" si="169"/>
        <v>22.649289296998948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266.99999999999983</v>
      </c>
      <c r="BZ179" s="13">
        <f>BY179*VLOOKUP('Données projet'!$B$12,Paramètres!$A$1:$I$89,3,0)*VLOOKUP('Données projet'!$B$12,Paramètres!$A$1:$I$89,5,0)</f>
        <v>212.42519999999985</v>
      </c>
      <c r="CA179" s="13">
        <f t="shared" si="170"/>
        <v>52.465198231787184</v>
      </c>
      <c r="CB179" s="20">
        <f t="shared" si="171"/>
        <v>461.35077692036231</v>
      </c>
      <c r="CC179" s="59">
        <f t="shared" si="119"/>
        <v>754.68411025369562</v>
      </c>
      <c r="CD179" s="59">
        <f ca="1">AVERAGE(OFFSET($CC$3,0,0,'Données projet'!$E$12+1,1))-AVERAGE(OFFSET($H$3,0,0,'Données projet'!$E$12+1,1))</f>
        <v>225.2323446080772</v>
      </c>
      <c r="CE179" s="59">
        <f t="shared" si="148"/>
        <v>222.29030402759292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4.3010979620738023</v>
      </c>
      <c r="CL179" s="21">
        <f>EXP(-LN(2)/25)*CL178+(1-EXP(-LN(2)/25))/(LN(2)/25)*Calculateur!CG179*Calculateur!CI179*VLOOKUP('Données projet'!$B$12,Paramètres!$A$1:$I$89,3,0)*0.475*44/12</f>
        <v>0.58161221438032928</v>
      </c>
      <c r="CM179" s="21">
        <f>EXP(-LN(2)/2)*CM178+(1-EXP(-LN(2)/2))/(LN(2)/2)*CG179*CJ179*VLOOKUP('Données projet'!$B$12,Paramètres!$A$1:$I$89,3,0)*0.475*44/12</f>
        <v>0</v>
      </c>
      <c r="CN179" s="22">
        <f t="shared" si="172"/>
        <v>4.8827101764541316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5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85.136999999999929</v>
      </c>
      <c r="D180" s="11">
        <f t="shared" si="140"/>
        <v>23.388621865850421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837.74164247323097</v>
      </c>
      <c r="H180" s="67">
        <f t="shared" si="110"/>
        <v>482.34879141635599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4.5474735088646412E-13</v>
      </c>
      <c r="O180" s="13">
        <f>N180*VLOOKUP('Données projet'!$B$9,Paramètres!$A$1:$I$89,3,0)*VLOOKUP('Données projet'!$B$9,Paramètres!$A$1:$I$89,5,0)</f>
        <v>2.1873347577638923E-13</v>
      </c>
      <c r="P180" s="13">
        <f t="shared" si="141"/>
        <v>2.999861355695181E-12</v>
      </c>
      <c r="Q180" s="20">
        <f t="shared" si="162"/>
        <v>5.6057193314796512E-12</v>
      </c>
      <c r="R180" s="59">
        <f t="shared" si="109"/>
        <v>293.33333333333894</v>
      </c>
      <c r="S180" s="59">
        <f ca="1">AVERAGE(OFFSET($R$3,0,0,'Données projet'!$E$9+1,1))-AVERAGE(OFFSET($H$3,0,0,'Données projet'!$E$9+1,1))</f>
        <v>234.10156575337737</v>
      </c>
      <c r="T180" s="59">
        <f t="shared" si="142"/>
        <v>285.68635263076646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24.793625520770917</v>
      </c>
      <c r="AA180" s="21">
        <f>EXP(-LN(2)/25)*AA179+(1-EXP(-LN(2)/25))/(LN(2)/25)*Calculateur!V180*Calculateur!X180*VLOOKUP('Données projet'!$B$9,Paramètres!$A$1:$I$89,3,0)*0.475*44/12</f>
        <v>6.3320910182315062</v>
      </c>
      <c r="AB180" s="21">
        <f>EXP(-LN(2)/2)*AB179+(1-EXP(-LN(2)/2))/(LN(2)/2)*V180*Y180*VLOOKUP('Données projet'!$B$9,Paramètres!$A$1:$I$89,3,0)*0.475*44/12</f>
        <v>3.249789240177915E-21</v>
      </c>
      <c r="AC180" s="22">
        <f t="shared" si="163"/>
        <v>31.125716539002422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0</v>
      </c>
      <c r="AJ180" s="13">
        <f>AI180*VLOOKUP('Données projet'!$B$10,Paramètres!$A$1:$I$89,3,0)*VLOOKUP('Données projet'!$B$10,Paramètres!$A$1:$I$89,5,0)</f>
        <v>0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179.44051550872138</v>
      </c>
      <c r="AO180" s="59">
        <f t="shared" si="144"/>
        <v>272.9500808380069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8.210929634185069</v>
      </c>
      <c r="AV180" s="21">
        <f>EXP(-LN(2)/25)*AV179+(1-EXP(-LN(2)/25))/(LN(2)/25)*Calculateur!AQ180*Calculateur!AS180*VLOOKUP('Données projet'!$B$10,Paramètres!$A$1:$I$89,3,0)*0.475*44/12</f>
        <v>5.6414328904724451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13.852362524657515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-1.1368683772161603E-13</v>
      </c>
      <c r="BE180" s="13">
        <f>BD180*VLOOKUP('Données projet'!$B$11,Paramètres!$A$1:$I$89,3,0)*VLOOKUP('Données projet'!$B$11,Paramètres!$A$1:$I$89,5,0)</f>
        <v>-6.3550942286383367E-14</v>
      </c>
      <c r="BF180" s="13" t="e">
        <f t="shared" si="167"/>
        <v>#NUM!</v>
      </c>
      <c r="BG180" s="20" t="e">
        <f t="shared" si="168"/>
        <v>#NUM!</v>
      </c>
      <c r="BH180" s="59" t="e">
        <f t="shared" si="116"/>
        <v>#NUM!</v>
      </c>
      <c r="BI180" s="59">
        <f ca="1">AVERAGE(OFFSET($BH$3,0,0,'Données projet'!$E$11+1,1))-AVERAGE(OFFSET($H$3,0,0,'Données projet'!$E$11+1,1))</f>
        <v>278.5296012747549</v>
      </c>
      <c r="BJ180" s="59">
        <f t="shared" si="146"/>
        <v>370.55343097937077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20.233207570830526</v>
      </c>
      <c r="BQ180" s="21">
        <f>EXP(-LN(2)/25)*BQ179+(1-EXP(-LN(2)/25))/(LN(2)/25)*Calculateur!BL180*Calculateur!BN180*VLOOKUP('Données projet'!$B$11,Paramètres!$A$1:$I$89,3,0)*0.475*44/12</f>
        <v>1.9563835820987217</v>
      </c>
      <c r="BR180" s="21">
        <f>EXP(-LN(2)/2)*BR179+(1-EXP(-LN(2)/2))/(LN(2)/2)*BL180*BO180*VLOOKUP('Données projet'!$B$11,Paramètres!$A$1:$I$89,3,0)*0.475*44/12</f>
        <v>1.4815104006478602E-17</v>
      </c>
      <c r="BS180" s="22">
        <f t="shared" si="169"/>
        <v>22.189591152929246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266.99999999999983</v>
      </c>
      <c r="BZ180" s="13">
        <f>BY180*VLOOKUP('Données projet'!$B$12,Paramètres!$A$1:$I$89,3,0)*VLOOKUP('Données projet'!$B$12,Paramètres!$A$1:$I$89,5,0)</f>
        <v>212.42519999999985</v>
      </c>
      <c r="CA180" s="13">
        <f t="shared" si="170"/>
        <v>52.465198231787184</v>
      </c>
      <c r="CB180" s="20">
        <f t="shared" si="171"/>
        <v>461.35077692036231</v>
      </c>
      <c r="CC180" s="59">
        <f t="shared" si="119"/>
        <v>754.68411025369562</v>
      </c>
      <c r="CD180" s="59">
        <f ca="1">AVERAGE(OFFSET($CC$3,0,0,'Données projet'!$E$12+1,1))-AVERAGE(OFFSET($H$3,0,0,'Données projet'!$E$12+1,1))</f>
        <v>225.2323446080772</v>
      </c>
      <c r="CE180" s="59">
        <f t="shared" si="148"/>
        <v>222.29030402759292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4.2167560544482514</v>
      </c>
      <c r="CL180" s="21">
        <f>EXP(-LN(2)/25)*CL179+(1-EXP(-LN(2)/25))/(LN(2)/25)*Calculateur!CG180*Calculateur!CI180*VLOOKUP('Données projet'!$B$12,Paramètres!$A$1:$I$89,3,0)*0.475*44/12</f>
        <v>0.56570799779244207</v>
      </c>
      <c r="CM180" s="21">
        <f>EXP(-LN(2)/2)*CM179+(1-EXP(-LN(2)/2))/(LN(2)/2)*CG180*CJ180*VLOOKUP('Données projet'!$B$12,Paramètres!$A$1:$I$89,3,0)*0.475*44/12</f>
        <v>0</v>
      </c>
      <c r="CN180" s="22">
        <f t="shared" si="172"/>
        <v>4.7824640522406936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5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85.617999999999924</v>
      </c>
      <c r="D181" s="11">
        <f t="shared" si="140"/>
        <v>23.505341669255241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842.35561990302233</v>
      </c>
      <c r="H181" s="67">
        <f t="shared" si="110"/>
        <v>483.38982007395271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4.5474735088646412E-13</v>
      </c>
      <c r="O181" s="13">
        <f>N181*VLOOKUP('Données projet'!$B$9,Paramètres!$A$1:$I$89,3,0)*VLOOKUP('Données projet'!$B$9,Paramètres!$A$1:$I$89,5,0)</f>
        <v>2.1873347577638923E-13</v>
      </c>
      <c r="P181" s="13">
        <f t="shared" si="141"/>
        <v>2.999861355695181E-12</v>
      </c>
      <c r="Q181" s="20">
        <f t="shared" si="162"/>
        <v>5.6057193314796512E-12</v>
      </c>
      <c r="R181" s="59">
        <f t="shared" si="109"/>
        <v>293.33333333333894</v>
      </c>
      <c r="S181" s="59">
        <f ca="1">AVERAGE(OFFSET($R$3,0,0,'Données projet'!$E$9+1,1))-AVERAGE(OFFSET($H$3,0,0,'Données projet'!$E$9+1,1))</f>
        <v>234.10156575337737</v>
      </c>
      <c r="T181" s="59">
        <f t="shared" si="142"/>
        <v>285.68635263076646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24.307437646926932</v>
      </c>
      <c r="AA181" s="21">
        <f>EXP(-LN(2)/25)*AA180+(1-EXP(-LN(2)/25))/(LN(2)/25)*Calculateur!V181*Calculateur!X181*VLOOKUP('Données projet'!$B$9,Paramètres!$A$1:$I$89,3,0)*0.475*44/12</f>
        <v>6.158939656347771</v>
      </c>
      <c r="AB181" s="21">
        <f>EXP(-LN(2)/2)*AB180+(1-EXP(-LN(2)/2))/(LN(2)/2)*V181*Y181*VLOOKUP('Données projet'!$B$9,Paramètres!$A$1:$I$89,3,0)*0.475*44/12</f>
        <v>2.2979480091568814E-21</v>
      </c>
      <c r="AC181" s="22">
        <f t="shared" si="163"/>
        <v>30.466377303274705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0</v>
      </c>
      <c r="AJ181" s="13">
        <f>AI181*VLOOKUP('Données projet'!$B$10,Paramètres!$A$1:$I$89,3,0)*VLOOKUP('Données projet'!$B$10,Paramètres!$A$1:$I$89,5,0)</f>
        <v>0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179.44051550872138</v>
      </c>
      <c r="AO181" s="59">
        <f t="shared" si="144"/>
        <v>272.9500808380069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8.0499183122312612</v>
      </c>
      <c r="AV181" s="21">
        <f>EXP(-LN(2)/25)*AV180+(1-EXP(-LN(2)/25))/(LN(2)/25)*Calculateur!AQ181*Calculateur!AS181*VLOOKUP('Données projet'!$B$10,Paramètres!$A$1:$I$89,3,0)*0.475*44/12</f>
        <v>5.4871676114124144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13.537085923643676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-1.1368683772161603E-13</v>
      </c>
      <c r="BE181" s="13">
        <f>BD181*VLOOKUP('Données projet'!$B$11,Paramètres!$A$1:$I$89,3,0)*VLOOKUP('Données projet'!$B$11,Paramètres!$A$1:$I$89,5,0)</f>
        <v>-6.3550942286383367E-14</v>
      </c>
      <c r="BF181" s="13" t="e">
        <f t="shared" si="167"/>
        <v>#NUM!</v>
      </c>
      <c r="BG181" s="20" t="e">
        <f t="shared" si="168"/>
        <v>#NUM!</v>
      </c>
      <c r="BH181" s="59" t="e">
        <f t="shared" si="116"/>
        <v>#NUM!</v>
      </c>
      <c r="BI181" s="59">
        <f ca="1">AVERAGE(OFFSET($BH$3,0,0,'Données projet'!$E$11+1,1))-AVERAGE(OFFSET($H$3,0,0,'Données projet'!$E$11+1,1))</f>
        <v>278.5296012747549</v>
      </c>
      <c r="BJ181" s="59">
        <f t="shared" si="146"/>
        <v>370.55343097937077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19.83644671140458</v>
      </c>
      <c r="BQ181" s="21">
        <f>EXP(-LN(2)/25)*BQ180+(1-EXP(-LN(2)/25))/(LN(2)/25)*Calculateur!BL181*Calculateur!BN181*VLOOKUP('Données projet'!$B$11,Paramètres!$A$1:$I$89,3,0)*0.475*44/12</f>
        <v>1.9028861701644908</v>
      </c>
      <c r="BR181" s="21">
        <f>EXP(-LN(2)/2)*BR180+(1-EXP(-LN(2)/2))/(LN(2)/2)*BL181*BO181*VLOOKUP('Données projet'!$B$11,Paramètres!$A$1:$I$89,3,0)*0.475*44/12</f>
        <v>1.0475860506965008E-17</v>
      </c>
      <c r="BS181" s="22">
        <f t="shared" si="169"/>
        <v>21.739332881569069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266.99999999999983</v>
      </c>
      <c r="BZ181" s="13">
        <f>BY181*VLOOKUP('Données projet'!$B$12,Paramètres!$A$1:$I$89,3,0)*VLOOKUP('Données projet'!$B$12,Paramètres!$A$1:$I$89,5,0)</f>
        <v>212.42519999999985</v>
      </c>
      <c r="CA181" s="13">
        <f t="shared" si="170"/>
        <v>52.465198231787184</v>
      </c>
      <c r="CB181" s="20">
        <f t="shared" si="171"/>
        <v>461.35077692036231</v>
      </c>
      <c r="CC181" s="59">
        <f t="shared" si="119"/>
        <v>754.68411025369562</v>
      </c>
      <c r="CD181" s="59">
        <f ca="1">AVERAGE(OFFSET($CC$3,0,0,'Données projet'!$E$12+1,1))-AVERAGE(OFFSET($H$3,0,0,'Données projet'!$E$12+1,1))</f>
        <v>225.2323446080772</v>
      </c>
      <c r="CE181" s="59">
        <f t="shared" si="148"/>
        <v>222.29030402759292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4.1340680401877536</v>
      </c>
      <c r="CL181" s="21">
        <f>EXP(-LN(2)/25)*CL180+(1-EXP(-LN(2)/25))/(LN(2)/25)*Calculateur!CG181*Calculateur!CI181*VLOOKUP('Données projet'!$B$12,Paramètres!$A$1:$I$89,3,0)*0.475*44/12</f>
        <v>0.55023868284351707</v>
      </c>
      <c r="CM181" s="21">
        <f>EXP(-LN(2)/2)*CM180+(1-EXP(-LN(2)/2))/(LN(2)/2)*CG181*CJ181*VLOOKUP('Données projet'!$B$12,Paramètres!$A$1:$I$89,3,0)*0.475*44/12</f>
        <v>0</v>
      </c>
      <c r="CN181" s="22">
        <f t="shared" si="172"/>
        <v>4.6843067230312707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5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86.098999999999918</v>
      </c>
      <c r="D182" s="11">
        <f t="shared" si="140"/>
        <v>23.621985170303667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846.96900833216796</v>
      </c>
      <c r="H182" s="67">
        <f t="shared" si="110"/>
        <v>484.43071583827873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4.5474735088646412E-13</v>
      </c>
      <c r="O182" s="13">
        <f>N182*VLOOKUP('Données projet'!$B$9,Paramètres!$A$1:$I$89,3,0)*VLOOKUP('Données projet'!$B$9,Paramètres!$A$1:$I$89,5,0)</f>
        <v>2.1873347577638923E-13</v>
      </c>
      <c r="P182" s="13">
        <f t="shared" si="141"/>
        <v>2.999861355695181E-12</v>
      </c>
      <c r="Q182" s="20">
        <f t="shared" si="162"/>
        <v>5.6057193314796512E-12</v>
      </c>
      <c r="R182" s="59">
        <f t="shared" si="109"/>
        <v>293.33333333333894</v>
      </c>
      <c r="S182" s="59">
        <f ca="1">AVERAGE(OFFSET($R$3,0,0,'Données projet'!$E$9+1,1))-AVERAGE(OFFSET($H$3,0,0,'Données projet'!$E$9+1,1))</f>
        <v>234.10156575337737</v>
      </c>
      <c r="T182" s="59">
        <f t="shared" si="142"/>
        <v>285.68635263076646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23.830783620743706</v>
      </c>
      <c r="AA182" s="21">
        <f>EXP(-LN(2)/25)*AA181+(1-EXP(-LN(2)/25))/(LN(2)/25)*Calculateur!V182*Calculateur!X182*VLOOKUP('Données projet'!$B$9,Paramètres!$A$1:$I$89,3,0)*0.475*44/12</f>
        <v>5.9905231275603814</v>
      </c>
      <c r="AB182" s="21">
        <f>EXP(-LN(2)/2)*AB181+(1-EXP(-LN(2)/2))/(LN(2)/2)*V182*Y182*VLOOKUP('Données projet'!$B$9,Paramètres!$A$1:$I$89,3,0)*0.475*44/12</f>
        <v>1.6248946200889575E-21</v>
      </c>
      <c r="AC182" s="22">
        <f t="shared" si="163"/>
        <v>29.821306748304089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0</v>
      </c>
      <c r="AJ182" s="13">
        <f>AI182*VLOOKUP('Données projet'!$B$10,Paramètres!$A$1:$I$89,3,0)*VLOOKUP('Données projet'!$B$10,Paramètres!$A$1:$I$89,5,0)</f>
        <v>0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179.44051550872138</v>
      </c>
      <c r="AO182" s="59">
        <f t="shared" si="144"/>
        <v>272.9500808380069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7.8920643240937576</v>
      </c>
      <c r="AV182" s="21">
        <f>EXP(-LN(2)/25)*AV181+(1-EXP(-LN(2)/25))/(LN(2)/25)*Calculateur!AQ182*Calculateur!AS182*VLOOKUP('Données projet'!$B$10,Paramètres!$A$1:$I$89,3,0)*0.475*44/12</f>
        <v>5.3371207245207382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13.229185048614497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-1.1368683772161603E-13</v>
      </c>
      <c r="BE182" s="13">
        <f>BD182*VLOOKUP('Données projet'!$B$11,Paramètres!$A$1:$I$89,3,0)*VLOOKUP('Données projet'!$B$11,Paramètres!$A$1:$I$89,5,0)</f>
        <v>-6.3550942286383367E-14</v>
      </c>
      <c r="BF182" s="13" t="e">
        <f t="shared" si="167"/>
        <v>#NUM!</v>
      </c>
      <c r="BG182" s="20" t="e">
        <f t="shared" si="168"/>
        <v>#NUM!</v>
      </c>
      <c r="BH182" s="59" t="e">
        <f t="shared" si="116"/>
        <v>#NUM!</v>
      </c>
      <c r="BI182" s="59">
        <f ca="1">AVERAGE(OFFSET($BH$3,0,0,'Données projet'!$E$11+1,1))-AVERAGE(OFFSET($H$3,0,0,'Données projet'!$E$11+1,1))</f>
        <v>278.5296012747549</v>
      </c>
      <c r="BJ182" s="59">
        <f t="shared" si="146"/>
        <v>370.55343097937077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19.44746609043175</v>
      </c>
      <c r="BQ182" s="21">
        <f>EXP(-LN(2)/25)*BQ181+(1-EXP(-LN(2)/25))/(LN(2)/25)*Calculateur!BL182*Calculateur!BN182*VLOOKUP('Données projet'!$B$11,Paramètres!$A$1:$I$89,3,0)*0.475*44/12</f>
        <v>1.8508516477729082</v>
      </c>
      <c r="BR182" s="21">
        <f>EXP(-LN(2)/2)*BR181+(1-EXP(-LN(2)/2))/(LN(2)/2)*BL182*BO182*VLOOKUP('Données projet'!$B$11,Paramètres!$A$1:$I$89,3,0)*0.475*44/12</f>
        <v>7.407552003239301E-18</v>
      </c>
      <c r="BS182" s="22">
        <f t="shared" si="169"/>
        <v>21.298317738204659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266.99999999999983</v>
      </c>
      <c r="BZ182" s="13">
        <f>BY182*VLOOKUP('Données projet'!$B$12,Paramètres!$A$1:$I$89,3,0)*VLOOKUP('Données projet'!$B$12,Paramètres!$A$1:$I$89,5,0)</f>
        <v>212.42519999999985</v>
      </c>
      <c r="CA182" s="13">
        <f t="shared" si="170"/>
        <v>52.465198231787184</v>
      </c>
      <c r="CB182" s="20">
        <f t="shared" si="171"/>
        <v>461.35077692036231</v>
      </c>
      <c r="CC182" s="59">
        <f t="shared" si="119"/>
        <v>754.68411025369562</v>
      </c>
      <c r="CD182" s="59">
        <f ca="1">AVERAGE(OFFSET($CC$3,0,0,'Données projet'!$E$12+1,1))-AVERAGE(OFFSET($H$3,0,0,'Données projet'!$E$12+1,1))</f>
        <v>225.2323446080772</v>
      </c>
      <c r="CE182" s="59">
        <f t="shared" si="148"/>
        <v>222.29030402759292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4.053001487452196</v>
      </c>
      <c r="CL182" s="21">
        <f>EXP(-LN(2)/25)*CL181+(1-EXP(-LN(2)/25))/(LN(2)/25)*Calculateur!CG182*Calculateur!CI182*VLOOKUP('Données projet'!$B$12,Paramètres!$A$1:$I$89,3,0)*0.475*44/12</f>
        <v>0.53519237712536638</v>
      </c>
      <c r="CM182" s="21">
        <f>EXP(-LN(2)/2)*CM181+(1-EXP(-LN(2)/2))/(LN(2)/2)*CG182*CJ182*VLOOKUP('Données projet'!$B$12,Paramètres!$A$1:$I$89,3,0)*0.475*44/12</f>
        <v>0</v>
      </c>
      <c r="CN182" s="22">
        <f t="shared" si="172"/>
        <v>4.588193864577562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5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86.579999999999913</v>
      </c>
      <c r="D183" s="11">
        <f t="shared" si="140"/>
        <v>23.738552844733956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851.58181143303352</v>
      </c>
      <c r="H183" s="67">
        <f t="shared" si="110"/>
        <v>485.47147953791148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4.5474735088646412E-13</v>
      </c>
      <c r="O183" s="13">
        <f>N183*VLOOKUP('Données projet'!$B$9,Paramètres!$A$1:$I$89,3,0)*VLOOKUP('Données projet'!$B$9,Paramètres!$A$1:$I$89,5,0)</f>
        <v>2.1873347577638923E-13</v>
      </c>
      <c r="P183" s="13">
        <f t="shared" si="141"/>
        <v>2.999861355695181E-12</v>
      </c>
      <c r="Q183" s="20">
        <f t="shared" si="162"/>
        <v>5.6057193314796512E-12</v>
      </c>
      <c r="R183" s="59">
        <f t="shared" si="109"/>
        <v>293.33333333333894</v>
      </c>
      <c r="S183" s="59">
        <f ca="1">AVERAGE(OFFSET($R$3,0,0,'Données projet'!$E$9+1,1))-AVERAGE(OFFSET($H$3,0,0,'Données projet'!$E$9+1,1))</f>
        <v>234.10156575337737</v>
      </c>
      <c r="T183" s="59">
        <f t="shared" si="142"/>
        <v>285.68635263076646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23.363476489283684</v>
      </c>
      <c r="AA183" s="21">
        <f>EXP(-LN(2)/25)*AA182+(1-EXP(-LN(2)/25))/(LN(2)/25)*Calculateur!V183*Calculateur!X183*VLOOKUP('Données projet'!$B$9,Paramètres!$A$1:$I$89,3,0)*0.475*44/12</f>
        <v>5.8267119576093229</v>
      </c>
      <c r="AB183" s="21">
        <f>EXP(-LN(2)/2)*AB182+(1-EXP(-LN(2)/2))/(LN(2)/2)*V183*Y183*VLOOKUP('Données projet'!$B$9,Paramètres!$A$1:$I$89,3,0)*0.475*44/12</f>
        <v>1.1489740045784407E-21</v>
      </c>
      <c r="AC183" s="22">
        <f t="shared" si="163"/>
        <v>29.190188446893007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0</v>
      </c>
      <c r="AJ183" s="13">
        <f>AI183*VLOOKUP('Données projet'!$B$10,Paramètres!$A$1:$I$89,3,0)*VLOOKUP('Données projet'!$B$10,Paramètres!$A$1:$I$89,5,0)</f>
        <v>0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179.44051550872138</v>
      </c>
      <c r="AO183" s="59">
        <f t="shared" si="144"/>
        <v>272.9500808380069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7.737305756382205</v>
      </c>
      <c r="AV183" s="21">
        <f>EXP(-LN(2)/25)*AV182+(1-EXP(-LN(2)/25))/(LN(2)/25)*Calculateur!AQ183*Calculateur!AS183*VLOOKUP('Données projet'!$B$10,Paramètres!$A$1:$I$89,3,0)*0.475*44/12</f>
        <v>5.1911768776417375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12.928482634023943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-1.1368683772161603E-13</v>
      </c>
      <c r="BE183" s="13">
        <f>BD183*VLOOKUP('Données projet'!$B$11,Paramètres!$A$1:$I$89,3,0)*VLOOKUP('Données projet'!$B$11,Paramètres!$A$1:$I$89,5,0)</f>
        <v>-6.3550942286383367E-14</v>
      </c>
      <c r="BF183" s="13" t="e">
        <f t="shared" si="167"/>
        <v>#NUM!</v>
      </c>
      <c r="BG183" s="20" t="e">
        <f t="shared" si="168"/>
        <v>#NUM!</v>
      </c>
      <c r="BH183" s="59" t="e">
        <f t="shared" si="116"/>
        <v>#NUM!</v>
      </c>
      <c r="BI183" s="59">
        <f ca="1">AVERAGE(OFFSET($BH$3,0,0,'Données projet'!$E$11+1,1))-AVERAGE(OFFSET($H$3,0,0,'Données projet'!$E$11+1,1))</f>
        <v>278.5296012747549</v>
      </c>
      <c r="BJ183" s="59">
        <f t="shared" si="146"/>
        <v>370.55343097937077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19.066113142181443</v>
      </c>
      <c r="BQ183" s="21">
        <f>EXP(-LN(2)/25)*BQ182+(1-EXP(-LN(2)/25))/(LN(2)/25)*Calculateur!BL183*Calculateur!BN183*VLOOKUP('Données projet'!$B$11,Paramètres!$A$1:$I$89,3,0)*0.475*44/12</f>
        <v>1.8002400121325002</v>
      </c>
      <c r="BR183" s="21">
        <f>EXP(-LN(2)/2)*BR182+(1-EXP(-LN(2)/2))/(LN(2)/2)*BL183*BO183*VLOOKUP('Données projet'!$B$11,Paramètres!$A$1:$I$89,3,0)*0.475*44/12</f>
        <v>5.2379302534825042E-18</v>
      </c>
      <c r="BS183" s="22">
        <f t="shared" si="169"/>
        <v>20.866353154313945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266.99999999999983</v>
      </c>
      <c r="BZ183" s="13">
        <f>BY183*VLOOKUP('Données projet'!$B$12,Paramètres!$A$1:$I$89,3,0)*VLOOKUP('Données projet'!$B$12,Paramètres!$A$1:$I$89,5,0)</f>
        <v>212.42519999999985</v>
      </c>
      <c r="CA183" s="13">
        <f t="shared" si="170"/>
        <v>52.465198231787184</v>
      </c>
      <c r="CB183" s="20">
        <f t="shared" si="171"/>
        <v>461.35077692036231</v>
      </c>
      <c r="CC183" s="59">
        <f t="shared" si="119"/>
        <v>754.68411025369562</v>
      </c>
      <c r="CD183" s="59">
        <f ca="1">AVERAGE(OFFSET($CC$3,0,0,'Données projet'!$E$12+1,1))-AVERAGE(OFFSET($H$3,0,0,'Données projet'!$E$12+1,1))</f>
        <v>225.2323446080772</v>
      </c>
      <c r="CE183" s="59">
        <f t="shared" si="148"/>
        <v>222.29030402759292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3.9735246003700677</v>
      </c>
      <c r="CL183" s="21">
        <f>EXP(-LN(2)/25)*CL182+(1-EXP(-LN(2)/25))/(LN(2)/25)*Calculateur!CG183*Calculateur!CI183*VLOOKUP('Données projet'!$B$12,Paramètres!$A$1:$I$89,3,0)*0.475*44/12</f>
        <v>0.52055751342832934</v>
      </c>
      <c r="CM183" s="21">
        <f>EXP(-LN(2)/2)*CM182+(1-EXP(-LN(2)/2))/(LN(2)/2)*CG183*CJ183*VLOOKUP('Données projet'!$B$12,Paramètres!$A$1:$I$89,3,0)*0.475*44/12</f>
        <v>0</v>
      </c>
      <c r="CN183" s="22">
        <f t="shared" si="172"/>
        <v>4.4940821137983971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5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87.060999999999908</v>
      </c>
      <c r="D184" s="11">
        <f t="shared" si="140"/>
        <v>23.855045162692459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856.19403283481836</v>
      </c>
      <c r="H184" s="67">
        <f t="shared" si="110"/>
        <v>486.51211199168915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4.5474735088646412E-13</v>
      </c>
      <c r="O184" s="13">
        <f>N184*VLOOKUP('Données projet'!$B$9,Paramètres!$A$1:$I$89,3,0)*VLOOKUP('Données projet'!$B$9,Paramètres!$A$1:$I$89,5,0)</f>
        <v>2.1873347577638923E-13</v>
      </c>
      <c r="P184" s="13">
        <f t="shared" si="141"/>
        <v>2.999861355695181E-12</v>
      </c>
      <c r="Q184" s="20">
        <f t="shared" si="162"/>
        <v>5.6057193314796512E-12</v>
      </c>
      <c r="R184" s="59">
        <f t="shared" si="109"/>
        <v>293.33333333333894</v>
      </c>
      <c r="S184" s="59">
        <f ca="1">AVERAGE(OFFSET($R$3,0,0,'Données projet'!$E$9+1,1))-AVERAGE(OFFSET($H$3,0,0,'Données projet'!$E$9+1,1))</f>
        <v>234.10156575337737</v>
      </c>
      <c r="T184" s="59">
        <f t="shared" si="142"/>
        <v>285.68635263076646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22.905332965642387</v>
      </c>
      <c r="AA184" s="21">
        <f>EXP(-LN(2)/25)*AA183+(1-EXP(-LN(2)/25))/(LN(2)/25)*Calculateur!V184*Calculateur!X184*VLOOKUP('Données projet'!$B$9,Paramètres!$A$1:$I$89,3,0)*0.475*44/12</f>
        <v>5.667380212715031</v>
      </c>
      <c r="AB184" s="21">
        <f>EXP(-LN(2)/2)*AB183+(1-EXP(-LN(2)/2))/(LN(2)/2)*V184*Y184*VLOOKUP('Données projet'!$B$9,Paramètres!$A$1:$I$89,3,0)*0.475*44/12</f>
        <v>8.1244731004447874E-22</v>
      </c>
      <c r="AC184" s="22">
        <f t="shared" si="163"/>
        <v>28.572713178357418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0</v>
      </c>
      <c r="AJ184" s="13">
        <f>AI184*VLOOKUP('Données projet'!$B$10,Paramètres!$A$1:$I$89,3,0)*VLOOKUP('Données projet'!$B$10,Paramètres!$A$1:$I$89,5,0)</f>
        <v>0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179.44051550872138</v>
      </c>
      <c r="AO184" s="59">
        <f t="shared" si="144"/>
        <v>272.9500808380069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7.5855819097900703</v>
      </c>
      <c r="AV184" s="21">
        <f>EXP(-LN(2)/25)*AV183+(1-EXP(-LN(2)/25))/(LN(2)/25)*Calculateur!AQ184*Calculateur!AS184*VLOOKUP('Données projet'!$B$10,Paramètres!$A$1:$I$89,3,0)*0.475*44/12</f>
        <v>5.0492238729304972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12.634805782720568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-1.1368683772161603E-13</v>
      </c>
      <c r="BE184" s="13">
        <f>BD184*VLOOKUP('Données projet'!$B$11,Paramètres!$A$1:$I$89,3,0)*VLOOKUP('Données projet'!$B$11,Paramètres!$A$1:$I$89,5,0)</f>
        <v>-6.3550942286383367E-14</v>
      </c>
      <c r="BF184" s="13" t="e">
        <f t="shared" si="167"/>
        <v>#NUM!</v>
      </c>
      <c r="BG184" s="20" t="e">
        <f t="shared" si="168"/>
        <v>#NUM!</v>
      </c>
      <c r="BH184" s="59" t="e">
        <f t="shared" si="116"/>
        <v>#NUM!</v>
      </c>
      <c r="BI184" s="59">
        <f ca="1">AVERAGE(OFFSET($BH$3,0,0,'Données projet'!$E$11+1,1))-AVERAGE(OFFSET($H$3,0,0,'Données projet'!$E$11+1,1))</f>
        <v>278.5296012747549</v>
      </c>
      <c r="BJ184" s="59">
        <f t="shared" si="146"/>
        <v>370.55343097937077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18.692238292643996</v>
      </c>
      <c r="BQ184" s="21">
        <f>EXP(-LN(2)/25)*BQ183+(1-EXP(-LN(2)/25))/(LN(2)/25)*Calculateur!BL184*Calculateur!BN184*VLOOKUP('Données projet'!$B$11,Paramètres!$A$1:$I$89,3,0)*0.475*44/12</f>
        <v>1.7510123543302292</v>
      </c>
      <c r="BR184" s="21">
        <f>EXP(-LN(2)/2)*BR183+(1-EXP(-LN(2)/2))/(LN(2)/2)*BL184*BO184*VLOOKUP('Données projet'!$B$11,Paramètres!$A$1:$I$89,3,0)*0.475*44/12</f>
        <v>3.7037760016196505E-18</v>
      </c>
      <c r="BS184" s="22">
        <f t="shared" si="169"/>
        <v>20.443250646974224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266.99999999999983</v>
      </c>
      <c r="BZ184" s="13">
        <f>BY184*VLOOKUP('Données projet'!$B$12,Paramètres!$A$1:$I$89,3,0)*VLOOKUP('Données projet'!$B$12,Paramètres!$A$1:$I$89,5,0)</f>
        <v>212.42519999999985</v>
      </c>
      <c r="CA184" s="13">
        <f t="shared" si="170"/>
        <v>52.465198231787184</v>
      </c>
      <c r="CB184" s="20">
        <f t="shared" si="171"/>
        <v>461.35077692036231</v>
      </c>
      <c r="CC184" s="59">
        <f t="shared" si="119"/>
        <v>754.68411025369562</v>
      </c>
      <c r="CD184" s="59">
        <f ca="1">AVERAGE(OFFSET($CC$3,0,0,'Données projet'!$E$12+1,1))-AVERAGE(OFFSET($H$3,0,0,'Données projet'!$E$12+1,1))</f>
        <v>225.2323446080772</v>
      </c>
      <c r="CE184" s="59">
        <f t="shared" si="148"/>
        <v>222.29030402759292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3.8956062065675052</v>
      </c>
      <c r="CL184" s="21">
        <f>EXP(-LN(2)/25)*CL183+(1-EXP(-LN(2)/25))/(LN(2)/25)*Calculateur!CG184*Calculateur!CI184*VLOOKUP('Données projet'!$B$12,Paramètres!$A$1:$I$89,3,0)*0.475*44/12</f>
        <v>0.50632284084870183</v>
      </c>
      <c r="CM184" s="21">
        <f>EXP(-LN(2)/2)*CM183+(1-EXP(-LN(2)/2))/(LN(2)/2)*CG184*CJ184*VLOOKUP('Données projet'!$B$12,Paramètres!$A$1:$I$89,3,0)*0.475*44/12</f>
        <v>0</v>
      </c>
      <c r="CN184" s="22">
        <f t="shared" si="172"/>
        <v>4.4019290474162069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5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87.541999999999902</v>
      </c>
      <c r="D185" s="11">
        <f t="shared" si="140"/>
        <v>23.971462588829898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860.80567612430013</v>
      </c>
      <c r="H185" s="67">
        <f t="shared" si="110"/>
        <v>487.55261400887855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4.5474735088646412E-13</v>
      </c>
      <c r="O185" s="13">
        <f>N185*VLOOKUP('Données projet'!$B$9,Paramètres!$A$1:$I$89,3,0)*VLOOKUP('Données projet'!$B$9,Paramètres!$A$1:$I$89,5,0)</f>
        <v>2.1873347577638923E-13</v>
      </c>
      <c r="P185" s="13">
        <f t="shared" si="141"/>
        <v>2.999861355695181E-12</v>
      </c>
      <c r="Q185" s="20">
        <f t="shared" si="162"/>
        <v>5.6057193314796512E-12</v>
      </c>
      <c r="R185" s="59">
        <f t="shared" si="109"/>
        <v>293.33333333333894</v>
      </c>
      <c r="S185" s="59">
        <f ca="1">AVERAGE(OFFSET($R$3,0,0,'Données projet'!$E$9+1,1))-AVERAGE(OFFSET($H$3,0,0,'Données projet'!$E$9+1,1))</f>
        <v>234.10156575337737</v>
      </c>
      <c r="T185" s="59">
        <f t="shared" si="142"/>
        <v>285.68635263076646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22.45617335705974</v>
      </c>
      <c r="AA185" s="21">
        <f>EXP(-LN(2)/25)*AA184+(1-EXP(-LN(2)/25))/(LN(2)/25)*Calculateur!V185*Calculateur!X185*VLOOKUP('Données projet'!$B$9,Paramètres!$A$1:$I$89,3,0)*0.475*44/12</f>
        <v>5.5124054027637657</v>
      </c>
      <c r="AB185" s="21">
        <f>EXP(-LN(2)/2)*AB184+(1-EXP(-LN(2)/2))/(LN(2)/2)*V185*Y185*VLOOKUP('Données projet'!$B$9,Paramètres!$A$1:$I$89,3,0)*0.475*44/12</f>
        <v>5.7448700228922036E-22</v>
      </c>
      <c r="AC185" s="22">
        <f t="shared" si="163"/>
        <v>27.968578759823504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0</v>
      </c>
      <c r="AJ185" s="13">
        <f>AI185*VLOOKUP('Données projet'!$B$10,Paramètres!$A$1:$I$89,3,0)*VLOOKUP('Données projet'!$B$10,Paramètres!$A$1:$I$89,5,0)</f>
        <v>0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179.44051550872138</v>
      </c>
      <c r="AO185" s="59">
        <f t="shared" si="144"/>
        <v>272.9500808380069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7.4368332752871984</v>
      </c>
      <c r="AV185" s="21">
        <f>EXP(-LN(2)/25)*AV184+(1-EXP(-LN(2)/25))/(LN(2)/25)*Calculateur!AQ185*Calculateur!AS185*VLOOKUP('Données projet'!$B$10,Paramètres!$A$1:$I$89,3,0)*0.475*44/12</f>
        <v>4.9111525805980696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12.347985855885268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-1.1368683772161603E-13</v>
      </c>
      <c r="BE185" s="13">
        <f>BD185*VLOOKUP('Données projet'!$B$11,Paramètres!$A$1:$I$89,3,0)*VLOOKUP('Données projet'!$B$11,Paramètres!$A$1:$I$89,5,0)</f>
        <v>-6.3550942286383367E-14</v>
      </c>
      <c r="BF185" s="13" t="e">
        <f t="shared" si="167"/>
        <v>#NUM!</v>
      </c>
      <c r="BG185" s="20" t="e">
        <f t="shared" si="168"/>
        <v>#NUM!</v>
      </c>
      <c r="BH185" s="59" t="e">
        <f t="shared" si="116"/>
        <v>#NUM!</v>
      </c>
      <c r="BI185" s="59">
        <f ca="1">AVERAGE(OFFSET($BH$3,0,0,'Données projet'!$E$11+1,1))-AVERAGE(OFFSET($H$3,0,0,'Données projet'!$E$11+1,1))</f>
        <v>278.5296012747549</v>
      </c>
      <c r="BJ185" s="59">
        <f t="shared" si="146"/>
        <v>370.55343097937077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18.325694900864836</v>
      </c>
      <c r="BQ185" s="21">
        <f>EXP(-LN(2)/25)*BQ184+(1-EXP(-LN(2)/25))/(LN(2)/25)*Calculateur!BL185*Calculateur!BN185*VLOOKUP('Données projet'!$B$11,Paramètres!$A$1:$I$89,3,0)*0.475*44/12</f>
        <v>1.7031308294193312</v>
      </c>
      <c r="BR185" s="21">
        <f>EXP(-LN(2)/2)*BR184+(1-EXP(-LN(2)/2))/(LN(2)/2)*BL185*BO185*VLOOKUP('Données projet'!$B$11,Paramètres!$A$1:$I$89,3,0)*0.475*44/12</f>
        <v>2.6189651267412521E-18</v>
      </c>
      <c r="BS185" s="22">
        <f t="shared" si="169"/>
        <v>20.028825730284169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266.99999999999983</v>
      </c>
      <c r="BZ185" s="13">
        <f>BY185*VLOOKUP('Données projet'!$B$12,Paramètres!$A$1:$I$89,3,0)*VLOOKUP('Données projet'!$B$12,Paramètres!$A$1:$I$89,5,0)</f>
        <v>212.42519999999985</v>
      </c>
      <c r="CA185" s="13">
        <f t="shared" si="170"/>
        <v>52.465198231787184</v>
      </c>
      <c r="CB185" s="20">
        <f t="shared" si="171"/>
        <v>461.35077692036231</v>
      </c>
      <c r="CC185" s="59">
        <f t="shared" si="119"/>
        <v>754.68411025369562</v>
      </c>
      <c r="CD185" s="59">
        <f ca="1">AVERAGE(OFFSET($CC$3,0,0,'Données projet'!$E$12+1,1))-AVERAGE(OFFSET($H$3,0,0,'Données projet'!$E$12+1,1))</f>
        <v>225.2323446080772</v>
      </c>
      <c r="CE185" s="59">
        <f t="shared" si="148"/>
        <v>222.29030402759292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3.8192157449418835</v>
      </c>
      <c r="CL185" s="21">
        <f>EXP(-LN(2)/25)*CL184+(1-EXP(-LN(2)/25))/(LN(2)/25)*Calculateur!CG185*Calculateur!CI185*VLOOKUP('Données projet'!$B$12,Paramètres!$A$1:$I$89,3,0)*0.475*44/12</f>
        <v>0.4924774161393331</v>
      </c>
      <c r="CM185" s="21">
        <f>EXP(-LN(2)/2)*CM184+(1-EXP(-LN(2)/2))/(LN(2)/2)*CG185*CJ185*VLOOKUP('Données projet'!$B$12,Paramètres!$A$1:$I$89,3,0)*0.475*44/12</f>
        <v>0</v>
      </c>
      <c r="CN185" s="22">
        <f t="shared" si="172"/>
        <v>4.3116931610812168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5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88.022999999999897</v>
      </c>
      <c r="D186" s="11">
        <f t="shared" si="140"/>
        <v>24.087805582395383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865.41674484656005</v>
      </c>
      <c r="H186" s="67">
        <f t="shared" si="110"/>
        <v>488.59298638933842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4.5474735088646412E-13</v>
      </c>
      <c r="O186" s="13">
        <f>N186*VLOOKUP('Données projet'!$B$9,Paramètres!$A$1:$I$89,3,0)*VLOOKUP('Données projet'!$B$9,Paramètres!$A$1:$I$89,5,0)</f>
        <v>2.1873347577638923E-13</v>
      </c>
      <c r="P186" s="13">
        <f t="shared" si="141"/>
        <v>2.999861355695181E-12</v>
      </c>
      <c r="Q186" s="20">
        <f t="shared" si="162"/>
        <v>5.6057193314796512E-12</v>
      </c>
      <c r="R186" s="59">
        <f t="shared" si="109"/>
        <v>293.33333333333894</v>
      </c>
      <c r="S186" s="59">
        <f ca="1">AVERAGE(OFFSET($R$3,0,0,'Données projet'!$E$9+1,1))-AVERAGE(OFFSET($H$3,0,0,'Données projet'!$E$9+1,1))</f>
        <v>234.10156575337737</v>
      </c>
      <c r="T186" s="59">
        <f t="shared" si="142"/>
        <v>285.68635263076646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22.015821494441088</v>
      </c>
      <c r="AA186" s="21">
        <f>EXP(-LN(2)/25)*AA185+(1-EXP(-LN(2)/25))/(LN(2)/25)*Calculateur!V186*Calculateur!X186*VLOOKUP('Données projet'!$B$9,Paramètres!$A$1:$I$89,3,0)*0.475*44/12</f>
        <v>5.361668387140389</v>
      </c>
      <c r="AB186" s="21">
        <f>EXP(-LN(2)/2)*AB185+(1-EXP(-LN(2)/2))/(LN(2)/2)*V186*Y186*VLOOKUP('Données projet'!$B$9,Paramètres!$A$1:$I$89,3,0)*0.475*44/12</f>
        <v>4.0622365502223937E-22</v>
      </c>
      <c r="AC186" s="22">
        <f t="shared" si="163"/>
        <v>27.377489881581475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0</v>
      </c>
      <c r="AJ186" s="13">
        <f>AI186*VLOOKUP('Données projet'!$B$10,Paramètres!$A$1:$I$89,3,0)*VLOOKUP('Données projet'!$B$10,Paramètres!$A$1:$I$89,5,0)</f>
        <v>0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179.44051550872138</v>
      </c>
      <c r="AO186" s="59">
        <f t="shared" si="144"/>
        <v>272.9500808380069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7.2910015107792194</v>
      </c>
      <c r="AV186" s="21">
        <f>EXP(-LN(2)/25)*AV185+(1-EXP(-LN(2)/25))/(LN(2)/25)*Calculateur!AQ186*Calculateur!AS186*VLOOKUP('Données projet'!$B$10,Paramètres!$A$1:$I$89,3,0)*0.475*44/12</f>
        <v>4.7768568550153256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12.067858365794546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-1.1368683772161603E-13</v>
      </c>
      <c r="BE186" s="13">
        <f>BD186*VLOOKUP('Données projet'!$B$11,Paramètres!$A$1:$I$89,3,0)*VLOOKUP('Données projet'!$B$11,Paramètres!$A$1:$I$89,5,0)</f>
        <v>-6.3550942286383367E-14</v>
      </c>
      <c r="BF186" s="13" t="e">
        <f t="shared" si="167"/>
        <v>#NUM!</v>
      </c>
      <c r="BG186" s="20" t="e">
        <f t="shared" si="168"/>
        <v>#NUM!</v>
      </c>
      <c r="BH186" s="59" t="e">
        <f t="shared" si="116"/>
        <v>#NUM!</v>
      </c>
      <c r="BI186" s="59">
        <f ca="1">AVERAGE(OFFSET($BH$3,0,0,'Données projet'!$E$11+1,1))-AVERAGE(OFFSET($H$3,0,0,'Données projet'!$E$11+1,1))</f>
        <v>278.5296012747549</v>
      </c>
      <c r="BJ186" s="59">
        <f t="shared" si="146"/>
        <v>370.55343097937077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17.966339201429072</v>
      </c>
      <c r="BQ186" s="21">
        <f>EXP(-LN(2)/25)*BQ185+(1-EXP(-LN(2)/25))/(LN(2)/25)*Calculateur!BL186*Calculateur!BN186*VLOOKUP('Données projet'!$B$11,Paramètres!$A$1:$I$89,3,0)*0.475*44/12</f>
        <v>1.6565586273251018</v>
      </c>
      <c r="BR186" s="21">
        <f>EXP(-LN(2)/2)*BR185+(1-EXP(-LN(2)/2))/(LN(2)/2)*BL186*BO186*VLOOKUP('Données projet'!$B$11,Paramètres!$A$1:$I$89,3,0)*0.475*44/12</f>
        <v>1.8518880008098253E-18</v>
      </c>
      <c r="BS186" s="22">
        <f t="shared" si="169"/>
        <v>19.622897828754173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266.99999999999983</v>
      </c>
      <c r="BZ186" s="13">
        <f>BY186*VLOOKUP('Données projet'!$B$12,Paramètres!$A$1:$I$89,3,0)*VLOOKUP('Données projet'!$B$12,Paramètres!$A$1:$I$89,5,0)</f>
        <v>212.42519999999985</v>
      </c>
      <c r="CA186" s="13">
        <f t="shared" si="170"/>
        <v>52.465198231787184</v>
      </c>
      <c r="CB186" s="20">
        <f t="shared" si="171"/>
        <v>461.35077692036231</v>
      </c>
      <c r="CC186" s="59">
        <f t="shared" si="119"/>
        <v>754.68411025369562</v>
      </c>
      <c r="CD186" s="59">
        <f ca="1">AVERAGE(OFFSET($CC$3,0,0,'Données projet'!$E$12+1,1))-AVERAGE(OFFSET($H$3,0,0,'Données projet'!$E$12+1,1))</f>
        <v>225.2323446080772</v>
      </c>
      <c r="CE186" s="59">
        <f t="shared" si="148"/>
        <v>222.29030402759292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3.7443232536751596</v>
      </c>
      <c r="CL186" s="21">
        <f>EXP(-LN(2)/25)*CL185+(1-EXP(-LN(2)/25))/(LN(2)/25)*Calculateur!CG186*Calculateur!CI186*VLOOKUP('Données projet'!$B$12,Paramètres!$A$1:$I$89,3,0)*0.475*44/12</f>
        <v>0.47901059529674128</v>
      </c>
      <c r="CM186" s="21">
        <f>EXP(-LN(2)/2)*CM185+(1-EXP(-LN(2)/2))/(LN(2)/2)*CG186*CJ186*VLOOKUP('Données projet'!$B$12,Paramètres!$A$1:$I$89,3,0)*0.475*44/12</f>
        <v>0</v>
      </c>
      <c r="CN186" s="22">
        <f t="shared" si="172"/>
        <v>4.223333848971901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5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87" s="11">
        <f t="shared" si="140"/>
        <v>24.204074597328436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870.02724250569247</v>
      </c>
      <c r="H187" s="67">
        <f t="shared" si="110"/>
        <v>489.63322992368012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4.5474735088646412E-13</v>
      </c>
      <c r="O187" s="13">
        <f>N187*VLOOKUP('Données projet'!$B$9,Paramètres!$A$1:$I$89,3,0)*VLOOKUP('Données projet'!$B$9,Paramètres!$A$1:$I$89,5,0)</f>
        <v>2.1873347577638923E-13</v>
      </c>
      <c r="P187" s="13">
        <f t="shared" si="141"/>
        <v>2.999861355695181E-12</v>
      </c>
      <c r="Q187" s="20">
        <f t="shared" si="162"/>
        <v>5.6057193314796512E-12</v>
      </c>
      <c r="R187" s="59">
        <f t="shared" si="109"/>
        <v>293.33333333333894</v>
      </c>
      <c r="S187" s="59">
        <f ca="1">AVERAGE(OFFSET($R$3,0,0,'Données projet'!$E$9+1,1))-AVERAGE(OFFSET($H$3,0,0,'Données projet'!$E$9+1,1))</f>
        <v>234.10156575337737</v>
      </c>
      <c r="T187" s="59">
        <f t="shared" si="142"/>
        <v>285.68635263076646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21.584104663260273</v>
      </c>
      <c r="AA187" s="21">
        <f>EXP(-LN(2)/25)*AA186+(1-EXP(-LN(2)/25))/(LN(2)/25)*Calculateur!V187*Calculateur!X187*VLOOKUP('Données projet'!$B$9,Paramètres!$A$1:$I$89,3,0)*0.475*44/12</f>
        <v>5.2150532831361485</v>
      </c>
      <c r="AB187" s="21">
        <f>EXP(-LN(2)/2)*AB186+(1-EXP(-LN(2)/2))/(LN(2)/2)*V187*Y187*VLOOKUP('Données projet'!$B$9,Paramètres!$A$1:$I$89,3,0)*0.475*44/12</f>
        <v>2.8724350114461018E-22</v>
      </c>
      <c r="AC187" s="22">
        <f t="shared" si="163"/>
        <v>26.79915794639642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0</v>
      </c>
      <c r="AJ187" s="13">
        <f>AI187*VLOOKUP('Données projet'!$B$10,Paramètres!$A$1:$I$89,3,0)*VLOOKUP('Données projet'!$B$10,Paramètres!$A$1:$I$89,5,0)</f>
        <v>0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179.44051550872138</v>
      </c>
      <c r="AO187" s="59">
        <f t="shared" si="144"/>
        <v>272.9500808380069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7.1480294182246489</v>
      </c>
      <c r="AV187" s="21">
        <f>EXP(-LN(2)/25)*AV186+(1-EXP(-LN(2)/25))/(LN(2)/25)*Calculateur!AQ187*Calculateur!AS187*VLOOKUP('Données projet'!$B$10,Paramètres!$A$1:$I$89,3,0)*0.475*44/12</f>
        <v>4.6462334531109475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11.794262871335597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-1.1368683772161603E-13</v>
      </c>
      <c r="BE187" s="13">
        <f>BD187*VLOOKUP('Données projet'!$B$11,Paramètres!$A$1:$I$89,3,0)*VLOOKUP('Données projet'!$B$11,Paramètres!$A$1:$I$89,5,0)</f>
        <v>-6.3550942286383367E-14</v>
      </c>
      <c r="BF187" s="13" t="e">
        <f t="shared" si="167"/>
        <v>#NUM!</v>
      </c>
      <c r="BG187" s="20" t="e">
        <f t="shared" si="168"/>
        <v>#NUM!</v>
      </c>
      <c r="BH187" s="59" t="e">
        <f t="shared" si="116"/>
        <v>#NUM!</v>
      </c>
      <c r="BI187" s="59">
        <f ca="1">AVERAGE(OFFSET($BH$3,0,0,'Données projet'!$E$11+1,1))-AVERAGE(OFFSET($H$3,0,0,'Données projet'!$E$11+1,1))</f>
        <v>278.5296012747549</v>
      </c>
      <c r="BJ187" s="59">
        <f t="shared" si="146"/>
        <v>370.55343097937077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17.614030248073909</v>
      </c>
      <c r="BQ187" s="21">
        <f>EXP(-LN(2)/25)*BQ186+(1-EXP(-LN(2)/25))/(LN(2)/25)*Calculateur!BL187*Calculateur!BN187*VLOOKUP('Données projet'!$B$11,Paramètres!$A$1:$I$89,3,0)*0.475*44/12</f>
        <v>1.6112599445462648</v>
      </c>
      <c r="BR187" s="21">
        <f>EXP(-LN(2)/2)*BR186+(1-EXP(-LN(2)/2))/(LN(2)/2)*BL187*BO187*VLOOKUP('Données projet'!$B$11,Paramètres!$A$1:$I$89,3,0)*0.475*44/12</f>
        <v>1.3094825633706261E-18</v>
      </c>
      <c r="BS187" s="22">
        <f t="shared" si="169"/>
        <v>19.225290192620175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266.99999999999983</v>
      </c>
      <c r="BZ187" s="13">
        <f>BY187*VLOOKUP('Données projet'!$B$12,Paramètres!$A$1:$I$89,3,0)*VLOOKUP('Données projet'!$B$12,Paramètres!$A$1:$I$89,5,0)</f>
        <v>212.42519999999985</v>
      </c>
      <c r="CA187" s="13">
        <f t="shared" si="170"/>
        <v>52.465198231787184</v>
      </c>
      <c r="CB187" s="20">
        <f t="shared" si="171"/>
        <v>461.35077692036231</v>
      </c>
      <c r="CC187" s="59">
        <f t="shared" si="119"/>
        <v>754.68411025369562</v>
      </c>
      <c r="CD187" s="59">
        <f ca="1">AVERAGE(OFFSET($CC$3,0,0,'Données projet'!$E$12+1,1))-AVERAGE(OFFSET($H$3,0,0,'Données projet'!$E$12+1,1))</f>
        <v>225.2323446080772</v>
      </c>
      <c r="CE187" s="59">
        <f t="shared" si="148"/>
        <v>222.29030402759292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3.6708993584822669</v>
      </c>
      <c r="CL187" s="21">
        <f>EXP(-LN(2)/25)*CL186+(1-EXP(-LN(2)/25))/(LN(2)/25)*Calculateur!CG187*Calculateur!CI187*VLOOKUP('Données projet'!$B$12,Paramètres!$A$1:$I$89,3,0)*0.475*44/12</f>
        <v>0.46591202537827947</v>
      </c>
      <c r="CM187" s="21">
        <f>EXP(-LN(2)/2)*CM186+(1-EXP(-LN(2)/2))/(LN(2)/2)*CG187*CJ187*VLOOKUP('Données projet'!$B$12,Paramètres!$A$1:$I$89,3,0)*0.475*44/12</f>
        <v>0</v>
      </c>
      <c r="CN187" s="22">
        <f t="shared" si="172"/>
        <v>4.1368113838605467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5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88.984999999999886</v>
      </c>
      <c r="D188" s="11">
        <f t="shared" si="140"/>
        <v>24.320270082348852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874.6371725654991</v>
      </c>
      <c r="H188" s="67">
        <f t="shared" si="110"/>
        <v>490.67334539342403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4.5474735088646412E-13</v>
      </c>
      <c r="O188" s="13">
        <f>N188*VLOOKUP('Données projet'!$B$9,Paramètres!$A$1:$I$89,3,0)*VLOOKUP('Données projet'!$B$9,Paramètres!$A$1:$I$89,5,0)</f>
        <v>2.1873347577638923E-13</v>
      </c>
      <c r="P188" s="13">
        <f t="shared" si="141"/>
        <v>2.999861355695181E-12</v>
      </c>
      <c r="Q188" s="20">
        <f t="shared" si="162"/>
        <v>5.6057193314796512E-12</v>
      </c>
      <c r="R188" s="59">
        <f t="shared" si="109"/>
        <v>293.33333333333894</v>
      </c>
      <c r="S188" s="59">
        <f ca="1">AVERAGE(OFFSET($R$3,0,0,'Données projet'!$E$9+1,1))-AVERAGE(OFFSET($H$3,0,0,'Données projet'!$E$9+1,1))</f>
        <v>234.10156575337737</v>
      </c>
      <c r="T188" s="59">
        <f t="shared" si="142"/>
        <v>285.68635263076646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21.160853535817647</v>
      </c>
      <c r="AA188" s="21">
        <f>EXP(-LN(2)/25)*AA187+(1-EXP(-LN(2)/25))/(LN(2)/25)*Calculateur!V188*Calculateur!X188*VLOOKUP('Données projet'!$B$9,Paramètres!$A$1:$I$89,3,0)*0.475*44/12</f>
        <v>5.0724473768610574</v>
      </c>
      <c r="AB188" s="21">
        <f>EXP(-LN(2)/2)*AB187+(1-EXP(-LN(2)/2))/(LN(2)/2)*V188*Y188*VLOOKUP('Données projet'!$B$9,Paramètres!$A$1:$I$89,3,0)*0.475*44/12</f>
        <v>2.0311182751111968E-22</v>
      </c>
      <c r="AC188" s="22">
        <f t="shared" si="163"/>
        <v>26.233300912678704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0</v>
      </c>
      <c r="AJ188" s="13">
        <f>AI188*VLOOKUP('Données projet'!$B$10,Paramètres!$A$1:$I$89,3,0)*VLOOKUP('Données projet'!$B$10,Paramètres!$A$1:$I$89,5,0)</f>
        <v>0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179.44051550872138</v>
      </c>
      <c r="AO188" s="59">
        <f t="shared" si="144"/>
        <v>272.9500808380069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7.0078609212007077</v>
      </c>
      <c r="AV188" s="21">
        <f>EXP(-LN(2)/25)*AV187+(1-EXP(-LN(2)/25))/(LN(2)/25)*Calculateur!AQ188*Calculateur!AS188*VLOOKUP('Données projet'!$B$10,Paramètres!$A$1:$I$89,3,0)*0.475*44/12</f>
        <v>4.5191819550008301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11.527042876201538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-1.1368683772161603E-13</v>
      </c>
      <c r="BE188" s="13">
        <f>BD188*VLOOKUP('Données projet'!$B$11,Paramètres!$A$1:$I$89,3,0)*VLOOKUP('Données projet'!$B$11,Paramètres!$A$1:$I$89,5,0)</f>
        <v>-6.3550942286383367E-14</v>
      </c>
      <c r="BF188" s="13" t="e">
        <f t="shared" si="167"/>
        <v>#NUM!</v>
      </c>
      <c r="BG188" s="20" t="e">
        <f t="shared" si="168"/>
        <v>#NUM!</v>
      </c>
      <c r="BH188" s="59" t="e">
        <f t="shared" si="116"/>
        <v>#NUM!</v>
      </c>
      <c r="BI188" s="59">
        <f ca="1">AVERAGE(OFFSET($BH$3,0,0,'Données projet'!$E$11+1,1))-AVERAGE(OFFSET($H$3,0,0,'Données projet'!$E$11+1,1))</f>
        <v>278.5296012747549</v>
      </c>
      <c r="BJ188" s="59">
        <f t="shared" si="146"/>
        <v>370.55343097937077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17.268629858406801</v>
      </c>
      <c r="BQ188" s="21">
        <f>EXP(-LN(2)/25)*BQ187+(1-EXP(-LN(2)/25))/(LN(2)/25)*Calculateur!BL188*Calculateur!BN188*VLOOKUP('Données projet'!$B$11,Paramètres!$A$1:$I$89,3,0)*0.475*44/12</f>
        <v>1.5671999566301693</v>
      </c>
      <c r="BR188" s="21">
        <f>EXP(-LN(2)/2)*BR187+(1-EXP(-LN(2)/2))/(LN(2)/2)*BL188*BO188*VLOOKUP('Données projet'!$B$11,Paramètres!$A$1:$I$89,3,0)*0.475*44/12</f>
        <v>9.2594400040491263E-19</v>
      </c>
      <c r="BS188" s="22">
        <f t="shared" si="169"/>
        <v>18.83582981503697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266.99999999999983</v>
      </c>
      <c r="BZ188" s="13">
        <f>BY188*VLOOKUP('Données projet'!$B$12,Paramètres!$A$1:$I$89,3,0)*VLOOKUP('Données projet'!$B$12,Paramètres!$A$1:$I$89,5,0)</f>
        <v>212.42519999999985</v>
      </c>
      <c r="CA188" s="13">
        <f t="shared" si="170"/>
        <v>52.465198231787184</v>
      </c>
      <c r="CB188" s="20">
        <f t="shared" si="171"/>
        <v>461.35077692036231</v>
      </c>
      <c r="CC188" s="59">
        <f t="shared" si="119"/>
        <v>754.68411025369562</v>
      </c>
      <c r="CD188" s="59">
        <f ca="1">AVERAGE(OFFSET($CC$3,0,0,'Données projet'!$E$12+1,1))-AVERAGE(OFFSET($H$3,0,0,'Données projet'!$E$12+1,1))</f>
        <v>225.2323446080772</v>
      </c>
      <c r="CE188" s="59">
        <f t="shared" si="148"/>
        <v>222.29030402759292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3.5989152610899526</v>
      </c>
      <c r="CL188" s="21">
        <f>EXP(-LN(2)/25)*CL187+(1-EXP(-LN(2)/25))/(LN(2)/25)*Calculateur!CG188*Calculateur!CI188*VLOOKUP('Données projet'!$B$12,Paramètres!$A$1:$I$89,3,0)*0.475*44/12</f>
        <v>0.45317163654306186</v>
      </c>
      <c r="CM188" s="21">
        <f>EXP(-LN(2)/2)*CM187+(1-EXP(-LN(2)/2))/(LN(2)/2)*CG188*CJ188*VLOOKUP('Données projet'!$B$12,Paramètres!$A$1:$I$89,3,0)*0.475*44/12</f>
        <v>0</v>
      </c>
      <c r="CN188" s="22">
        <f t="shared" si="172"/>
        <v>4.0520868976330142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5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89.46599999999988</v>
      </c>
      <c r="D189" s="11">
        <f t="shared" si="140"/>
        <v>24.436392481044596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879.24653845016792</v>
      </c>
      <c r="H189" s="67">
        <f t="shared" si="110"/>
        <v>491.71333357115242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4.5474735088646412E-13</v>
      </c>
      <c r="O189" s="13">
        <f>N189*VLOOKUP('Données projet'!$B$9,Paramètres!$A$1:$I$89,3,0)*VLOOKUP('Données projet'!$B$9,Paramètres!$A$1:$I$89,5,0)</f>
        <v>2.1873347577638923E-13</v>
      </c>
      <c r="P189" s="13">
        <f t="shared" si="141"/>
        <v>2.999861355695181E-12</v>
      </c>
      <c r="Q189" s="20">
        <f t="shared" si="162"/>
        <v>5.6057193314796512E-12</v>
      </c>
      <c r="R189" s="59">
        <f t="shared" si="109"/>
        <v>293.33333333333894</v>
      </c>
      <c r="S189" s="59">
        <f ca="1">AVERAGE(OFFSET($R$3,0,0,'Données projet'!$E$9+1,1))-AVERAGE(OFFSET($H$3,0,0,'Données projet'!$E$9+1,1))</f>
        <v>234.10156575337737</v>
      </c>
      <c r="T189" s="59">
        <f t="shared" si="142"/>
        <v>285.68635263076646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20.745902104826474</v>
      </c>
      <c r="AA189" s="21">
        <f>EXP(-LN(2)/25)*AA188+(1-EXP(-LN(2)/25))/(LN(2)/25)*Calculateur!V189*Calculateur!X189*VLOOKUP('Données projet'!$B$9,Paramètres!$A$1:$I$89,3,0)*0.475*44/12</f>
        <v>4.9337410365923775</v>
      </c>
      <c r="AB189" s="21">
        <f>EXP(-LN(2)/2)*AB188+(1-EXP(-LN(2)/2))/(LN(2)/2)*V189*Y189*VLOOKUP('Données projet'!$B$9,Paramètres!$A$1:$I$89,3,0)*0.475*44/12</f>
        <v>1.4362175057230509E-22</v>
      </c>
      <c r="AC189" s="22">
        <f t="shared" si="163"/>
        <v>25.67964314141885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0</v>
      </c>
      <c r="AJ189" s="13">
        <f>AI189*VLOOKUP('Données projet'!$B$10,Paramètres!$A$1:$I$89,3,0)*VLOOKUP('Données projet'!$B$10,Paramètres!$A$1:$I$89,5,0)</f>
        <v>0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179.44051550872138</v>
      </c>
      <c r="AO189" s="59">
        <f t="shared" si="144"/>
        <v>272.9500808380069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6.8704410429090643</v>
      </c>
      <c r="AV189" s="21">
        <f>EXP(-LN(2)/25)*AV188+(1-EXP(-LN(2)/25))/(LN(2)/25)*Calculateur!AQ189*Calculateur!AS189*VLOOKUP('Données projet'!$B$10,Paramètres!$A$1:$I$89,3,0)*0.475*44/12</f>
        <v>4.3956046867878822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11.266045729696947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-1.1368683772161603E-13</v>
      </c>
      <c r="BE189" s="13">
        <f>BD189*VLOOKUP('Données projet'!$B$11,Paramètres!$A$1:$I$89,3,0)*VLOOKUP('Données projet'!$B$11,Paramètres!$A$1:$I$89,5,0)</f>
        <v>-6.3550942286383367E-14</v>
      </c>
      <c r="BF189" s="13" t="e">
        <f t="shared" si="167"/>
        <v>#NUM!</v>
      </c>
      <c r="BG189" s="20" t="e">
        <f t="shared" si="168"/>
        <v>#NUM!</v>
      </c>
      <c r="BH189" s="59" t="e">
        <f t="shared" si="116"/>
        <v>#NUM!</v>
      </c>
      <c r="BI189" s="59">
        <f ca="1">AVERAGE(OFFSET($BH$3,0,0,'Données projet'!$E$11+1,1))-AVERAGE(OFFSET($H$3,0,0,'Données projet'!$E$11+1,1))</f>
        <v>278.5296012747549</v>
      </c>
      <c r="BJ189" s="59">
        <f t="shared" si="146"/>
        <v>370.55343097937077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16.930002559707628</v>
      </c>
      <c r="BQ189" s="21">
        <f>EXP(-LN(2)/25)*BQ188+(1-EXP(-LN(2)/25))/(LN(2)/25)*Calculateur!BL189*Calculateur!BN189*VLOOKUP('Données projet'!$B$11,Paramètres!$A$1:$I$89,3,0)*0.475*44/12</f>
        <v>1.5243447914006536</v>
      </c>
      <c r="BR189" s="21">
        <f>EXP(-LN(2)/2)*BR188+(1-EXP(-LN(2)/2))/(LN(2)/2)*BL189*BO189*VLOOKUP('Données projet'!$B$11,Paramètres!$A$1:$I$89,3,0)*0.475*44/12</f>
        <v>6.5474128168531303E-19</v>
      </c>
      <c r="BS189" s="22">
        <f t="shared" si="169"/>
        <v>18.454347351108282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266.99999999999983</v>
      </c>
      <c r="BZ189" s="13">
        <f>BY189*VLOOKUP('Données projet'!$B$12,Paramètres!$A$1:$I$89,3,0)*VLOOKUP('Données projet'!$B$12,Paramètres!$A$1:$I$89,5,0)</f>
        <v>212.42519999999985</v>
      </c>
      <c r="CA189" s="13">
        <f t="shared" si="170"/>
        <v>52.465198231787184</v>
      </c>
      <c r="CB189" s="20">
        <f t="shared" si="171"/>
        <v>461.35077692036231</v>
      </c>
      <c r="CC189" s="59">
        <f t="shared" si="119"/>
        <v>754.68411025369562</v>
      </c>
      <c r="CD189" s="59">
        <f ca="1">AVERAGE(OFFSET($CC$3,0,0,'Données projet'!$E$12+1,1))-AVERAGE(OFFSET($H$3,0,0,'Données projet'!$E$12+1,1))</f>
        <v>225.2323446080772</v>
      </c>
      <c r="CE189" s="59">
        <f t="shared" si="148"/>
        <v>222.29030402759292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3.5283427279415376</v>
      </c>
      <c r="CL189" s="21">
        <f>EXP(-LN(2)/25)*CL188+(1-EXP(-LN(2)/25))/(LN(2)/25)*Calculateur!CG189*Calculateur!CI189*VLOOKUP('Données projet'!$B$12,Paramètres!$A$1:$I$89,3,0)*0.475*44/12</f>
        <v>0.44077963431053119</v>
      </c>
      <c r="CM189" s="21">
        <f>EXP(-LN(2)/2)*CM188+(1-EXP(-LN(2)/2))/(LN(2)/2)*CG189*CJ189*VLOOKUP('Données projet'!$B$12,Paramètres!$A$1:$I$89,3,0)*0.475*44/12</f>
        <v>0</v>
      </c>
      <c r="CN189" s="22">
        <f t="shared" si="172"/>
        <v>3.9691223622520688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5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89.946999999999875</v>
      </c>
      <c r="D190" s="11">
        <f t="shared" si="140"/>
        <v>24.552442231957805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883.85534354493655</v>
      </c>
      <c r="H190" s="67">
        <f t="shared" si="110"/>
        <v>492.75319522065962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4.5474735088646412E-13</v>
      </c>
      <c r="O190" s="13">
        <f>N190*VLOOKUP('Données projet'!$B$9,Paramètres!$A$1:$I$89,3,0)*VLOOKUP('Données projet'!$B$9,Paramètres!$A$1:$I$89,5,0)</f>
        <v>2.1873347577638923E-13</v>
      </c>
      <c r="P190" s="13">
        <f t="shared" si="141"/>
        <v>2.999861355695181E-12</v>
      </c>
      <c r="Q190" s="20">
        <f t="shared" si="162"/>
        <v>5.6057193314796512E-12</v>
      </c>
      <c r="R190" s="59">
        <f t="shared" si="109"/>
        <v>293.33333333333894</v>
      </c>
      <c r="S190" s="59">
        <f ca="1">AVERAGE(OFFSET($R$3,0,0,'Données projet'!$E$9+1,1))-AVERAGE(OFFSET($H$3,0,0,'Données projet'!$E$9+1,1))</f>
        <v>234.10156575337737</v>
      </c>
      <c r="T190" s="59">
        <f t="shared" si="142"/>
        <v>285.68635263076646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20.339087618301658</v>
      </c>
      <c r="AA190" s="21">
        <f>EXP(-LN(2)/25)*AA189+(1-EXP(-LN(2)/25))/(LN(2)/25)*Calculateur!V190*Calculateur!X190*VLOOKUP('Données projet'!$B$9,Paramètres!$A$1:$I$89,3,0)*0.475*44/12</f>
        <v>4.7988276284925941</v>
      </c>
      <c r="AB190" s="21">
        <f>EXP(-LN(2)/2)*AB189+(1-EXP(-LN(2)/2))/(LN(2)/2)*V190*Y190*VLOOKUP('Données projet'!$B$9,Paramètres!$A$1:$I$89,3,0)*0.475*44/12</f>
        <v>1.0155591375555984E-22</v>
      </c>
      <c r="AC190" s="22">
        <f t="shared" si="163"/>
        <v>25.13791524679425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0</v>
      </c>
      <c r="AJ190" s="13">
        <f>AI190*VLOOKUP('Données projet'!$B$10,Paramètres!$A$1:$I$89,3,0)*VLOOKUP('Données projet'!$B$10,Paramètres!$A$1:$I$89,5,0)</f>
        <v>0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179.44051550872138</v>
      </c>
      <c r="AO190" s="59">
        <f t="shared" si="144"/>
        <v>272.9500808380069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6.7357158846128709</v>
      </c>
      <c r="AV190" s="21">
        <f>EXP(-LN(2)/25)*AV189+(1-EXP(-LN(2)/25))/(LN(2)/25)*Calculateur!AQ190*Calculateur!AS190*VLOOKUP('Données projet'!$B$10,Paramètres!$A$1:$I$89,3,0)*0.475*44/12</f>
        <v>4.275406645472863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11.011122530085734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-1.1368683772161603E-13</v>
      </c>
      <c r="BE190" s="13">
        <f>BD190*VLOOKUP('Données projet'!$B$11,Paramètres!$A$1:$I$89,3,0)*VLOOKUP('Données projet'!$B$11,Paramètres!$A$1:$I$89,5,0)</f>
        <v>-6.3550942286383367E-14</v>
      </c>
      <c r="BF190" s="13" t="e">
        <f t="shared" si="167"/>
        <v>#NUM!</v>
      </c>
      <c r="BG190" s="20" t="e">
        <f t="shared" si="168"/>
        <v>#NUM!</v>
      </c>
      <c r="BH190" s="59" t="e">
        <f t="shared" si="116"/>
        <v>#NUM!</v>
      </c>
      <c r="BI190" s="59">
        <f ca="1">AVERAGE(OFFSET($BH$3,0,0,'Données projet'!$E$11+1,1))-AVERAGE(OFFSET($H$3,0,0,'Données projet'!$E$11+1,1))</f>
        <v>278.5296012747549</v>
      </c>
      <c r="BJ190" s="59">
        <f t="shared" si="146"/>
        <v>370.55343097937077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16.598015535793689</v>
      </c>
      <c r="BQ190" s="21">
        <f>EXP(-LN(2)/25)*BQ189+(1-EXP(-LN(2)/25))/(LN(2)/25)*Calculateur!BL190*Calculateur!BN190*VLOOKUP('Données projet'!$B$11,Paramètres!$A$1:$I$89,3,0)*0.475*44/12</f>
        <v>1.4826615029179941</v>
      </c>
      <c r="BR190" s="21">
        <f>EXP(-LN(2)/2)*BR189+(1-EXP(-LN(2)/2))/(LN(2)/2)*BL190*BO190*VLOOKUP('Données projet'!$B$11,Paramètres!$A$1:$I$89,3,0)*0.475*44/12</f>
        <v>4.6297200020245631E-19</v>
      </c>
      <c r="BS190" s="22">
        <f t="shared" si="169"/>
        <v>18.080677038711684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266.99999999999983</v>
      </c>
      <c r="BZ190" s="13">
        <f>BY190*VLOOKUP('Données projet'!$B$12,Paramètres!$A$1:$I$89,3,0)*VLOOKUP('Données projet'!$B$12,Paramètres!$A$1:$I$89,5,0)</f>
        <v>212.42519999999985</v>
      </c>
      <c r="CA190" s="13">
        <f t="shared" si="170"/>
        <v>52.465198231787184</v>
      </c>
      <c r="CB190" s="20">
        <f t="shared" si="171"/>
        <v>461.35077692036231</v>
      </c>
      <c r="CC190" s="59">
        <f t="shared" si="119"/>
        <v>754.68411025369562</v>
      </c>
      <c r="CD190" s="59">
        <f ca="1">AVERAGE(OFFSET($CC$3,0,0,'Données projet'!$E$12+1,1))-AVERAGE(OFFSET($H$3,0,0,'Données projet'!$E$12+1,1))</f>
        <v>225.2323446080772</v>
      </c>
      <c r="CE190" s="59">
        <f t="shared" si="148"/>
        <v>222.29030402759292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3.4591540791231683</v>
      </c>
      <c r="CL190" s="21">
        <f>EXP(-LN(2)/25)*CL189+(1-EXP(-LN(2)/25))/(LN(2)/25)*Calculateur!CG190*Calculateur!CI190*VLOOKUP('Données projet'!$B$12,Paramètres!$A$1:$I$89,3,0)*0.475*44/12</f>
        <v>0.42872649203071617</v>
      </c>
      <c r="CM190" s="21">
        <f>EXP(-LN(2)/2)*CM189+(1-EXP(-LN(2)/2))/(LN(2)/2)*CG190*CJ190*VLOOKUP('Données projet'!$B$12,Paramètres!$A$1:$I$89,3,0)*0.475*44/12</f>
        <v>0</v>
      </c>
      <c r="CN190" s="22">
        <f t="shared" si="172"/>
        <v>3.8878805711538846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5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90.427999999999869</v>
      </c>
      <c r="D191" s="11">
        <f t="shared" si="140"/>
        <v>24.668419768668819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888.46359119674082</v>
      </c>
      <c r="H191" s="67">
        <f t="shared" si="110"/>
        <v>493.79293109709795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4.5474735088646412E-13</v>
      </c>
      <c r="O191" s="13">
        <f>N191*VLOOKUP('Données projet'!$B$9,Paramètres!$A$1:$I$89,3,0)*VLOOKUP('Données projet'!$B$9,Paramètres!$A$1:$I$89,5,0)</f>
        <v>2.1873347577638923E-13</v>
      </c>
      <c r="P191" s="13">
        <f t="shared" si="141"/>
        <v>2.999861355695181E-12</v>
      </c>
      <c r="Q191" s="20">
        <f t="shared" si="162"/>
        <v>5.6057193314796512E-12</v>
      </c>
      <c r="R191" s="59">
        <f t="shared" si="109"/>
        <v>293.33333333333894</v>
      </c>
      <c r="S191" s="59">
        <f ca="1">AVERAGE(OFFSET($R$3,0,0,'Données projet'!$E$9+1,1))-AVERAGE(OFFSET($H$3,0,0,'Données projet'!$E$9+1,1))</f>
        <v>234.10156575337737</v>
      </c>
      <c r="T191" s="59">
        <f t="shared" si="142"/>
        <v>285.68635263076646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19.940250515725257</v>
      </c>
      <c r="AA191" s="21">
        <f>EXP(-LN(2)/25)*AA190+(1-EXP(-LN(2)/25))/(LN(2)/25)*Calculateur!V191*Calculateur!X191*VLOOKUP('Données projet'!$B$9,Paramètres!$A$1:$I$89,3,0)*0.475*44/12</f>
        <v>4.6676034346320874</v>
      </c>
      <c r="AB191" s="21">
        <f>EXP(-LN(2)/2)*AB190+(1-EXP(-LN(2)/2))/(LN(2)/2)*V191*Y191*VLOOKUP('Données projet'!$B$9,Paramètres!$A$1:$I$89,3,0)*0.475*44/12</f>
        <v>7.1810875286152544E-23</v>
      </c>
      <c r="AC191" s="22">
        <f t="shared" si="163"/>
        <v>24.607853950357345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0</v>
      </c>
      <c r="AJ191" s="13">
        <f>AI191*VLOOKUP('Données projet'!$B$10,Paramètres!$A$1:$I$89,3,0)*VLOOKUP('Données projet'!$B$10,Paramètres!$A$1:$I$89,5,0)</f>
        <v>0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179.44051550872138</v>
      </c>
      <c r="AO191" s="59">
        <f t="shared" si="144"/>
        <v>272.9500808380069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6.6036326044966334</v>
      </c>
      <c r="AV191" s="21">
        <f>EXP(-LN(2)/25)*AV190+(1-EXP(-LN(2)/25))/(LN(2)/25)*Calculateur!AQ191*Calculateur!AS191*VLOOKUP('Données projet'!$B$10,Paramètres!$A$1:$I$89,3,0)*0.475*44/12</f>
        <v>4.1584954259185434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10.762128030415177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-1.1368683772161603E-13</v>
      </c>
      <c r="BE191" s="13">
        <f>BD191*VLOOKUP('Données projet'!$B$11,Paramètres!$A$1:$I$89,3,0)*VLOOKUP('Données projet'!$B$11,Paramètres!$A$1:$I$89,5,0)</f>
        <v>-6.3550942286383367E-14</v>
      </c>
      <c r="BF191" s="13" t="e">
        <f t="shared" si="167"/>
        <v>#NUM!</v>
      </c>
      <c r="BG191" s="20" t="e">
        <f t="shared" si="168"/>
        <v>#NUM!</v>
      </c>
      <c r="BH191" s="59" t="e">
        <f t="shared" si="116"/>
        <v>#NUM!</v>
      </c>
      <c r="BI191" s="59">
        <f ca="1">AVERAGE(OFFSET($BH$3,0,0,'Données projet'!$E$11+1,1))-AVERAGE(OFFSET($H$3,0,0,'Données projet'!$E$11+1,1))</f>
        <v>278.5296012747549</v>
      </c>
      <c r="BJ191" s="59">
        <f t="shared" si="146"/>
        <v>370.55343097937077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16.27253857492661</v>
      </c>
      <c r="BQ191" s="21">
        <f>EXP(-LN(2)/25)*BQ190+(1-EXP(-LN(2)/25))/(LN(2)/25)*Calculateur!BL191*Calculateur!BN191*VLOOKUP('Données projet'!$B$11,Paramètres!$A$1:$I$89,3,0)*0.475*44/12</f>
        <v>1.4421180461509218</v>
      </c>
      <c r="BR191" s="21">
        <f>EXP(-LN(2)/2)*BR190+(1-EXP(-LN(2)/2))/(LN(2)/2)*BL191*BO191*VLOOKUP('Données projet'!$B$11,Paramètres!$A$1:$I$89,3,0)*0.475*44/12</f>
        <v>3.2737064084265651E-19</v>
      </c>
      <c r="BS191" s="22">
        <f t="shared" si="169"/>
        <v>17.71465662107753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266.99999999999983</v>
      </c>
      <c r="BZ191" s="13">
        <f>BY191*VLOOKUP('Données projet'!$B$12,Paramètres!$A$1:$I$89,3,0)*VLOOKUP('Données projet'!$B$12,Paramètres!$A$1:$I$89,5,0)</f>
        <v>212.42519999999985</v>
      </c>
      <c r="CA191" s="13">
        <f t="shared" si="170"/>
        <v>52.465198231787184</v>
      </c>
      <c r="CB191" s="20">
        <f t="shared" si="171"/>
        <v>461.35077692036231</v>
      </c>
      <c r="CC191" s="59">
        <f t="shared" si="119"/>
        <v>754.68411025369562</v>
      </c>
      <c r="CD191" s="59">
        <f ca="1">AVERAGE(OFFSET($CC$3,0,0,'Données projet'!$E$12+1,1))-AVERAGE(OFFSET($H$3,0,0,'Données projet'!$E$12+1,1))</f>
        <v>225.2323446080772</v>
      </c>
      <c r="CE191" s="59">
        <f t="shared" si="148"/>
        <v>222.29030402759292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3.3913221775072184</v>
      </c>
      <c r="CL191" s="21">
        <f>EXP(-LN(2)/25)*CL190+(1-EXP(-LN(2)/25))/(LN(2)/25)*Calculateur!CG191*Calculateur!CI191*VLOOKUP('Données projet'!$B$12,Paramètres!$A$1:$I$89,3,0)*0.475*44/12</f>
        <v>0.41700294356038986</v>
      </c>
      <c r="CM191" s="21">
        <f>EXP(-LN(2)/2)*CM190+(1-EXP(-LN(2)/2))/(LN(2)/2)*CG191*CJ191*VLOOKUP('Données projet'!$B$12,Paramètres!$A$1:$I$89,3,0)*0.475*44/12</f>
        <v>0</v>
      </c>
      <c r="CN191" s="22">
        <f t="shared" si="172"/>
        <v>3.8083251210676083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5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90.908999999999864</v>
      </c>
      <c r="D192" s="11">
        <f t="shared" si="140"/>
        <v>24.784325519878397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893.07128471484975</v>
      </c>
      <c r="H192" s="67">
        <f t="shared" si="110"/>
        <v>494.83254194712129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4.5474735088646412E-13</v>
      </c>
      <c r="O192" s="13">
        <f>N192*VLOOKUP('Données projet'!$B$9,Paramètres!$A$1:$I$89,3,0)*VLOOKUP('Données projet'!$B$9,Paramètres!$A$1:$I$89,5,0)</f>
        <v>2.1873347577638923E-13</v>
      </c>
      <c r="P192" s="13">
        <f t="shared" si="141"/>
        <v>2.999861355695181E-12</v>
      </c>
      <c r="Q192" s="20">
        <f t="shared" si="162"/>
        <v>5.6057193314796512E-12</v>
      </c>
      <c r="R192" s="59">
        <f t="shared" si="109"/>
        <v>293.33333333333894</v>
      </c>
      <c r="S192" s="59">
        <f ca="1">AVERAGE(OFFSET($R$3,0,0,'Données projet'!$E$9+1,1))-AVERAGE(OFFSET($H$3,0,0,'Données projet'!$E$9+1,1))</f>
        <v>234.10156575337737</v>
      </c>
      <c r="T192" s="59">
        <f t="shared" si="142"/>
        <v>285.68635263076646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19.549234365463768</v>
      </c>
      <c r="AA192" s="21">
        <f>EXP(-LN(2)/25)*AA191+(1-EXP(-LN(2)/25))/(LN(2)/25)*Calculateur!V192*Calculateur!X192*VLOOKUP('Données projet'!$B$9,Paramètres!$A$1:$I$89,3,0)*0.475*44/12</f>
        <v>4.5399675732534766</v>
      </c>
      <c r="AB192" s="21">
        <f>EXP(-LN(2)/2)*AB191+(1-EXP(-LN(2)/2))/(LN(2)/2)*V192*Y192*VLOOKUP('Données projet'!$B$9,Paramètres!$A$1:$I$89,3,0)*0.475*44/12</f>
        <v>5.0777956877779921E-23</v>
      </c>
      <c r="AC192" s="22">
        <f t="shared" si="163"/>
        <v>24.089201938717245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0</v>
      </c>
      <c r="AJ192" s="13">
        <f>AI192*VLOOKUP('Données projet'!$B$10,Paramètres!$A$1:$I$89,3,0)*VLOOKUP('Données projet'!$B$10,Paramètres!$A$1:$I$89,5,0)</f>
        <v>0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179.44051550872138</v>
      </c>
      <c r="AO192" s="59">
        <f t="shared" si="144"/>
        <v>272.9500808380069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6.4741393969406289</v>
      </c>
      <c r="AV192" s="21">
        <f>EXP(-LN(2)/25)*AV191+(1-EXP(-LN(2)/25))/(LN(2)/25)*Calculateur!AQ192*Calculateur!AS192*VLOOKUP('Données projet'!$B$10,Paramètres!$A$1:$I$89,3,0)*0.475*44/12</f>
        <v>4.0447811498110307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10.518920546751659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-1.1368683772161603E-13</v>
      </c>
      <c r="BE192" s="13">
        <f>BD192*VLOOKUP('Données projet'!$B$11,Paramètres!$A$1:$I$89,3,0)*VLOOKUP('Données projet'!$B$11,Paramètres!$A$1:$I$89,5,0)</f>
        <v>-6.3550942286383367E-14</v>
      </c>
      <c r="BF192" s="13" t="e">
        <f t="shared" si="167"/>
        <v>#NUM!</v>
      </c>
      <c r="BG192" s="20" t="e">
        <f t="shared" si="168"/>
        <v>#NUM!</v>
      </c>
      <c r="BH192" s="59" t="e">
        <f t="shared" si="116"/>
        <v>#NUM!</v>
      </c>
      <c r="BI192" s="59">
        <f ca="1">AVERAGE(OFFSET($BH$3,0,0,'Données projet'!$E$11+1,1))-AVERAGE(OFFSET($H$3,0,0,'Données projet'!$E$11+1,1))</f>
        <v>278.5296012747549</v>
      </c>
      <c r="BJ192" s="59">
        <f t="shared" si="146"/>
        <v>370.55343097937077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15.953444018740791</v>
      </c>
      <c r="BQ192" s="21">
        <f>EXP(-LN(2)/25)*BQ191+(1-EXP(-LN(2)/25))/(LN(2)/25)*Calculateur!BL192*Calculateur!BN192*VLOOKUP('Données projet'!$B$11,Paramètres!$A$1:$I$89,3,0)*0.475*44/12</f>
        <v>1.4026832523412327</v>
      </c>
      <c r="BR192" s="21">
        <f>EXP(-LN(2)/2)*BR191+(1-EXP(-LN(2)/2))/(LN(2)/2)*BL192*BO192*VLOOKUP('Données projet'!$B$11,Paramètres!$A$1:$I$89,3,0)*0.475*44/12</f>
        <v>2.3148600010122816E-19</v>
      </c>
      <c r="BS192" s="22">
        <f t="shared" si="169"/>
        <v>17.356127271082023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266.99999999999983</v>
      </c>
      <c r="BZ192" s="13">
        <f>BY192*VLOOKUP('Données projet'!$B$12,Paramètres!$A$1:$I$89,3,0)*VLOOKUP('Données projet'!$B$12,Paramètres!$A$1:$I$89,5,0)</f>
        <v>212.42519999999985</v>
      </c>
      <c r="CA192" s="13">
        <f t="shared" si="170"/>
        <v>52.465198231787184</v>
      </c>
      <c r="CB192" s="20">
        <f t="shared" si="171"/>
        <v>461.35077692036231</v>
      </c>
      <c r="CC192" s="59">
        <f t="shared" si="119"/>
        <v>754.68411025369562</v>
      </c>
      <c r="CD192" s="59">
        <f ca="1">AVERAGE(OFFSET($CC$3,0,0,'Données projet'!$E$12+1,1))-AVERAGE(OFFSET($H$3,0,0,'Données projet'!$E$12+1,1))</f>
        <v>225.2323446080772</v>
      </c>
      <c r="CE192" s="59">
        <f t="shared" si="148"/>
        <v>222.29030402759292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3.3248204181085823</v>
      </c>
      <c r="CL192" s="21">
        <f>EXP(-LN(2)/25)*CL191+(1-EXP(-LN(2)/25))/(LN(2)/25)*Calculateur!CG192*Calculateur!CI192*VLOOKUP('Données projet'!$B$12,Paramètres!$A$1:$I$89,3,0)*0.475*44/12</f>
        <v>0.40559997613949927</v>
      </c>
      <c r="CM192" s="21">
        <f>EXP(-LN(2)/2)*CM191+(1-EXP(-LN(2)/2))/(LN(2)/2)*CG192*CJ192*VLOOKUP('Données projet'!$B$12,Paramètres!$A$1:$I$89,3,0)*0.475*44/12</f>
        <v>0</v>
      </c>
      <c r="CN192" s="22">
        <f t="shared" si="172"/>
        <v>3.7304203942480818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5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91.389999999999858</v>
      </c>
      <c r="D193" s="11">
        <f t="shared" si="140"/>
        <v>24.900159909488174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897.67842737148669</v>
      </c>
      <c r="H193" s="67">
        <f t="shared" si="110"/>
        <v>495.87202850902497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4.5474735088646412E-13</v>
      </c>
      <c r="O193" s="13">
        <f>N193*VLOOKUP('Données projet'!$B$9,Paramètres!$A$1:$I$89,3,0)*VLOOKUP('Données projet'!$B$9,Paramètres!$A$1:$I$89,5,0)</f>
        <v>2.1873347577638923E-13</v>
      </c>
      <c r="P193" s="13">
        <f t="shared" si="141"/>
        <v>2.999861355695181E-12</v>
      </c>
      <c r="Q193" s="20">
        <f t="shared" si="162"/>
        <v>5.6057193314796512E-12</v>
      </c>
      <c r="R193" s="59">
        <f t="shared" si="109"/>
        <v>293.33333333333894</v>
      </c>
      <c r="S193" s="59">
        <f ca="1">AVERAGE(OFFSET($R$3,0,0,'Données projet'!$E$9+1,1))-AVERAGE(OFFSET($H$3,0,0,'Données projet'!$E$9+1,1))</f>
        <v>234.10156575337737</v>
      </c>
      <c r="T193" s="59">
        <f t="shared" si="142"/>
        <v>285.68635263076646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19.165885803412603</v>
      </c>
      <c r="AA193" s="21">
        <f>EXP(-LN(2)/25)*AA192+(1-EXP(-LN(2)/25))/(LN(2)/25)*Calculateur!V193*Calculateur!X193*VLOOKUP('Données projet'!$B$9,Paramètres!$A$1:$I$89,3,0)*0.475*44/12</f>
        <v>4.4158219212163417</v>
      </c>
      <c r="AB193" s="21">
        <f>EXP(-LN(2)/2)*AB192+(1-EXP(-LN(2)/2))/(LN(2)/2)*V193*Y193*VLOOKUP('Données projet'!$B$9,Paramètres!$A$1:$I$89,3,0)*0.475*44/12</f>
        <v>3.5905437643076272E-23</v>
      </c>
      <c r="AC193" s="22">
        <f t="shared" si="163"/>
        <v>23.581707724628945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0</v>
      </c>
      <c r="AJ193" s="13">
        <f>AI193*VLOOKUP('Données projet'!$B$10,Paramètres!$A$1:$I$89,3,0)*VLOOKUP('Données projet'!$B$10,Paramètres!$A$1:$I$89,5,0)</f>
        <v>0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179.44051550872138</v>
      </c>
      <c r="AO193" s="59">
        <f t="shared" si="144"/>
        <v>272.9500808380069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6.3471854722017405</v>
      </c>
      <c r="AV193" s="21">
        <f>EXP(-LN(2)/25)*AV192+(1-EXP(-LN(2)/25))/(LN(2)/25)*Calculateur!AQ193*Calculateur!AS193*VLOOKUP('Données projet'!$B$10,Paramètres!$A$1:$I$89,3,0)*0.475*44/12</f>
        <v>3.934176396563652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10.281361868765392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-1.1368683772161603E-13</v>
      </c>
      <c r="BE193" s="13">
        <f>BD193*VLOOKUP('Données projet'!$B$11,Paramètres!$A$1:$I$89,3,0)*VLOOKUP('Données projet'!$B$11,Paramètres!$A$1:$I$89,5,0)</f>
        <v>-6.3550942286383367E-14</v>
      </c>
      <c r="BF193" s="13" t="e">
        <f t="shared" si="167"/>
        <v>#NUM!</v>
      </c>
      <c r="BG193" s="20" t="e">
        <f t="shared" si="168"/>
        <v>#NUM!</v>
      </c>
      <c r="BH193" s="59" t="e">
        <f t="shared" si="116"/>
        <v>#NUM!</v>
      </c>
      <c r="BI193" s="59">
        <f ca="1">AVERAGE(OFFSET($BH$3,0,0,'Données projet'!$E$11+1,1))-AVERAGE(OFFSET($H$3,0,0,'Données projet'!$E$11+1,1))</f>
        <v>278.5296012747549</v>
      </c>
      <c r="BJ193" s="59">
        <f t="shared" si="146"/>
        <v>370.55343097937077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15.640606712173314</v>
      </c>
      <c r="BQ193" s="21">
        <f>EXP(-LN(2)/25)*BQ192+(1-EXP(-LN(2)/25))/(LN(2)/25)*Calculateur!BL193*Calculateur!BN193*VLOOKUP('Données projet'!$B$11,Paramètres!$A$1:$I$89,3,0)*0.475*44/12</f>
        <v>1.3643268050420554</v>
      </c>
      <c r="BR193" s="21">
        <f>EXP(-LN(2)/2)*BR192+(1-EXP(-LN(2)/2))/(LN(2)/2)*BL193*BO193*VLOOKUP('Données projet'!$B$11,Paramètres!$A$1:$I$89,3,0)*0.475*44/12</f>
        <v>1.6368532042132826E-19</v>
      </c>
      <c r="BS193" s="22">
        <f t="shared" si="169"/>
        <v>17.00493351721537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266.99999999999983</v>
      </c>
      <c r="BZ193" s="13">
        <f>BY193*VLOOKUP('Données projet'!$B$12,Paramètres!$A$1:$I$89,3,0)*VLOOKUP('Données projet'!$B$12,Paramètres!$A$1:$I$89,5,0)</f>
        <v>212.42519999999985</v>
      </c>
      <c r="CA193" s="13">
        <f t="shared" si="170"/>
        <v>52.465198231787184</v>
      </c>
      <c r="CB193" s="20">
        <f t="shared" si="171"/>
        <v>461.35077692036231</v>
      </c>
      <c r="CC193" s="59">
        <f t="shared" si="119"/>
        <v>754.68411025369562</v>
      </c>
      <c r="CD193" s="59">
        <f ca="1">AVERAGE(OFFSET($CC$3,0,0,'Données projet'!$E$12+1,1))-AVERAGE(OFFSET($H$3,0,0,'Données projet'!$E$12+1,1))</f>
        <v>225.2323446080772</v>
      </c>
      <c r="CE193" s="59">
        <f t="shared" si="148"/>
        <v>222.29030402759292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3.2596227176496857</v>
      </c>
      <c r="CL193" s="21">
        <f>EXP(-LN(2)/25)*CL192+(1-EXP(-LN(2)/25))/(LN(2)/25)*Calculateur!CG193*Calculateur!CI193*VLOOKUP('Données projet'!$B$12,Paramètres!$A$1:$I$89,3,0)*0.475*44/12</f>
        <v>0.39450882346238891</v>
      </c>
      <c r="CM193" s="21">
        <f>EXP(-LN(2)/2)*CM192+(1-EXP(-LN(2)/2))/(LN(2)/2)*CG193*CJ193*VLOOKUP('Données projet'!$B$12,Paramètres!$A$1:$I$89,3,0)*0.475*44/12</f>
        <v>0</v>
      </c>
      <c r="CN193" s="22">
        <f t="shared" si="172"/>
        <v>3.6541315411120747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5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91.870999999999853</v>
      </c>
      <c r="D194" s="11">
        <f t="shared" si="140"/>
        <v>25.015923356679352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902.28502240243597</v>
      </c>
      <c r="H194" s="67">
        <f t="shared" si="110"/>
        <v>496.91139151288291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4.5474735088646412E-13</v>
      </c>
      <c r="O194" s="13">
        <f>N194*VLOOKUP('Données projet'!$B$9,Paramètres!$A$1:$I$89,3,0)*VLOOKUP('Données projet'!$B$9,Paramètres!$A$1:$I$89,5,0)</f>
        <v>2.1873347577638923E-13</v>
      </c>
      <c r="P194" s="13">
        <f t="shared" si="141"/>
        <v>2.999861355695181E-12</v>
      </c>
      <c r="Q194" s="20">
        <f t="shared" si="162"/>
        <v>5.6057193314796512E-12</v>
      </c>
      <c r="R194" s="59">
        <f t="shared" si="109"/>
        <v>293.33333333333894</v>
      </c>
      <c r="S194" s="59">
        <f ca="1">AVERAGE(OFFSET($R$3,0,0,'Données projet'!$E$9+1,1))-AVERAGE(OFFSET($H$3,0,0,'Données projet'!$E$9+1,1))</f>
        <v>234.10156575337737</v>
      </c>
      <c r="T194" s="59">
        <f t="shared" si="142"/>
        <v>285.68635263076646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18.790054472843728</v>
      </c>
      <c r="AA194" s="21">
        <f>EXP(-LN(2)/25)*AA193+(1-EXP(-LN(2)/25))/(LN(2)/25)*Calculateur!V194*Calculateur!X194*VLOOKUP('Données projet'!$B$9,Paramètres!$A$1:$I$89,3,0)*0.475*44/12</f>
        <v>4.295071038562698</v>
      </c>
      <c r="AB194" s="21">
        <f>EXP(-LN(2)/2)*AB193+(1-EXP(-LN(2)/2))/(LN(2)/2)*V194*Y194*VLOOKUP('Données projet'!$B$9,Paramètres!$A$1:$I$89,3,0)*0.475*44/12</f>
        <v>2.5388978438889961E-23</v>
      </c>
      <c r="AC194" s="22">
        <f t="shared" si="163"/>
        <v>23.085125511406424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0</v>
      </c>
      <c r="AJ194" s="13">
        <f>AI194*VLOOKUP('Données projet'!$B$10,Paramètres!$A$1:$I$89,3,0)*VLOOKUP('Données projet'!$B$10,Paramètres!$A$1:$I$89,5,0)</f>
        <v>0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179.44051550872138</v>
      </c>
      <c r="AO194" s="59">
        <f t="shared" si="144"/>
        <v>272.9500808380069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6.2227210364927332</v>
      </c>
      <c r="AV194" s="21">
        <f>EXP(-LN(2)/25)*AV193+(1-EXP(-LN(2)/25))/(LN(2)/25)*Calculateur!AQ194*Calculateur!AS194*VLOOKUP('Données projet'!$B$10,Paramètres!$A$1:$I$89,3,0)*0.475*44/12</f>
        <v>3.826596136110274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10.049317172603008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-1.1368683772161603E-13</v>
      </c>
      <c r="BE194" s="13">
        <f>BD194*VLOOKUP('Données projet'!$B$11,Paramètres!$A$1:$I$89,3,0)*VLOOKUP('Données projet'!$B$11,Paramètres!$A$1:$I$89,5,0)</f>
        <v>-6.3550942286383367E-14</v>
      </c>
      <c r="BF194" s="13" t="e">
        <f t="shared" si="167"/>
        <v>#NUM!</v>
      </c>
      <c r="BG194" s="20" t="e">
        <f t="shared" si="168"/>
        <v>#NUM!</v>
      </c>
      <c r="BH194" s="59" t="e">
        <f t="shared" si="116"/>
        <v>#NUM!</v>
      </c>
      <c r="BI194" s="59">
        <f ca="1">AVERAGE(OFFSET($BH$3,0,0,'Données projet'!$E$11+1,1))-AVERAGE(OFFSET($H$3,0,0,'Données projet'!$E$11+1,1))</f>
        <v>278.5296012747549</v>
      </c>
      <c r="BJ194" s="59">
        <f t="shared" si="146"/>
        <v>370.55343097937077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15.33390395437571</v>
      </c>
      <c r="BQ194" s="21">
        <f>EXP(-LN(2)/25)*BQ193+(1-EXP(-LN(2)/25))/(LN(2)/25)*Calculateur!BL194*Calculateur!BN194*VLOOKUP('Données projet'!$B$11,Paramètres!$A$1:$I$89,3,0)*0.475*44/12</f>
        <v>1.3270192168113519</v>
      </c>
      <c r="BR194" s="21">
        <f>EXP(-LN(2)/2)*BR193+(1-EXP(-LN(2)/2))/(LN(2)/2)*BL194*BO194*VLOOKUP('Données projet'!$B$11,Paramètres!$A$1:$I$89,3,0)*0.475*44/12</f>
        <v>1.1574300005061408E-19</v>
      </c>
      <c r="BS194" s="22">
        <f t="shared" si="169"/>
        <v>16.660923171187061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266.99999999999983</v>
      </c>
      <c r="BZ194" s="13">
        <f>BY194*VLOOKUP('Données projet'!$B$12,Paramètres!$A$1:$I$89,3,0)*VLOOKUP('Données projet'!$B$12,Paramètres!$A$1:$I$89,5,0)</f>
        <v>212.42519999999985</v>
      </c>
      <c r="CA194" s="13">
        <f t="shared" si="170"/>
        <v>52.465198231787184</v>
      </c>
      <c r="CB194" s="20">
        <f t="shared" si="171"/>
        <v>461.35077692036231</v>
      </c>
      <c r="CC194" s="59">
        <f t="shared" si="119"/>
        <v>754.68411025369562</v>
      </c>
      <c r="CD194" s="59">
        <f ca="1">AVERAGE(OFFSET($CC$3,0,0,'Données projet'!$E$12+1,1))-AVERAGE(OFFSET($H$3,0,0,'Données projet'!$E$12+1,1))</f>
        <v>225.2323446080772</v>
      </c>
      <c r="CE194" s="59">
        <f t="shared" si="148"/>
        <v>222.29030402759292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3.1957035043301172</v>
      </c>
      <c r="CL194" s="21">
        <f>EXP(-LN(2)/25)*CL193+(1-EXP(-LN(2)/25))/(LN(2)/25)*Calculateur!CG194*Calculateur!CI194*VLOOKUP('Données projet'!$B$12,Paramètres!$A$1:$I$89,3,0)*0.475*44/12</f>
        <v>0.38372095893849251</v>
      </c>
      <c r="CM194" s="21">
        <f>EXP(-LN(2)/2)*CM193+(1-EXP(-LN(2)/2))/(LN(2)/2)*CG194*CJ194*VLOOKUP('Données projet'!$B$12,Paramètres!$A$1:$I$89,3,0)*0.475*44/12</f>
        <v>0</v>
      </c>
      <c r="CN194" s="22">
        <f t="shared" si="172"/>
        <v>3.5794244632686096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5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92.351999999999848</v>
      </c>
      <c r="D195" s="11">
        <f t="shared" si="140"/>
        <v>25.131616275989707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906.89107300763874</v>
      </c>
      <c r="H195" s="67">
        <f t="shared" si="110"/>
        <v>497.95063168068179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4.5474735088646412E-13</v>
      </c>
      <c r="O195" s="13">
        <f>N195*VLOOKUP('Données projet'!$B$9,Paramètres!$A$1:$I$89,3,0)*VLOOKUP('Données projet'!$B$9,Paramètres!$A$1:$I$89,5,0)</f>
        <v>2.1873347577638923E-13</v>
      </c>
      <c r="P195" s="13">
        <f t="shared" si="141"/>
        <v>2.999861355695181E-12</v>
      </c>
      <c r="Q195" s="20">
        <f t="shared" si="162"/>
        <v>5.6057193314796512E-12</v>
      </c>
      <c r="R195" s="59">
        <f t="shared" ref="R195:R203" si="191">Q195+(I195+J195)*44/12</f>
        <v>293.33333333333894</v>
      </c>
      <c r="S195" s="59">
        <f ca="1">AVERAGE(OFFSET($R$3,0,0,'Données projet'!$E$9+1,1))-AVERAGE(OFFSET($H$3,0,0,'Données projet'!$E$9+1,1))</f>
        <v>234.10156575337737</v>
      </c>
      <c r="T195" s="59">
        <f t="shared" si="142"/>
        <v>285.68635263076646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18.421592965432829</v>
      </c>
      <c r="AA195" s="21">
        <f>EXP(-LN(2)/25)*AA194+(1-EXP(-LN(2)/25))/(LN(2)/25)*Calculateur!V195*Calculateur!X195*VLOOKUP('Données projet'!$B$9,Paramètres!$A$1:$I$89,3,0)*0.475*44/12</f>
        <v>4.1776220951452316</v>
      </c>
      <c r="AB195" s="21">
        <f>EXP(-LN(2)/2)*AB194+(1-EXP(-LN(2)/2))/(LN(2)/2)*V195*Y195*VLOOKUP('Données projet'!$B$9,Paramètres!$A$1:$I$89,3,0)*0.475*44/12</f>
        <v>1.7952718821538136E-23</v>
      </c>
      <c r="AC195" s="22">
        <f t="shared" si="163"/>
        <v>22.599215060578061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0</v>
      </c>
      <c r="AJ195" s="13">
        <f>AI195*VLOOKUP('Données projet'!$B$10,Paramètres!$A$1:$I$89,3,0)*VLOOKUP('Données projet'!$B$10,Paramètres!$A$1:$I$89,5,0)</f>
        <v>0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179.44051550872138</v>
      </c>
      <c r="AO195" s="59">
        <f t="shared" si="144"/>
        <v>272.9500808380069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6.1006972724521695</v>
      </c>
      <c r="AV195" s="21">
        <f>EXP(-LN(2)/25)*AV194+(1-EXP(-LN(2)/25))/(LN(2)/25)*Calculateur!AQ195*Calculateur!AS195*VLOOKUP('Données projet'!$B$10,Paramètres!$A$1:$I$89,3,0)*0.475*44/12</f>
        <v>3.7219576635363936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9.8226549359885631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-1.1368683772161603E-13</v>
      </c>
      <c r="BE195" s="13">
        <f>BD195*VLOOKUP('Données projet'!$B$11,Paramètres!$A$1:$I$89,3,0)*VLOOKUP('Données projet'!$B$11,Paramètres!$A$1:$I$89,5,0)</f>
        <v>-6.3550942286383367E-14</v>
      </c>
      <c r="BF195" s="13" t="e">
        <f t="shared" si="167"/>
        <v>#NUM!</v>
      </c>
      <c r="BG195" s="20" t="e">
        <f t="shared" si="168"/>
        <v>#NUM!</v>
      </c>
      <c r="BH195" s="59" t="e">
        <f t="shared" si="116"/>
        <v>#NUM!</v>
      </c>
      <c r="BI195" s="59">
        <f ca="1">AVERAGE(OFFSET($BH$3,0,0,'Données projet'!$E$11+1,1))-AVERAGE(OFFSET($H$3,0,0,'Données projet'!$E$11+1,1))</f>
        <v>278.5296012747549</v>
      </c>
      <c r="BJ195" s="59">
        <f t="shared" si="146"/>
        <v>370.55343097937077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15.033215450588306</v>
      </c>
      <c r="BQ195" s="21">
        <f>EXP(-LN(2)/25)*BQ194+(1-EXP(-LN(2)/25))/(LN(2)/25)*Calculateur!BL195*Calculateur!BN195*VLOOKUP('Données projet'!$B$11,Paramètres!$A$1:$I$89,3,0)*0.475*44/12</f>
        <v>1.2907318065427378</v>
      </c>
      <c r="BR195" s="21">
        <f>EXP(-LN(2)/2)*BR194+(1-EXP(-LN(2)/2))/(LN(2)/2)*BL195*BO195*VLOOKUP('Données projet'!$B$11,Paramètres!$A$1:$I$89,3,0)*0.475*44/12</f>
        <v>8.1842660210664128E-20</v>
      </c>
      <c r="BS195" s="22">
        <f t="shared" si="169"/>
        <v>16.323947257131046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266.99999999999983</v>
      </c>
      <c r="BZ195" s="13">
        <f>BY195*VLOOKUP('Données projet'!$B$12,Paramètres!$A$1:$I$89,3,0)*VLOOKUP('Données projet'!$B$12,Paramètres!$A$1:$I$89,5,0)</f>
        <v>212.42519999999985</v>
      </c>
      <c r="CA195" s="13">
        <f t="shared" si="170"/>
        <v>52.465198231787184</v>
      </c>
      <c r="CB195" s="20">
        <f t="shared" si="171"/>
        <v>461.35077692036231</v>
      </c>
      <c r="CC195" s="59">
        <f t="shared" si="119"/>
        <v>754.68411025369562</v>
      </c>
      <c r="CD195" s="59">
        <f ca="1">AVERAGE(OFFSET($CC$3,0,0,'Données projet'!$E$12+1,1))-AVERAGE(OFFSET($H$3,0,0,'Données projet'!$E$12+1,1))</f>
        <v>225.2323446080772</v>
      </c>
      <c r="CE195" s="59">
        <f t="shared" si="148"/>
        <v>222.29030402759292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3.1330377077968752</v>
      </c>
      <c r="CL195" s="21">
        <f>EXP(-LN(2)/25)*CL194+(1-EXP(-LN(2)/25))/(LN(2)/25)*Calculateur!CG195*Calculateur!CI195*VLOOKUP('Données projet'!$B$12,Paramètres!$A$1:$I$89,3,0)*0.475*44/12</f>
        <v>0.3732280891373112</v>
      </c>
      <c r="CM195" s="21">
        <f>EXP(-LN(2)/2)*CM194+(1-EXP(-LN(2)/2))/(LN(2)/2)*CG195*CJ195*VLOOKUP('Données projet'!$B$12,Paramètres!$A$1:$I$89,3,0)*0.475*44/12</f>
        <v>0</v>
      </c>
      <c r="CN195" s="22">
        <f t="shared" si="172"/>
        <v>3.5062657969341862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5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92.832999999999842</v>
      </c>
      <c r="D196" s="11">
        <f t="shared" si="140"/>
        <v>25.247239077388915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911.49658235177287</v>
      </c>
      <c r="H196" s="67">
        <f t="shared" ref="H196:H203" si="192">(B196+E196+F196)*44/12+(C196+D196)*0.475*44/12</f>
        <v>498.98974972645203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4.5474735088646412E-13</v>
      </c>
      <c r="O196" s="13">
        <f>N196*VLOOKUP('Données projet'!$B$9,Paramètres!$A$1:$I$89,3,0)*VLOOKUP('Données projet'!$B$9,Paramètres!$A$1:$I$89,5,0)</f>
        <v>2.1873347577638923E-13</v>
      </c>
      <c r="P196" s="13">
        <f t="shared" si="141"/>
        <v>2.999861355695181E-12</v>
      </c>
      <c r="Q196" s="20">
        <f t="shared" si="162"/>
        <v>5.6057193314796512E-12</v>
      </c>
      <c r="R196" s="59">
        <f t="shared" si="191"/>
        <v>293.33333333333894</v>
      </c>
      <c r="S196" s="59">
        <f ca="1">AVERAGE(OFFSET($R$3,0,0,'Données projet'!$E$9+1,1))-AVERAGE(OFFSET($H$3,0,0,'Données projet'!$E$9+1,1))</f>
        <v>234.10156575337737</v>
      </c>
      <c r="T196" s="59">
        <f t="shared" si="142"/>
        <v>285.68635263076646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18.060356763442933</v>
      </c>
      <c r="AA196" s="21">
        <f>EXP(-LN(2)/25)*AA195+(1-EXP(-LN(2)/25))/(LN(2)/25)*Calculateur!V196*Calculateur!X196*VLOOKUP('Données projet'!$B$9,Paramètres!$A$1:$I$89,3,0)*0.475*44/12</f>
        <v>4.063384799261887</v>
      </c>
      <c r="AB196" s="21">
        <f>EXP(-LN(2)/2)*AB195+(1-EXP(-LN(2)/2))/(LN(2)/2)*V196*Y196*VLOOKUP('Données projet'!$B$9,Paramètres!$A$1:$I$89,3,0)*0.475*44/12</f>
        <v>1.269448921944498E-23</v>
      </c>
      <c r="AC196" s="22">
        <f t="shared" si="163"/>
        <v>22.123741562704819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0</v>
      </c>
      <c r="AJ196" s="13">
        <f>AI196*VLOOKUP('Données projet'!$B$10,Paramètres!$A$1:$I$89,3,0)*VLOOKUP('Données projet'!$B$10,Paramètres!$A$1:$I$89,5,0)</f>
        <v>0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179.44051550872138</v>
      </c>
      <c r="AO196" s="59">
        <f t="shared" si="144"/>
        <v>272.9500808380069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5.9810663199972947</v>
      </c>
      <c r="AV196" s="21">
        <f>EXP(-LN(2)/25)*AV195+(1-EXP(-LN(2)/25))/(LN(2)/25)*Calculateur!AQ196*Calculateur!AS196*VLOOKUP('Données projet'!$B$10,Paramètres!$A$1:$I$89,3,0)*0.475*44/12</f>
        <v>3.6201805354977439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9.6012468554950381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-1.1368683772161603E-13</v>
      </c>
      <c r="BE196" s="13">
        <f>BD196*VLOOKUP('Données projet'!$B$11,Paramètres!$A$1:$I$89,3,0)*VLOOKUP('Données projet'!$B$11,Paramètres!$A$1:$I$89,5,0)</f>
        <v>-6.3550942286383367E-14</v>
      </c>
      <c r="BF196" s="13" t="e">
        <f t="shared" si="167"/>
        <v>#NUM!</v>
      </c>
      <c r="BG196" s="20" t="e">
        <f t="shared" si="168"/>
        <v>#NUM!</v>
      </c>
      <c r="BH196" s="59" t="e">
        <f t="shared" ref="BH196:BH203" si="194">BG196+(AY196+AZ196)*44/12</f>
        <v>#NUM!</v>
      </c>
      <c r="BI196" s="59">
        <f ca="1">AVERAGE(OFFSET($BH$3,0,0,'Données projet'!$E$11+1,1))-AVERAGE(OFFSET($H$3,0,0,'Données projet'!$E$11+1,1))</f>
        <v>278.5296012747549</v>
      </c>
      <c r="BJ196" s="59">
        <f t="shared" si="146"/>
        <v>370.55343097937077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14.738423264958296</v>
      </c>
      <c r="BQ196" s="21">
        <f>EXP(-LN(2)/25)*BQ195+(1-EXP(-LN(2)/25))/(LN(2)/25)*Calculateur!BL196*Calculateur!BN196*VLOOKUP('Données projet'!$B$11,Paramètres!$A$1:$I$89,3,0)*0.475*44/12</f>
        <v>1.2554366774161909</v>
      </c>
      <c r="BR196" s="21">
        <f>EXP(-LN(2)/2)*BR195+(1-EXP(-LN(2)/2))/(LN(2)/2)*BL196*BO196*VLOOKUP('Données projet'!$B$11,Paramètres!$A$1:$I$89,3,0)*0.475*44/12</f>
        <v>5.7871500025307039E-20</v>
      </c>
      <c r="BS196" s="22">
        <f t="shared" si="169"/>
        <v>15.993859942374486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266.99999999999983</v>
      </c>
      <c r="BZ196" s="13">
        <f>BY196*VLOOKUP('Données projet'!$B$12,Paramètres!$A$1:$I$89,3,0)*VLOOKUP('Données projet'!$B$12,Paramètres!$A$1:$I$89,5,0)</f>
        <v>212.42519999999985</v>
      </c>
      <c r="CA196" s="13">
        <f t="shared" si="170"/>
        <v>52.465198231787184</v>
      </c>
      <c r="CB196" s="20">
        <f t="shared" si="171"/>
        <v>461.35077692036231</v>
      </c>
      <c r="CC196" s="59">
        <f t="shared" ref="CC196:CC203" si="195">CB196+(BT196+BU196)*44/12</f>
        <v>754.68411025369562</v>
      </c>
      <c r="CD196" s="59">
        <f ca="1">AVERAGE(OFFSET($CC$3,0,0,'Données projet'!$E$12+1,1))-AVERAGE(OFFSET($H$3,0,0,'Données projet'!$E$12+1,1))</f>
        <v>225.2323446080772</v>
      </c>
      <c r="CE196" s="59">
        <f t="shared" si="148"/>
        <v>222.29030402759292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3.0716007493112882</v>
      </c>
      <c r="CL196" s="21">
        <f>EXP(-LN(2)/25)*CL195+(1-EXP(-LN(2)/25))/(LN(2)/25)*Calculateur!CG196*Calculateur!CI196*VLOOKUP('Données projet'!$B$12,Paramètres!$A$1:$I$89,3,0)*0.475*44/12</f>
        <v>0.36302214741263922</v>
      </c>
      <c r="CM196" s="21">
        <f>EXP(-LN(2)/2)*CM195+(1-EXP(-LN(2)/2))/(LN(2)/2)*CG196*CJ196*VLOOKUP('Données projet'!$B$12,Paramètres!$A$1:$I$89,3,0)*0.475*44/12</f>
        <v>0</v>
      </c>
      <c r="CN196" s="22">
        <f t="shared" si="172"/>
        <v>3.4346228967239276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5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93.313999999999837</v>
      </c>
      <c r="D197" s="11">
        <f t="shared" ref="D197:D203" si="202">IFERROR(EXP(-1.0587+0.8836*LN(C197)+0.284),0)</f>
        <v>25.362792166352278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916.10155356482335</v>
      </c>
      <c r="H197" s="67">
        <f t="shared" si="192"/>
        <v>500.0287463563966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4.5474735088646412E-13</v>
      </c>
      <c r="O197" s="13">
        <f>N197*VLOOKUP('Données projet'!$B$9,Paramètres!$A$1:$I$89,3,0)*VLOOKUP('Données projet'!$B$9,Paramètres!$A$1:$I$89,5,0)</f>
        <v>2.1873347577638923E-13</v>
      </c>
      <c r="P197" s="13">
        <f t="shared" ref="P197:P203" si="203">EXP(-1.0587+0.8836*LN(O197)+0.284)</f>
        <v>2.999861355695181E-12</v>
      </c>
      <c r="Q197" s="20">
        <f t="shared" si="162"/>
        <v>5.6057193314796512E-12</v>
      </c>
      <c r="R197" s="59">
        <f t="shared" si="191"/>
        <v>293.33333333333894</v>
      </c>
      <c r="S197" s="59">
        <f ca="1">AVERAGE(OFFSET($R$3,0,0,'Données projet'!$E$9+1,1))-AVERAGE(OFFSET($H$3,0,0,'Données projet'!$E$9+1,1))</f>
        <v>234.10156575337737</v>
      </c>
      <c r="T197" s="59">
        <f t="shared" ref="T197:T203" si="204">$T$3</f>
        <v>285.68635263076646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17.706204183041731</v>
      </c>
      <c r="AA197" s="21">
        <f>EXP(-LN(2)/25)*AA196+(1-EXP(-LN(2)/25))/(LN(2)/25)*Calculateur!V197*Calculateur!X197*VLOOKUP('Données projet'!$B$9,Paramètres!$A$1:$I$89,3,0)*0.475*44/12</f>
        <v>3.952271328241951</v>
      </c>
      <c r="AB197" s="21">
        <f>EXP(-LN(2)/2)*AB196+(1-EXP(-LN(2)/2))/(LN(2)/2)*V197*Y197*VLOOKUP('Données projet'!$B$9,Paramètres!$A$1:$I$89,3,0)*0.475*44/12</f>
        <v>8.9763594107690681E-24</v>
      </c>
      <c r="AC197" s="22">
        <f t="shared" si="163"/>
        <v>21.658475511283683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0</v>
      </c>
      <c r="AJ197" s="13">
        <f>AI197*VLOOKUP('Données projet'!$B$10,Paramètres!$A$1:$I$89,3,0)*VLOOKUP('Données projet'!$B$10,Paramètres!$A$1:$I$89,5,0)</f>
        <v>0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179.44051550872138</v>
      </c>
      <c r="AO197" s="59">
        <f t="shared" ref="AO197:AO203" si="205">$AO$3</f>
        <v>272.9500808380069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5.8637812575523842</v>
      </c>
      <c r="AV197" s="21">
        <f>EXP(-LN(2)/25)*AV196+(1-EXP(-LN(2)/25))/(LN(2)/25)*Calculateur!AQ197*Calculateur!AS197*VLOOKUP('Données projet'!$B$10,Paramètres!$A$1:$I$89,3,0)*0.475*44/12</f>
        <v>3.5211865083775375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9.3849677659299218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-1.1368683772161603E-13</v>
      </c>
      <c r="BE197" s="13">
        <f>BD197*VLOOKUP('Données projet'!$B$11,Paramètres!$A$1:$I$89,3,0)*VLOOKUP('Données projet'!$B$11,Paramètres!$A$1:$I$89,5,0)</f>
        <v>-6.3550942286383367E-14</v>
      </c>
      <c r="BF197" s="13" t="e">
        <f t="shared" si="167"/>
        <v>#NUM!</v>
      </c>
      <c r="BG197" s="20" t="e">
        <f t="shared" si="168"/>
        <v>#NUM!</v>
      </c>
      <c r="BH197" s="59" t="e">
        <f t="shared" si="194"/>
        <v>#NUM!</v>
      </c>
      <c r="BI197" s="59">
        <f ca="1">AVERAGE(OFFSET($BH$3,0,0,'Données projet'!$E$11+1,1))-AVERAGE(OFFSET($H$3,0,0,'Données projet'!$E$11+1,1))</f>
        <v>278.5296012747549</v>
      </c>
      <c r="BJ197" s="59">
        <f t="shared" ref="BJ197:BJ203" si="206">$BJ$3</f>
        <v>370.55343097937077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14.449411774283011</v>
      </c>
      <c r="BQ197" s="21">
        <f>EXP(-LN(2)/25)*BQ196+(1-EXP(-LN(2)/25))/(LN(2)/25)*Calculateur!BL197*Calculateur!BN197*VLOOKUP('Données projet'!$B$11,Paramètres!$A$1:$I$89,3,0)*0.475*44/12</f>
        <v>1.2211066954516996</v>
      </c>
      <c r="BR197" s="21">
        <f>EXP(-LN(2)/2)*BR196+(1-EXP(-LN(2)/2))/(LN(2)/2)*BL197*BO197*VLOOKUP('Données projet'!$B$11,Paramètres!$A$1:$I$89,3,0)*0.475*44/12</f>
        <v>4.0921330105332064E-20</v>
      </c>
      <c r="BS197" s="22">
        <f t="shared" si="169"/>
        <v>15.670518469734709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266.99999999999983</v>
      </c>
      <c r="BZ197" s="13">
        <f>BY197*VLOOKUP('Données projet'!$B$12,Paramètres!$A$1:$I$89,3,0)*VLOOKUP('Données projet'!$B$12,Paramètres!$A$1:$I$89,5,0)</f>
        <v>212.42519999999985</v>
      </c>
      <c r="CA197" s="13">
        <f t="shared" si="170"/>
        <v>52.465198231787184</v>
      </c>
      <c r="CB197" s="20">
        <f t="shared" si="171"/>
        <v>461.35077692036231</v>
      </c>
      <c r="CC197" s="59">
        <f t="shared" si="195"/>
        <v>754.68411025369562</v>
      </c>
      <c r="CD197" s="59">
        <f ca="1">AVERAGE(OFFSET($CC$3,0,0,'Données projet'!$E$12+1,1))-AVERAGE(OFFSET($H$3,0,0,'Données projet'!$E$12+1,1))</f>
        <v>225.2323446080772</v>
      </c>
      <c r="CE197" s="59">
        <f t="shared" ref="CE197:CE203" si="207">$CE$3</f>
        <v>222.29030402759292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3.0113685321087589</v>
      </c>
      <c r="CL197" s="21">
        <f>EXP(-LN(2)/25)*CL196+(1-EXP(-LN(2)/25))/(LN(2)/25)*Calculateur!CG197*Calculateur!CI197*VLOOKUP('Données projet'!$B$12,Paramètres!$A$1:$I$89,3,0)*0.475*44/12</f>
        <v>0.35309528770113557</v>
      </c>
      <c r="CM197" s="21">
        <f>EXP(-LN(2)/2)*CM196+(1-EXP(-LN(2)/2))/(LN(2)/2)*CG197*CJ197*VLOOKUP('Données projet'!$B$12,Paramètres!$A$1:$I$89,3,0)*0.475*44/12</f>
        <v>0</v>
      </c>
      <c r="CN197" s="22">
        <f t="shared" si="172"/>
        <v>3.3644638198098944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5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93.794999999999831</v>
      </c>
      <c r="D198" s="11">
        <f t="shared" si="202"/>
        <v>25.478275943932946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920.70598974263896</v>
      </c>
      <c r="H198" s="67">
        <f t="shared" si="192"/>
        <v>501.06762226901623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4.5474735088646412E-13</v>
      </c>
      <c r="O198" s="13">
        <f>N198*VLOOKUP('Données projet'!$B$9,Paramètres!$A$1:$I$89,3,0)*VLOOKUP('Données projet'!$B$9,Paramètres!$A$1:$I$89,5,0)</f>
        <v>2.1873347577638923E-13</v>
      </c>
      <c r="P198" s="13">
        <f t="shared" si="203"/>
        <v>2.999861355695181E-12</v>
      </c>
      <c r="Q198" s="20">
        <f t="shared" si="162"/>
        <v>5.6057193314796512E-12</v>
      </c>
      <c r="R198" s="59">
        <f t="shared" si="191"/>
        <v>293.33333333333894</v>
      </c>
      <c r="S198" s="59">
        <f ca="1">AVERAGE(OFFSET($R$3,0,0,'Données projet'!$E$9+1,1))-AVERAGE(OFFSET($H$3,0,0,'Données projet'!$E$9+1,1))</f>
        <v>234.10156575337737</v>
      </c>
      <c r="T198" s="59">
        <f t="shared" si="204"/>
        <v>285.68635263076646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17.358996318730451</v>
      </c>
      <c r="AA198" s="21">
        <f>EXP(-LN(2)/25)*AA197+(1-EXP(-LN(2)/25))/(LN(2)/25)*Calculateur!V198*Calculateur!X198*VLOOKUP('Données projet'!$B$9,Paramètres!$A$1:$I$89,3,0)*0.475*44/12</f>
        <v>3.8441962609302589</v>
      </c>
      <c r="AB198" s="21">
        <f>EXP(-LN(2)/2)*AB197+(1-EXP(-LN(2)/2))/(LN(2)/2)*V198*Y198*VLOOKUP('Données projet'!$B$9,Paramètres!$A$1:$I$89,3,0)*0.475*44/12</f>
        <v>6.3472446097224902E-24</v>
      </c>
      <c r="AC198" s="22">
        <f t="shared" si="163"/>
        <v>21.203192579660708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0</v>
      </c>
      <c r="AJ198" s="13">
        <f>AI198*VLOOKUP('Données projet'!$B$10,Paramètres!$A$1:$I$89,3,0)*VLOOKUP('Données projet'!$B$10,Paramètres!$A$1:$I$89,5,0)</f>
        <v>0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179.44051550872138</v>
      </c>
      <c r="AO198" s="59">
        <f t="shared" si="205"/>
        <v>272.9500808380069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5.7487960836451935</v>
      </c>
      <c r="AV198" s="21">
        <f>EXP(-LN(2)/25)*AV197+(1-EXP(-LN(2)/25))/(LN(2)/25)*Calculateur!AQ198*Calculateur!AS198*VLOOKUP('Données projet'!$B$10,Paramètres!$A$1:$I$89,3,0)*0.475*44/12</f>
        <v>3.4248994781348032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9.1736955617799971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-1.1368683772161603E-13</v>
      </c>
      <c r="BE198" s="13">
        <f>BD198*VLOOKUP('Données projet'!$B$11,Paramètres!$A$1:$I$89,3,0)*VLOOKUP('Données projet'!$B$11,Paramètres!$A$1:$I$89,5,0)</f>
        <v>-6.3550942286383367E-14</v>
      </c>
      <c r="BF198" s="13" t="e">
        <f t="shared" si="167"/>
        <v>#NUM!</v>
      </c>
      <c r="BG198" s="20" t="e">
        <f t="shared" si="168"/>
        <v>#NUM!</v>
      </c>
      <c r="BH198" s="59" t="e">
        <f t="shared" si="194"/>
        <v>#NUM!</v>
      </c>
      <c r="BI198" s="59">
        <f ca="1">AVERAGE(OFFSET($BH$3,0,0,'Données projet'!$E$11+1,1))-AVERAGE(OFFSET($H$3,0,0,'Données projet'!$E$11+1,1))</f>
        <v>278.5296012747549</v>
      </c>
      <c r="BJ198" s="59">
        <f t="shared" si="206"/>
        <v>370.55343097937077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14.166067622660265</v>
      </c>
      <c r="BQ198" s="21">
        <f>EXP(-LN(2)/25)*BQ197+(1-EXP(-LN(2)/25))/(LN(2)/25)*Calculateur!BL198*Calculateur!BN198*VLOOKUP('Données projet'!$B$11,Paramètres!$A$1:$I$89,3,0)*0.475*44/12</f>
        <v>1.1877154686493627</v>
      </c>
      <c r="BR198" s="21">
        <f>EXP(-LN(2)/2)*BR197+(1-EXP(-LN(2)/2))/(LN(2)/2)*BL198*BO198*VLOOKUP('Données projet'!$B$11,Paramètres!$A$1:$I$89,3,0)*0.475*44/12</f>
        <v>2.893575001265352E-20</v>
      </c>
      <c r="BS198" s="22">
        <f t="shared" si="169"/>
        <v>15.353783091309626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266.99999999999983</v>
      </c>
      <c r="BZ198" s="13">
        <f>BY198*VLOOKUP('Données projet'!$B$12,Paramètres!$A$1:$I$89,3,0)*VLOOKUP('Données projet'!$B$12,Paramètres!$A$1:$I$89,5,0)</f>
        <v>212.42519999999985</v>
      </c>
      <c r="CA198" s="13">
        <f t="shared" si="170"/>
        <v>52.465198231787184</v>
      </c>
      <c r="CB198" s="20">
        <f t="shared" si="171"/>
        <v>461.35077692036231</v>
      </c>
      <c r="CC198" s="59">
        <f t="shared" si="195"/>
        <v>754.68411025369562</v>
      </c>
      <c r="CD198" s="59">
        <f ca="1">AVERAGE(OFFSET($CC$3,0,0,'Données projet'!$E$12+1,1))-AVERAGE(OFFSET($H$3,0,0,'Données projet'!$E$12+1,1))</f>
        <v>225.2323446080772</v>
      </c>
      <c r="CE198" s="59">
        <f t="shared" si="207"/>
        <v>222.29030402759292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2.9523174319475465</v>
      </c>
      <c r="CL198" s="21">
        <f>EXP(-LN(2)/25)*CL197+(1-EXP(-LN(2)/25))/(LN(2)/25)*Calculateur!CG198*Calculateur!CI198*VLOOKUP('Données projet'!$B$12,Paramètres!$A$1:$I$89,3,0)*0.475*44/12</f>
        <v>0.34343987849047386</v>
      </c>
      <c r="CM198" s="21">
        <f>EXP(-LN(2)/2)*CM197+(1-EXP(-LN(2)/2))/(LN(2)/2)*CG198*CJ198*VLOOKUP('Données projet'!$B$12,Paramètres!$A$1:$I$89,3,0)*0.475*44/12</f>
        <v>0</v>
      </c>
      <c r="CN198" s="22">
        <f t="shared" si="172"/>
        <v>3.2957573104380202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5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94.275999999999826</v>
      </c>
      <c r="D199" s="11">
        <f t="shared" si="202"/>
        <v>25.593690806832573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925.30989394747814</v>
      </c>
      <c r="H199" s="67">
        <f t="shared" si="192"/>
        <v>502.10637815523307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4.5474735088646412E-13</v>
      </c>
      <c r="O199" s="13">
        <f>N199*VLOOKUP('Données projet'!$B$9,Paramètres!$A$1:$I$89,3,0)*VLOOKUP('Données projet'!$B$9,Paramètres!$A$1:$I$89,5,0)</f>
        <v>2.1873347577638923E-13</v>
      </c>
      <c r="P199" s="13">
        <f t="shared" si="203"/>
        <v>2.999861355695181E-12</v>
      </c>
      <c r="Q199" s="20">
        <f t="shared" si="162"/>
        <v>5.6057193314796512E-12</v>
      </c>
      <c r="R199" s="59">
        <f t="shared" si="191"/>
        <v>293.33333333333894</v>
      </c>
      <c r="S199" s="59">
        <f ca="1">AVERAGE(OFFSET($R$3,0,0,'Données projet'!$E$9+1,1))-AVERAGE(OFFSET($H$3,0,0,'Données projet'!$E$9+1,1))</f>
        <v>234.10156575337737</v>
      </c>
      <c r="T199" s="59">
        <f t="shared" si="204"/>
        <v>285.68635263076646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17.018596988862431</v>
      </c>
      <c r="AA199" s="21">
        <f>EXP(-LN(2)/25)*AA198+(1-EXP(-LN(2)/25))/(LN(2)/25)*Calculateur!V199*Calculateur!X199*VLOOKUP('Données projet'!$B$9,Paramètres!$A$1:$I$89,3,0)*0.475*44/12</f>
        <v>3.7390765120176255</v>
      </c>
      <c r="AB199" s="21">
        <f>EXP(-LN(2)/2)*AB198+(1-EXP(-LN(2)/2))/(LN(2)/2)*V199*Y199*VLOOKUP('Données projet'!$B$9,Paramètres!$A$1:$I$89,3,0)*0.475*44/12</f>
        <v>4.488179705384534E-24</v>
      </c>
      <c r="AC199" s="22">
        <f t="shared" si="163"/>
        <v>20.757673500880056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0</v>
      </c>
      <c r="AJ199" s="13">
        <f>AI199*VLOOKUP('Données projet'!$B$10,Paramètres!$A$1:$I$89,3,0)*VLOOKUP('Données projet'!$B$10,Paramètres!$A$1:$I$89,5,0)</f>
        <v>0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179.44051550872138</v>
      </c>
      <c r="AO199" s="59">
        <f t="shared" si="205"/>
        <v>272.9500808380069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5.6360656988642921</v>
      </c>
      <c r="AV199" s="21">
        <f>EXP(-LN(2)/25)*AV198+(1-EXP(-LN(2)/25))/(LN(2)/25)*Calculateur!AQ199*Calculateur!AS199*VLOOKUP('Données projet'!$B$10,Paramètres!$A$1:$I$89,3,0)*0.475*44/12</f>
        <v>3.3312454217975711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8.9673111206618632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-1.1368683772161603E-13</v>
      </c>
      <c r="BE199" s="13">
        <f>BD199*VLOOKUP('Données projet'!$B$11,Paramètres!$A$1:$I$89,3,0)*VLOOKUP('Données projet'!$B$11,Paramètres!$A$1:$I$89,5,0)</f>
        <v>-6.3550942286383367E-14</v>
      </c>
      <c r="BF199" s="13" t="e">
        <f t="shared" si="167"/>
        <v>#NUM!</v>
      </c>
      <c r="BG199" s="20" t="e">
        <f t="shared" si="168"/>
        <v>#NUM!</v>
      </c>
      <c r="BH199" s="59" t="e">
        <f t="shared" si="194"/>
        <v>#NUM!</v>
      </c>
      <c r="BI199" s="59">
        <f ca="1">AVERAGE(OFFSET($BH$3,0,0,'Données projet'!$E$11+1,1))-AVERAGE(OFFSET($H$3,0,0,'Données projet'!$E$11+1,1))</f>
        <v>278.5296012747549</v>
      </c>
      <c r="BJ199" s="59">
        <f t="shared" si="206"/>
        <v>370.55343097937077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13.888279677027974</v>
      </c>
      <c r="BQ199" s="21">
        <f>EXP(-LN(2)/25)*BQ198+(1-EXP(-LN(2)/25))/(LN(2)/25)*Calculateur!BL199*Calculateur!BN199*VLOOKUP('Données projet'!$B$11,Paramètres!$A$1:$I$89,3,0)*0.475*44/12</f>
        <v>1.1552373266999039</v>
      </c>
      <c r="BR199" s="21">
        <f>EXP(-LN(2)/2)*BR198+(1-EXP(-LN(2)/2))/(LN(2)/2)*BL199*BO199*VLOOKUP('Données projet'!$B$11,Paramètres!$A$1:$I$89,3,0)*0.475*44/12</f>
        <v>2.0460665052666032E-20</v>
      </c>
      <c r="BS199" s="22">
        <f t="shared" si="169"/>
        <v>15.043517003727878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266.99999999999983</v>
      </c>
      <c r="BZ199" s="13">
        <f>BY199*VLOOKUP('Données projet'!$B$12,Paramètres!$A$1:$I$89,3,0)*VLOOKUP('Données projet'!$B$12,Paramètres!$A$1:$I$89,5,0)</f>
        <v>212.42519999999985</v>
      </c>
      <c r="CA199" s="13">
        <f t="shared" si="170"/>
        <v>52.465198231787184</v>
      </c>
      <c r="CB199" s="20">
        <f t="shared" si="171"/>
        <v>461.35077692036231</v>
      </c>
      <c r="CC199" s="59">
        <f t="shared" si="195"/>
        <v>754.68411025369562</v>
      </c>
      <c r="CD199" s="59">
        <f ca="1">AVERAGE(OFFSET($CC$3,0,0,'Données projet'!$E$12+1,1))-AVERAGE(OFFSET($H$3,0,0,'Données projet'!$E$12+1,1))</f>
        <v>225.2323446080772</v>
      </c>
      <c r="CE199" s="59">
        <f t="shared" si="207"/>
        <v>222.29030402759292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2.8944242878428805</v>
      </c>
      <c r="CL199" s="21">
        <f>EXP(-LN(2)/25)*CL198+(1-EXP(-LN(2)/25))/(LN(2)/25)*Calculateur!CG199*Calculateur!CI199*VLOOKUP('Données projet'!$B$12,Paramètres!$A$1:$I$89,3,0)*0.475*44/12</f>
        <v>0.3340484969524336</v>
      </c>
      <c r="CM199" s="21">
        <f>EXP(-LN(2)/2)*CM198+(1-EXP(-LN(2)/2))/(LN(2)/2)*CG199*CJ199*VLOOKUP('Données projet'!$B$12,Paramètres!$A$1:$I$89,3,0)*0.475*44/12</f>
        <v>0</v>
      </c>
      <c r="CN199" s="22">
        <f t="shared" si="172"/>
        <v>3.2284727847953141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5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94.75699999999982</v>
      </c>
      <c r="D200" s="11">
        <f t="shared" si="202"/>
        <v>25.709037147470404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929.91326920854192</v>
      </c>
      <c r="H200" s="67">
        <f t="shared" si="192"/>
        <v>503.14501469851064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4.5474735088646412E-13</v>
      </c>
      <c r="O200" s="13">
        <f>N200*VLOOKUP('Données projet'!$B$9,Paramètres!$A$1:$I$89,3,0)*VLOOKUP('Données projet'!$B$9,Paramètres!$A$1:$I$89,5,0)</f>
        <v>2.1873347577638923E-13</v>
      </c>
      <c r="P200" s="13">
        <f t="shared" si="203"/>
        <v>2.999861355695181E-12</v>
      </c>
      <c r="Q200" s="20">
        <f t="shared" si="162"/>
        <v>5.6057193314796512E-12</v>
      </c>
      <c r="R200" s="59">
        <f t="shared" si="191"/>
        <v>293.33333333333894</v>
      </c>
      <c r="S200" s="59">
        <f ca="1">AVERAGE(OFFSET($R$3,0,0,'Données projet'!$E$9+1,1))-AVERAGE(OFFSET($H$3,0,0,'Données projet'!$E$9+1,1))</f>
        <v>234.10156575337737</v>
      </c>
      <c r="T200" s="59">
        <f t="shared" si="204"/>
        <v>285.68635263076646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16.684872682230029</v>
      </c>
      <c r="AA200" s="21">
        <f>EXP(-LN(2)/25)*AA199+(1-EXP(-LN(2)/25))/(LN(2)/25)*Calculateur!V200*Calculateur!X200*VLOOKUP('Données projet'!$B$9,Paramètres!$A$1:$I$89,3,0)*0.475*44/12</f>
        <v>3.6368312681670156</v>
      </c>
      <c r="AB200" s="21">
        <f>EXP(-LN(2)/2)*AB199+(1-EXP(-LN(2)/2))/(LN(2)/2)*V200*Y200*VLOOKUP('Données projet'!$B$9,Paramètres!$A$1:$I$89,3,0)*0.475*44/12</f>
        <v>3.1736223048612451E-24</v>
      </c>
      <c r="AC200" s="22">
        <f t="shared" si="163"/>
        <v>20.321703950397044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0</v>
      </c>
      <c r="AJ200" s="13">
        <f>AI200*VLOOKUP('Données projet'!$B$10,Paramètres!$A$1:$I$89,3,0)*VLOOKUP('Données projet'!$B$10,Paramètres!$A$1:$I$89,5,0)</f>
        <v>0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179.44051550872138</v>
      </c>
      <c r="AO200" s="59">
        <f t="shared" si="205"/>
        <v>272.9500808380069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5.5255458881701989</v>
      </c>
      <c r="AV200" s="21">
        <f>EXP(-LN(2)/25)*AV199+(1-EXP(-LN(2)/25))/(LN(2)/25)*Calculateur!AQ200*Calculateur!AS200*VLOOKUP('Données projet'!$B$10,Paramètres!$A$1:$I$89,3,0)*0.475*44/12</f>
        <v>3.2401523405559334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8.7656982287261318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-1.1368683772161603E-13</v>
      </c>
      <c r="BE200" s="13">
        <f>BD200*VLOOKUP('Données projet'!$B$11,Paramètres!$A$1:$I$89,3,0)*VLOOKUP('Données projet'!$B$11,Paramètres!$A$1:$I$89,5,0)</f>
        <v>-6.3550942286383367E-14</v>
      </c>
      <c r="BF200" s="13" t="e">
        <f t="shared" si="167"/>
        <v>#NUM!</v>
      </c>
      <c r="BG200" s="20" t="e">
        <f t="shared" si="168"/>
        <v>#NUM!</v>
      </c>
      <c r="BH200" s="59" t="e">
        <f t="shared" si="194"/>
        <v>#NUM!</v>
      </c>
      <c r="BI200" s="59">
        <f ca="1">AVERAGE(OFFSET($BH$3,0,0,'Données projet'!$E$11+1,1))-AVERAGE(OFFSET($H$3,0,0,'Données projet'!$E$11+1,1))</f>
        <v>278.5296012747549</v>
      </c>
      <c r="BJ200" s="59">
        <f t="shared" si="206"/>
        <v>370.55343097937077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13.615938983575615</v>
      </c>
      <c r="BQ200" s="21">
        <f>EXP(-LN(2)/25)*BQ199+(1-EXP(-LN(2)/25))/(LN(2)/25)*Calculateur!BL200*Calculateur!BN200*VLOOKUP('Données projet'!$B$11,Paramètres!$A$1:$I$89,3,0)*0.475*44/12</f>
        <v>1.1236473012500043</v>
      </c>
      <c r="BR200" s="21">
        <f>EXP(-LN(2)/2)*BR199+(1-EXP(-LN(2)/2))/(LN(2)/2)*BL200*BO200*VLOOKUP('Données projet'!$B$11,Paramètres!$A$1:$I$89,3,0)*0.475*44/12</f>
        <v>1.446787500632676E-20</v>
      </c>
      <c r="BS200" s="22">
        <f t="shared" si="169"/>
        <v>14.73958628482562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266.99999999999983</v>
      </c>
      <c r="BZ200" s="13">
        <f>BY200*VLOOKUP('Données projet'!$B$12,Paramètres!$A$1:$I$89,3,0)*VLOOKUP('Données projet'!$B$12,Paramètres!$A$1:$I$89,5,0)</f>
        <v>212.42519999999985</v>
      </c>
      <c r="CA200" s="13">
        <f t="shared" si="170"/>
        <v>52.465198231787184</v>
      </c>
      <c r="CB200" s="20">
        <f t="shared" si="171"/>
        <v>461.35077692036231</v>
      </c>
      <c r="CC200" s="59">
        <f t="shared" si="195"/>
        <v>754.68411025369562</v>
      </c>
      <c r="CD200" s="59">
        <f ca="1">AVERAGE(OFFSET($CC$3,0,0,'Données projet'!$E$12+1,1))-AVERAGE(OFFSET($H$3,0,0,'Données projet'!$E$12+1,1))</f>
        <v>225.2323446080772</v>
      </c>
      <c r="CE200" s="59">
        <f t="shared" si="207"/>
        <v>222.29030402759292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2.8376663929827761</v>
      </c>
      <c r="CL200" s="21">
        <f>EXP(-LN(2)/25)*CL199+(1-EXP(-LN(2)/25))/(LN(2)/25)*Calculateur!CG200*Calculateur!CI200*VLOOKUP('Données projet'!$B$12,Paramètres!$A$1:$I$89,3,0)*0.475*44/12</f>
        <v>0.32491392323642232</v>
      </c>
      <c r="CM200" s="21">
        <f>EXP(-LN(2)/2)*CM199+(1-EXP(-LN(2)/2))/(LN(2)/2)*CG200*CJ200*VLOOKUP('Données projet'!$B$12,Paramètres!$A$1:$I$89,3,0)*0.475*44/12</f>
        <v>0</v>
      </c>
      <c r="CN200" s="22">
        <f t="shared" si="172"/>
        <v>3.1625803162191986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5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95.237999999999815</v>
      </c>
      <c r="D201" s="11">
        <f t="shared" si="202"/>
        <v>25.824315354051095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934.51611852249823</v>
      </c>
      <c r="H201" s="67">
        <f t="shared" si="192"/>
        <v>504.18353257497199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4.5474735088646412E-13</v>
      </c>
      <c r="O201" s="13">
        <f>N201*VLOOKUP('Données projet'!$B$9,Paramètres!$A$1:$I$89,3,0)*VLOOKUP('Données projet'!$B$9,Paramètres!$A$1:$I$89,5,0)</f>
        <v>2.1873347577638923E-13</v>
      </c>
      <c r="P201" s="13">
        <f t="shared" si="203"/>
        <v>2.999861355695181E-12</v>
      </c>
      <c r="Q201" s="20">
        <f t="shared" si="162"/>
        <v>5.6057193314796512E-12</v>
      </c>
      <c r="R201" s="59">
        <f t="shared" si="191"/>
        <v>293.33333333333894</v>
      </c>
      <c r="S201" s="59">
        <f ca="1">AVERAGE(OFFSET($R$3,0,0,'Données projet'!$E$9+1,1))-AVERAGE(OFFSET($H$3,0,0,'Données projet'!$E$9+1,1))</f>
        <v>234.10156575337737</v>
      </c>
      <c r="T201" s="59">
        <f t="shared" si="204"/>
        <v>285.68635263076646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16.357692505698964</v>
      </c>
      <c r="AA201" s="21">
        <f>EXP(-LN(2)/25)*AA200+(1-EXP(-LN(2)/25))/(LN(2)/25)*Calculateur!V201*Calculateur!X201*VLOOKUP('Données projet'!$B$9,Paramètres!$A$1:$I$89,3,0)*0.475*44/12</f>
        <v>3.5373819258863444</v>
      </c>
      <c r="AB201" s="21">
        <f>EXP(-LN(2)/2)*AB200+(1-EXP(-LN(2)/2))/(LN(2)/2)*V201*Y201*VLOOKUP('Données projet'!$B$9,Paramètres!$A$1:$I$89,3,0)*0.475*44/12</f>
        <v>2.244089852692267E-24</v>
      </c>
      <c r="AC201" s="22">
        <f t="shared" si="163"/>
        <v>19.895074431585307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0</v>
      </c>
      <c r="AJ201" s="13">
        <f>AI201*VLOOKUP('Données projet'!$B$10,Paramètres!$A$1:$I$89,3,0)*VLOOKUP('Données projet'!$B$10,Paramètres!$A$1:$I$89,5,0)</f>
        <v>0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179.44051550872138</v>
      </c>
      <c r="AO201" s="59">
        <f t="shared" si="205"/>
        <v>272.9500808380069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5.4171933035533888</v>
      </c>
      <c r="AV201" s="21">
        <f>EXP(-LN(2)/25)*AV200+(1-EXP(-LN(2)/25))/(LN(2)/25)*Calculateur!AQ201*Calculateur!AS201*VLOOKUP('Données projet'!$B$10,Paramètres!$A$1:$I$89,3,0)*0.475*44/12</f>
        <v>3.1515502044112251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8.5687435079646139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-1.1368683772161603E-13</v>
      </c>
      <c r="BE201" s="13">
        <f>BD201*VLOOKUP('Données projet'!$B$11,Paramètres!$A$1:$I$89,3,0)*VLOOKUP('Données projet'!$B$11,Paramètres!$A$1:$I$89,5,0)</f>
        <v>-6.3550942286383367E-14</v>
      </c>
      <c r="BF201" s="13" t="e">
        <f t="shared" si="167"/>
        <v>#NUM!</v>
      </c>
      <c r="BG201" s="20" t="e">
        <f t="shared" si="168"/>
        <v>#NUM!</v>
      </c>
      <c r="BH201" s="59" t="e">
        <f t="shared" si="194"/>
        <v>#NUM!</v>
      </c>
      <c r="BI201" s="59">
        <f ca="1">AVERAGE(OFFSET($BH$3,0,0,'Données projet'!$E$11+1,1))-AVERAGE(OFFSET($H$3,0,0,'Données projet'!$E$11+1,1))</f>
        <v>278.5296012747549</v>
      </c>
      <c r="BJ201" s="59">
        <f t="shared" si="206"/>
        <v>370.55343097937077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13.348938725010436</v>
      </c>
      <c r="BQ201" s="21">
        <f>EXP(-LN(2)/25)*BQ200+(1-EXP(-LN(2)/25))/(LN(2)/25)*Calculateur!BL201*Calculateur!BN201*VLOOKUP('Données projet'!$B$11,Paramètres!$A$1:$I$89,3,0)*0.475*44/12</f>
        <v>1.0929211067072795</v>
      </c>
      <c r="BR201" s="21">
        <f>EXP(-LN(2)/2)*BR200+(1-EXP(-LN(2)/2))/(LN(2)/2)*BL201*BO201*VLOOKUP('Données projet'!$B$11,Paramètres!$A$1:$I$89,3,0)*0.475*44/12</f>
        <v>1.0230332526333016E-20</v>
      </c>
      <c r="BS201" s="22">
        <f t="shared" si="169"/>
        <v>14.441859831717716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266.99999999999983</v>
      </c>
      <c r="BZ201" s="13">
        <f>BY201*VLOOKUP('Données projet'!$B$12,Paramètres!$A$1:$I$89,3,0)*VLOOKUP('Données projet'!$B$12,Paramètres!$A$1:$I$89,5,0)</f>
        <v>212.42519999999985</v>
      </c>
      <c r="CA201" s="13">
        <f t="shared" si="170"/>
        <v>52.465198231787184</v>
      </c>
      <c r="CB201" s="20">
        <f t="shared" si="171"/>
        <v>461.35077692036231</v>
      </c>
      <c r="CC201" s="59">
        <f t="shared" si="195"/>
        <v>754.68411025369562</v>
      </c>
      <c r="CD201" s="59">
        <f ca="1">AVERAGE(OFFSET($CC$3,0,0,'Données projet'!$E$12+1,1))-AVERAGE(OFFSET($H$3,0,0,'Données projet'!$E$12+1,1))</f>
        <v>225.2323446080772</v>
      </c>
      <c r="CE201" s="59">
        <f t="shared" si="207"/>
        <v>222.29030402759292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2.7820214858219807</v>
      </c>
      <c r="CL201" s="21">
        <f>EXP(-LN(2)/25)*CL200+(1-EXP(-LN(2)/25))/(LN(2)/25)*Calculateur!CG201*Calculateur!CI201*VLOOKUP('Données projet'!$B$12,Paramètres!$A$1:$I$89,3,0)*0.475*44/12</f>
        <v>0.31602913491904172</v>
      </c>
      <c r="CM201" s="21">
        <f>EXP(-LN(2)/2)*CM200+(1-EXP(-LN(2)/2))/(LN(2)/2)*CG201*CJ201*VLOOKUP('Données projet'!$B$12,Paramètres!$A$1:$I$89,3,0)*0.475*44/12</f>
        <v>0</v>
      </c>
      <c r="CN201" s="22">
        <f t="shared" si="172"/>
        <v>3.0980506207410223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5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95.718999999999809</v>
      </c>
      <c r="D202" s="11">
        <f t="shared" si="202"/>
        <v>25.939525810630993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939.11844485399217</v>
      </c>
      <c r="H202" s="67">
        <f t="shared" si="192"/>
        <v>505.22193245351531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4.5474735088646412E-13</v>
      </c>
      <c r="O202" s="13">
        <f>N202*VLOOKUP('Données projet'!$B$9,Paramètres!$A$1:$I$89,3,0)*VLOOKUP('Données projet'!$B$9,Paramètres!$A$1:$I$89,5,0)</f>
        <v>2.1873347577638923E-13</v>
      </c>
      <c r="P202" s="13">
        <f t="shared" si="203"/>
        <v>2.999861355695181E-12</v>
      </c>
      <c r="Q202" s="20">
        <f t="shared" si="162"/>
        <v>5.6057193314796512E-12</v>
      </c>
      <c r="R202" s="59">
        <f t="shared" si="191"/>
        <v>293.33333333333894</v>
      </c>
      <c r="S202" s="59">
        <f ca="1">AVERAGE(OFFSET($R$3,0,0,'Données projet'!$E$9+1,1))-AVERAGE(OFFSET($H$3,0,0,'Données projet'!$E$9+1,1))</f>
        <v>234.10156575337737</v>
      </c>
      <c r="T202" s="59">
        <f t="shared" si="204"/>
        <v>285.68635263076646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16.03692813286947</v>
      </c>
      <c r="AA202" s="21">
        <f>EXP(-LN(2)/25)*AA201+(1-EXP(-LN(2)/25))/(LN(2)/25)*Calculateur!V202*Calculateur!X202*VLOOKUP('Données projet'!$B$9,Paramètres!$A$1:$I$89,3,0)*0.475*44/12</f>
        <v>3.4406520311001514</v>
      </c>
      <c r="AB202" s="21">
        <f>EXP(-LN(2)/2)*AB201+(1-EXP(-LN(2)/2))/(LN(2)/2)*V202*Y202*VLOOKUP('Données projet'!$B$9,Paramètres!$A$1:$I$89,3,0)*0.475*44/12</f>
        <v>1.5868111524306225E-24</v>
      </c>
      <c r="AC202" s="22">
        <f t="shared" si="163"/>
        <v>19.47758016396962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0</v>
      </c>
      <c r="AJ202" s="13">
        <f>AI202*VLOOKUP('Données projet'!$B$10,Paramètres!$A$1:$I$89,3,0)*VLOOKUP('Données projet'!$B$10,Paramètres!$A$1:$I$89,5,0)</f>
        <v>0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179.44051550872138</v>
      </c>
      <c r="AO202" s="59">
        <f t="shared" si="205"/>
        <v>272.9500808380069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5.3109654470323635</v>
      </c>
      <c r="AV202" s="21">
        <f>EXP(-LN(2)/25)*AV201+(1-EXP(-LN(2)/25))/(LN(2)/25)*Calculateur!AQ202*Calculateur!AS202*VLOOKUP('Données projet'!$B$10,Paramètres!$A$1:$I$89,3,0)*0.475*44/12</f>
        <v>3.0653708983387777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8.3763363453711417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-1.1368683772161603E-13</v>
      </c>
      <c r="BE202" s="13">
        <f>BD202*VLOOKUP('Données projet'!$B$11,Paramètres!$A$1:$I$89,3,0)*VLOOKUP('Données projet'!$B$11,Paramètres!$A$1:$I$89,5,0)</f>
        <v>-6.3550942286383367E-14</v>
      </c>
      <c r="BF202" s="13" t="e">
        <f t="shared" si="167"/>
        <v>#NUM!</v>
      </c>
      <c r="BG202" s="20" t="e">
        <f t="shared" si="168"/>
        <v>#NUM!</v>
      </c>
      <c r="BH202" s="59" t="e">
        <f t="shared" si="194"/>
        <v>#NUM!</v>
      </c>
      <c r="BI202" s="59">
        <f ca="1">AVERAGE(OFFSET($BH$3,0,0,'Données projet'!$E$11+1,1))-AVERAGE(OFFSET($H$3,0,0,'Données projet'!$E$11+1,1))</f>
        <v>278.5296012747549</v>
      </c>
      <c r="BJ202" s="59">
        <f t="shared" si="206"/>
        <v>370.55343097937077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13.087174178661643</v>
      </c>
      <c r="BQ202" s="21">
        <f>EXP(-LN(2)/25)*BQ201+(1-EXP(-LN(2)/25))/(LN(2)/25)*Calculateur!BL202*Calculateur!BN202*VLOOKUP('Données projet'!$B$11,Paramètres!$A$1:$I$89,3,0)*0.475*44/12</f>
        <v>1.0630351215701459</v>
      </c>
      <c r="BR202" s="21">
        <f>EXP(-LN(2)/2)*BR201+(1-EXP(-LN(2)/2))/(LN(2)/2)*BL202*BO202*VLOOKUP('Données projet'!$B$11,Paramètres!$A$1:$I$89,3,0)*0.475*44/12</f>
        <v>7.2339375031633799E-21</v>
      </c>
      <c r="BS202" s="22">
        <f t="shared" si="169"/>
        <v>14.150209300231788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266.99999999999983</v>
      </c>
      <c r="BZ202" s="13">
        <f>BY202*VLOOKUP('Données projet'!$B$12,Paramètres!$A$1:$I$89,3,0)*VLOOKUP('Données projet'!$B$12,Paramètres!$A$1:$I$89,5,0)</f>
        <v>212.42519999999985</v>
      </c>
      <c r="CA202" s="13">
        <f t="shared" si="170"/>
        <v>52.465198231787184</v>
      </c>
      <c r="CB202" s="20">
        <f t="shared" si="171"/>
        <v>461.35077692036231</v>
      </c>
      <c r="CC202" s="59">
        <f t="shared" si="195"/>
        <v>754.68411025369562</v>
      </c>
      <c r="CD202" s="59">
        <f ca="1">AVERAGE(OFFSET($CC$3,0,0,'Données projet'!$E$12+1,1))-AVERAGE(OFFSET($H$3,0,0,'Données projet'!$E$12+1,1))</f>
        <v>225.2323446080772</v>
      </c>
      <c r="CE202" s="59">
        <f t="shared" si="207"/>
        <v>222.29030402759292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2.7274677413505666</v>
      </c>
      <c r="CL202" s="21">
        <f>EXP(-LN(2)/25)*CL201+(1-EXP(-LN(2)/25))/(LN(2)/25)*Calculateur!CG202*Calculateur!CI202*VLOOKUP('Données projet'!$B$12,Paramètres!$A$1:$I$89,3,0)*0.475*44/12</f>
        <v>0.3073873016054306</v>
      </c>
      <c r="CM202" s="21">
        <f>EXP(-LN(2)/2)*CM201+(1-EXP(-LN(2)/2))/(LN(2)/2)*CG202*CJ202*VLOOKUP('Données projet'!$B$12,Paramètres!$A$1:$I$89,3,0)*0.475*44/12</f>
        <v>0</v>
      </c>
      <c r="CN202" s="22">
        <f t="shared" si="172"/>
        <v>3.0348550429559973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4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96.199999999999804</v>
      </c>
      <c r="D203" s="11">
        <f t="shared" si="202"/>
        <v>26.054668897183067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943.72025113614848</v>
      </c>
      <c r="H203" s="67">
        <f t="shared" si="192"/>
        <v>506.26021499592679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4.5474735088646412E-13</v>
      </c>
      <c r="O203" s="13">
        <f>N203*VLOOKUP('Données projet'!$B$9,Paramètres!$A$1:$I$89,3,0)*VLOOKUP('Données projet'!$B$9,Paramètres!$A$1:$I$89,5,0)</f>
        <v>2.1873347577638923E-13</v>
      </c>
      <c r="P203" s="13">
        <f t="shared" si="203"/>
        <v>2.999861355695181E-12</v>
      </c>
      <c r="Q203" s="20">
        <f t="shared" si="162"/>
        <v>5.6057193314796512E-12</v>
      </c>
      <c r="R203" s="59">
        <f t="shared" si="191"/>
        <v>293.33333333333894</v>
      </c>
      <c r="S203" s="59">
        <f ca="1">AVERAGE(OFFSET($R$3,0,0,'Données projet'!$E$9+1,1))-AVERAGE(OFFSET($H$3,0,0,'Données projet'!$E$9+1,1))</f>
        <v>234.10156575337737</v>
      </c>
      <c r="T203" s="59">
        <f t="shared" si="204"/>
        <v>285.68635263076646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15.722453753744212</v>
      </c>
      <c r="AA203" s="21">
        <f>EXP(-LN(2)/25)*AA202+(1-EXP(-LN(2)/25))/(LN(2)/25)*Calculateur!V203*Calculateur!X203*VLOOKUP('Données projet'!$B$9,Paramètres!$A$1:$I$89,3,0)*0.475*44/12</f>
        <v>3.3465672203736911</v>
      </c>
      <c r="AB203" s="21">
        <f>EXP(-LN(2)/2)*AB202+(1-EXP(-LN(2)/2))/(LN(2)/2)*V203*Y203*VLOOKUP('Données projet'!$B$9,Paramètres!$A$1:$I$89,3,0)*0.475*44/12</f>
        <v>1.1220449263461335E-24</v>
      </c>
      <c r="AC203" s="22">
        <f t="shared" si="163"/>
        <v>19.069020974117905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0</v>
      </c>
      <c r="AJ203" s="13">
        <f>AI203*VLOOKUP('Données projet'!$B$10,Paramètres!$A$1:$I$89,3,0)*VLOOKUP('Données projet'!$B$10,Paramètres!$A$1:$I$89,5,0)</f>
        <v>0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179.44051550872138</v>
      </c>
      <c r="AO203" s="59">
        <f t="shared" si="205"/>
        <v>272.9500808380069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5.2068206539851207</v>
      </c>
      <c r="AV203" s="21">
        <f>EXP(-LN(2)/25)*AV202+(1-EXP(-LN(2)/25))/(LN(2)/25)*Calculateur!AQ203*Calculateur!AS203*VLOOKUP('Données projet'!$B$10,Paramètres!$A$1:$I$89,3,0)*0.475*44/12</f>
        <v>2.9815481699228541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8.1883688239079753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-1.1368683772161603E-13</v>
      </c>
      <c r="BE203" s="13">
        <f>BD203*VLOOKUP('Données projet'!$B$11,Paramètres!$A$1:$I$89,3,0)*VLOOKUP('Données projet'!$B$11,Paramètres!$A$1:$I$89,5,0)</f>
        <v>-6.3550942286383367E-14</v>
      </c>
      <c r="BF203" s="13" t="e">
        <f t="shared" si="167"/>
        <v>#NUM!</v>
      </c>
      <c r="BG203" s="20" t="e">
        <f t="shared" si="168"/>
        <v>#NUM!</v>
      </c>
      <c r="BH203" s="59" t="e">
        <f t="shared" si="194"/>
        <v>#NUM!</v>
      </c>
      <c r="BI203" s="59">
        <f ca="1">AVERAGE(OFFSET($BH$3,0,0,'Données projet'!$E$11+1,1))-AVERAGE(OFFSET($H$3,0,0,'Données projet'!$E$11+1,1))</f>
        <v>278.5296012747549</v>
      </c>
      <c r="BJ203" s="59">
        <f t="shared" si="206"/>
        <v>370.55343097937077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12.830542675406141</v>
      </c>
      <c r="BQ203" s="21">
        <f>EXP(-LN(2)/25)*BQ202+(1-EXP(-LN(2)/25))/(LN(2)/25)*Calculateur!BL203*Calculateur!BN203*VLOOKUP('Données projet'!$B$11,Paramètres!$A$1:$I$89,3,0)*0.475*44/12</f>
        <v>1.0339663702682229</v>
      </c>
      <c r="BR203" s="21">
        <f>EXP(-LN(2)/2)*BR202+(1-EXP(-LN(2)/2))/(LN(2)/2)*BL203*BO203*VLOOKUP('Données projet'!$B$11,Paramètres!$A$1:$I$89,3,0)*0.475*44/12</f>
        <v>5.115166263166508E-21</v>
      </c>
      <c r="BS203" s="22">
        <f t="shared" si="169"/>
        <v>13.864509045674364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266.99999999999983</v>
      </c>
      <c r="BZ203" s="13">
        <f>BY203*VLOOKUP('Données projet'!$B$12,Paramètres!$A$1:$I$89,3,0)*VLOOKUP('Données projet'!$B$12,Paramètres!$A$1:$I$89,5,0)</f>
        <v>212.42519999999985</v>
      </c>
      <c r="CA203" s="13">
        <f t="shared" si="170"/>
        <v>52.465198231787184</v>
      </c>
      <c r="CB203" s="20">
        <f t="shared" si="171"/>
        <v>461.35077692036231</v>
      </c>
      <c r="CC203" s="59">
        <f t="shared" si="195"/>
        <v>754.68411025369562</v>
      </c>
      <c r="CD203" s="59">
        <f ca="1">AVERAGE(OFFSET($CC$3,0,0,'Données projet'!$E$12+1,1))-AVERAGE(OFFSET($H$3,0,0,'Données projet'!$E$12+1,1))</f>
        <v>225.2323446080772</v>
      </c>
      <c r="CE203" s="59">
        <f t="shared" si="207"/>
        <v>222.29030402759292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2.6739837625337382</v>
      </c>
      <c r="CL203" s="21">
        <f>EXP(-LN(2)/25)*CL202+(1-EXP(-LN(2)/25))/(LN(2)/25)*Calculateur!CG203*Calculateur!CI203*VLOOKUP('Données projet'!$B$12,Paramètres!$A$1:$I$89,3,0)*0.475*44/12</f>
        <v>0.29898177967823447</v>
      </c>
      <c r="CM203" s="21">
        <f>EXP(-LN(2)/2)*CM202+(1-EXP(-LN(2)/2))/(LN(2)/2)*CG203*CJ203*VLOOKUP('Données projet'!$B$12,Paramètres!$A$1:$I$89,3,0)*0.475*44/12</f>
        <v>0</v>
      </c>
      <c r="CN203" s="22">
        <f t="shared" si="172"/>
        <v>2.9729655422119725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4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101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101</v>
      </c>
      <c r="BA204" s="81" t="s">
        <v>101</v>
      </c>
      <c r="BV204" s="81" t="s">
        <v>101</v>
      </c>
      <c r="CQ204" s="81" t="s">
        <v>101</v>
      </c>
      <c r="DL204" s="81" t="s">
        <v>101</v>
      </c>
      <c r="EG204" s="81" t="s">
        <v>101</v>
      </c>
      <c r="FB204" s="81" t="s">
        <v>101</v>
      </c>
      <c r="FW204" s="81" t="s">
        <v>101</v>
      </c>
      <c r="GR204" s="81" t="s">
        <v>101</v>
      </c>
    </row>
    <row r="205" spans="1:218" ht="15" thickBot="1" x14ac:dyDescent="0.4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1.2484549330391677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1.2997069632623315</v>
      </c>
      <c r="BA205" s="82">
        <f>EXP(LN('Données projet'!B88)/'Données projet'!A88)</f>
        <v>1.3356034260773062</v>
      </c>
      <c r="BV205" s="82">
        <f>EXP(LN('Données projet'!B114)/'Données projet'!A114)</f>
        <v>1.2721747796233518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53125" defaultRowHeight="14.5" x14ac:dyDescent="0.35"/>
  <cols>
    <col min="1" max="1" width="23.453125" style="4" bestFit="1" customWidth="1"/>
    <col min="2" max="2" width="27.7265625" style="4" bestFit="1" customWidth="1"/>
    <col min="3" max="3" width="11.81640625" style="4" bestFit="1" customWidth="1"/>
    <col min="4" max="4" width="40" style="4" bestFit="1" customWidth="1"/>
    <col min="5" max="5" width="11.81640625" style="4" bestFit="1" customWidth="1"/>
    <col min="6" max="6" width="13.7265625" style="4" bestFit="1" customWidth="1"/>
    <col min="7" max="7" width="11.453125" style="4" bestFit="1" customWidth="1"/>
    <col min="8" max="8" width="39" style="4" bestFit="1" customWidth="1"/>
    <col min="9" max="9" width="16.7265625" style="4" customWidth="1"/>
    <col min="10" max="14" width="11.453125" style="4"/>
    <col min="15" max="15" width="23.453125" style="4" bestFit="1" customWidth="1"/>
    <col min="16" max="16384" width="11.453125" style="4"/>
  </cols>
  <sheetData>
    <row r="1" spans="1:16" ht="44" thickBot="1" x14ac:dyDescent="0.4">
      <c r="A1" s="111" t="s">
        <v>102</v>
      </c>
      <c r="B1" s="112" t="s">
        <v>103</v>
      </c>
      <c r="C1" s="113" t="s">
        <v>104</v>
      </c>
      <c r="D1" s="112" t="s">
        <v>105</v>
      </c>
      <c r="E1" s="113" t="s">
        <v>106</v>
      </c>
      <c r="F1" s="113" t="s">
        <v>105</v>
      </c>
      <c r="G1" s="113" t="s">
        <v>107</v>
      </c>
      <c r="H1" s="113" t="s">
        <v>105</v>
      </c>
      <c r="I1" s="114" t="s">
        <v>108</v>
      </c>
      <c r="J1" s="78"/>
      <c r="K1" s="78"/>
      <c r="L1" s="78"/>
      <c r="M1" s="78"/>
      <c r="N1" s="78"/>
    </row>
    <row r="2" spans="1:16" x14ac:dyDescent="0.35">
      <c r="A2" s="115" t="s">
        <v>109</v>
      </c>
      <c r="B2" s="116" t="s">
        <v>110</v>
      </c>
      <c r="C2" s="117">
        <v>0.62</v>
      </c>
      <c r="D2" s="117" t="s">
        <v>111</v>
      </c>
      <c r="E2" s="117">
        <v>1.56</v>
      </c>
      <c r="F2" s="117" t="s">
        <v>112</v>
      </c>
      <c r="G2" s="118">
        <v>0.43</v>
      </c>
      <c r="H2" s="119" t="s">
        <v>113</v>
      </c>
      <c r="I2" s="120">
        <v>0.25</v>
      </c>
      <c r="J2" s="78"/>
      <c r="K2" s="78"/>
      <c r="L2" s="78"/>
      <c r="M2" s="78"/>
      <c r="N2" s="78"/>
      <c r="O2" s="289" t="s">
        <v>114</v>
      </c>
      <c r="P2" s="121">
        <v>0</v>
      </c>
    </row>
    <row r="3" spans="1:16" ht="15" thickBot="1" x14ac:dyDescent="0.4">
      <c r="A3" s="122" t="s">
        <v>115</v>
      </c>
      <c r="B3" s="123" t="s">
        <v>116</v>
      </c>
      <c r="C3" s="124">
        <v>0.64</v>
      </c>
      <c r="D3" s="124" t="s">
        <v>111</v>
      </c>
      <c r="E3" s="124">
        <v>1.56</v>
      </c>
      <c r="F3" s="125" t="s">
        <v>112</v>
      </c>
      <c r="G3" s="126">
        <v>0.43</v>
      </c>
      <c r="H3" s="124" t="s">
        <v>113</v>
      </c>
      <c r="I3" s="127">
        <v>0.25</v>
      </c>
      <c r="J3" s="78"/>
      <c r="K3" s="78"/>
      <c r="L3" s="78"/>
      <c r="M3" s="78"/>
      <c r="N3" s="78"/>
      <c r="O3" s="290"/>
      <c r="P3" s="128">
        <v>0.2</v>
      </c>
    </row>
    <row r="4" spans="1:16" ht="15" thickBot="1" x14ac:dyDescent="0.4">
      <c r="A4" s="122" t="s">
        <v>117</v>
      </c>
      <c r="B4" s="123" t="s">
        <v>118</v>
      </c>
      <c r="C4" s="124">
        <v>0.42</v>
      </c>
      <c r="D4" s="124" t="s">
        <v>111</v>
      </c>
      <c r="E4" s="124">
        <v>1.56</v>
      </c>
      <c r="F4" s="125" t="s">
        <v>112</v>
      </c>
      <c r="G4" s="126">
        <v>0.43</v>
      </c>
      <c r="H4" s="124" t="s">
        <v>113</v>
      </c>
      <c r="I4" s="127">
        <v>0.25</v>
      </c>
      <c r="J4" s="78"/>
      <c r="K4" s="78"/>
      <c r="L4" s="78"/>
      <c r="M4" s="78"/>
      <c r="N4" s="78"/>
    </row>
    <row r="5" spans="1:16" x14ac:dyDescent="0.35">
      <c r="A5" s="122" t="s">
        <v>119</v>
      </c>
      <c r="B5" s="123" t="s">
        <v>120</v>
      </c>
      <c r="C5" s="124">
        <v>0.42</v>
      </c>
      <c r="D5" s="124" t="s">
        <v>111</v>
      </c>
      <c r="E5" s="124">
        <v>1.56</v>
      </c>
      <c r="F5" s="125" t="s">
        <v>112</v>
      </c>
      <c r="G5" s="126">
        <v>0.43</v>
      </c>
      <c r="H5" s="124" t="s">
        <v>113</v>
      </c>
      <c r="I5" s="127">
        <v>0.25</v>
      </c>
      <c r="J5" s="78"/>
      <c r="K5" s="78"/>
      <c r="L5" s="78"/>
      <c r="M5" s="78"/>
      <c r="N5" s="78"/>
      <c r="O5" s="289" t="s">
        <v>121</v>
      </c>
      <c r="P5" s="121">
        <v>0</v>
      </c>
    </row>
    <row r="6" spans="1:16" x14ac:dyDescent="0.35">
      <c r="A6" s="122" t="s">
        <v>122</v>
      </c>
      <c r="B6" s="123" t="s">
        <v>123</v>
      </c>
      <c r="C6" s="124">
        <v>0.42</v>
      </c>
      <c r="D6" s="124" t="s">
        <v>111</v>
      </c>
      <c r="E6" s="124">
        <v>1.56</v>
      </c>
      <c r="F6" s="125" t="s">
        <v>112</v>
      </c>
      <c r="G6" s="126">
        <v>0.43</v>
      </c>
      <c r="H6" s="124" t="s">
        <v>113</v>
      </c>
      <c r="I6" s="127">
        <v>0.25</v>
      </c>
      <c r="J6" s="78"/>
      <c r="K6" s="78"/>
      <c r="L6" s="78"/>
      <c r="M6" s="78"/>
      <c r="N6" s="78"/>
      <c r="O6" s="291"/>
      <c r="P6" s="129">
        <v>0.05</v>
      </c>
    </row>
    <row r="7" spans="1:16" x14ac:dyDescent="0.35">
      <c r="A7" s="122" t="s">
        <v>124</v>
      </c>
      <c r="B7" s="123" t="s">
        <v>125</v>
      </c>
      <c r="C7" s="124">
        <v>0.52</v>
      </c>
      <c r="D7" s="124" t="s">
        <v>111</v>
      </c>
      <c r="E7" s="124">
        <v>1.56</v>
      </c>
      <c r="F7" s="125" t="s">
        <v>112</v>
      </c>
      <c r="G7" s="126">
        <v>0.43</v>
      </c>
      <c r="H7" s="124" t="s">
        <v>113</v>
      </c>
      <c r="I7" s="127">
        <v>0.25</v>
      </c>
      <c r="J7" s="78"/>
      <c r="K7" s="78"/>
      <c r="L7" s="78"/>
      <c r="M7" s="78"/>
      <c r="N7" s="78"/>
      <c r="O7" s="291"/>
      <c r="P7" s="129">
        <v>0.1</v>
      </c>
    </row>
    <row r="8" spans="1:16" ht="15" thickBot="1" x14ac:dyDescent="0.4">
      <c r="A8" s="122" t="s">
        <v>126</v>
      </c>
      <c r="B8" s="123" t="s">
        <v>127</v>
      </c>
      <c r="C8" s="124">
        <v>0.36</v>
      </c>
      <c r="D8" s="124" t="s">
        <v>111</v>
      </c>
      <c r="E8" s="124">
        <v>1.3</v>
      </c>
      <c r="F8" s="125" t="s">
        <v>112</v>
      </c>
      <c r="G8" s="126">
        <v>0.55000000000000004</v>
      </c>
      <c r="H8" s="124" t="s">
        <v>128</v>
      </c>
      <c r="I8" s="127">
        <v>0.43</v>
      </c>
      <c r="J8" s="78"/>
      <c r="K8" s="78"/>
      <c r="L8" s="78"/>
      <c r="M8" s="78"/>
      <c r="N8" s="78"/>
      <c r="O8" s="290"/>
      <c r="P8" s="128">
        <v>0.15</v>
      </c>
    </row>
    <row r="9" spans="1:16" ht="15" thickBot="1" x14ac:dyDescent="0.4">
      <c r="A9" s="122" t="s">
        <v>129</v>
      </c>
      <c r="B9" s="123" t="s">
        <v>130</v>
      </c>
      <c r="C9" s="124">
        <v>0.61</v>
      </c>
      <c r="D9" s="124" t="s">
        <v>111</v>
      </c>
      <c r="E9" s="124">
        <v>1.56</v>
      </c>
      <c r="F9" s="125" t="s">
        <v>112</v>
      </c>
      <c r="G9" s="126">
        <v>0.43</v>
      </c>
      <c r="H9" s="124" t="s">
        <v>113</v>
      </c>
      <c r="I9" s="127">
        <v>0.25</v>
      </c>
      <c r="J9" s="78"/>
      <c r="K9" s="78"/>
      <c r="L9" s="78"/>
      <c r="M9" s="78"/>
      <c r="N9" s="78"/>
    </row>
    <row r="10" spans="1:16" x14ac:dyDescent="0.35">
      <c r="A10" s="122" t="s">
        <v>131</v>
      </c>
      <c r="B10" s="123" t="s">
        <v>132</v>
      </c>
      <c r="C10" s="124">
        <v>0.66</v>
      </c>
      <c r="D10" s="124" t="s">
        <v>111</v>
      </c>
      <c r="E10" s="124">
        <v>1.56</v>
      </c>
      <c r="F10" s="125" t="s">
        <v>112</v>
      </c>
      <c r="G10" s="126">
        <v>0.43</v>
      </c>
      <c r="H10" s="124" t="s">
        <v>113</v>
      </c>
      <c r="I10" s="127">
        <v>0.25</v>
      </c>
      <c r="J10" s="78"/>
      <c r="K10" s="78"/>
      <c r="L10" s="78"/>
      <c r="M10" s="78"/>
      <c r="N10" s="78"/>
      <c r="O10" s="289" t="s">
        <v>133</v>
      </c>
      <c r="P10" s="121">
        <v>0</v>
      </c>
    </row>
    <row r="11" spans="1:16" ht="15" thickBot="1" x14ac:dyDescent="0.4">
      <c r="A11" s="122" t="s">
        <v>134</v>
      </c>
      <c r="B11" s="123" t="s">
        <v>135</v>
      </c>
      <c r="C11" s="124">
        <v>0.47</v>
      </c>
      <c r="D11" s="124" t="s">
        <v>111</v>
      </c>
      <c r="E11" s="124">
        <v>1.56</v>
      </c>
      <c r="F11" s="125" t="s">
        <v>112</v>
      </c>
      <c r="G11" s="126">
        <v>0.43</v>
      </c>
      <c r="H11" s="124" t="s">
        <v>113</v>
      </c>
      <c r="I11" s="127">
        <v>0.25</v>
      </c>
      <c r="J11" s="78"/>
      <c r="K11" s="78"/>
      <c r="L11" s="78"/>
      <c r="M11" s="78"/>
      <c r="N11" s="78"/>
      <c r="O11" s="290"/>
      <c r="P11" s="128">
        <v>0.1</v>
      </c>
    </row>
    <row r="12" spans="1:16" x14ac:dyDescent="0.35">
      <c r="A12" s="122" t="s">
        <v>136</v>
      </c>
      <c r="B12" s="123" t="s">
        <v>137</v>
      </c>
      <c r="C12" s="124">
        <v>0.67</v>
      </c>
      <c r="D12" s="124" t="s">
        <v>111</v>
      </c>
      <c r="E12" s="124">
        <v>1.56</v>
      </c>
      <c r="F12" s="125" t="s">
        <v>112</v>
      </c>
      <c r="G12" s="126">
        <v>0.43</v>
      </c>
      <c r="H12" s="124" t="s">
        <v>138</v>
      </c>
      <c r="I12" s="127">
        <v>0.25</v>
      </c>
      <c r="J12" s="78"/>
      <c r="K12" s="78"/>
      <c r="L12" s="78"/>
      <c r="M12" s="78"/>
      <c r="N12" s="78"/>
    </row>
    <row r="13" spans="1:16" x14ac:dyDescent="0.35">
      <c r="A13" s="122" t="s">
        <v>139</v>
      </c>
      <c r="B13" s="123" t="s">
        <v>140</v>
      </c>
      <c r="C13" s="124">
        <v>0.7</v>
      </c>
      <c r="D13" s="124" t="s">
        <v>111</v>
      </c>
      <c r="E13" s="124">
        <v>1.56</v>
      </c>
      <c r="F13" s="125" t="s">
        <v>112</v>
      </c>
      <c r="G13" s="126">
        <v>0.43</v>
      </c>
      <c r="H13" s="124" t="s">
        <v>138</v>
      </c>
      <c r="I13" s="127">
        <v>0.25</v>
      </c>
      <c r="J13" s="78"/>
      <c r="K13" s="78"/>
      <c r="L13" s="78"/>
      <c r="M13" s="78"/>
      <c r="N13" s="78"/>
    </row>
    <row r="14" spans="1:16" x14ac:dyDescent="0.35">
      <c r="A14" s="122" t="s">
        <v>141</v>
      </c>
      <c r="B14" s="123" t="s">
        <v>142</v>
      </c>
      <c r="C14" s="124">
        <v>0.54</v>
      </c>
      <c r="D14" s="124" t="s">
        <v>111</v>
      </c>
      <c r="E14" s="124">
        <v>1.56</v>
      </c>
      <c r="F14" s="125" t="s">
        <v>112</v>
      </c>
      <c r="G14" s="126">
        <v>0.43</v>
      </c>
      <c r="H14" s="124" t="s">
        <v>138</v>
      </c>
      <c r="I14" s="127">
        <v>0.25</v>
      </c>
      <c r="J14" s="78"/>
      <c r="K14" s="78"/>
      <c r="L14" s="78"/>
      <c r="M14" s="78"/>
      <c r="N14" s="78"/>
    </row>
    <row r="15" spans="1:16" x14ac:dyDescent="0.35">
      <c r="A15" s="122" t="s">
        <v>21</v>
      </c>
      <c r="B15" s="123" t="s">
        <v>143</v>
      </c>
      <c r="C15" s="124">
        <v>0.65</v>
      </c>
      <c r="D15" s="124" t="s">
        <v>111</v>
      </c>
      <c r="E15" s="124">
        <v>1.56</v>
      </c>
      <c r="F15" s="125" t="s">
        <v>112</v>
      </c>
      <c r="G15" s="126">
        <v>0.43</v>
      </c>
      <c r="H15" s="124" t="s">
        <v>138</v>
      </c>
      <c r="I15" s="127">
        <v>0.25</v>
      </c>
      <c r="J15" s="78"/>
      <c r="K15" s="78"/>
      <c r="L15" s="78"/>
      <c r="M15" s="78"/>
      <c r="N15" s="78"/>
    </row>
    <row r="16" spans="1:16" x14ac:dyDescent="0.35">
      <c r="A16" s="122" t="s">
        <v>144</v>
      </c>
      <c r="B16" s="123" t="s">
        <v>145</v>
      </c>
      <c r="C16" s="124">
        <v>0.56000000000000005</v>
      </c>
      <c r="D16" s="124" t="s">
        <v>111</v>
      </c>
      <c r="E16" s="124">
        <v>1.56</v>
      </c>
      <c r="F16" s="125" t="s">
        <v>112</v>
      </c>
      <c r="G16" s="126">
        <v>0.43</v>
      </c>
      <c r="H16" s="124" t="s">
        <v>138</v>
      </c>
      <c r="I16" s="127">
        <v>0.25</v>
      </c>
      <c r="J16" s="78"/>
      <c r="K16" s="78"/>
      <c r="L16" s="78"/>
      <c r="M16" s="78"/>
      <c r="N16" s="78"/>
    </row>
    <row r="17" spans="1:14" x14ac:dyDescent="0.35">
      <c r="A17" s="122" t="s">
        <v>146</v>
      </c>
      <c r="B17" s="123" t="s">
        <v>147</v>
      </c>
      <c r="C17" s="124">
        <v>0.57999999999999996</v>
      </c>
      <c r="D17" s="124" t="s">
        <v>111</v>
      </c>
      <c r="E17" s="124">
        <v>1.56</v>
      </c>
      <c r="F17" s="125" t="s">
        <v>112</v>
      </c>
      <c r="G17" s="126">
        <v>0.43</v>
      </c>
      <c r="H17" s="124" t="s">
        <v>138</v>
      </c>
      <c r="I17" s="127">
        <v>0.25</v>
      </c>
      <c r="J17" s="78"/>
      <c r="K17" s="78"/>
      <c r="L17" s="78"/>
      <c r="M17" s="78"/>
      <c r="N17" s="78"/>
    </row>
    <row r="18" spans="1:14" x14ac:dyDescent="0.35">
      <c r="A18" s="122" t="s">
        <v>148</v>
      </c>
      <c r="B18" s="123" t="s">
        <v>149</v>
      </c>
      <c r="C18" s="124">
        <v>0.64</v>
      </c>
      <c r="D18" s="124" t="s">
        <v>111</v>
      </c>
      <c r="E18" s="124">
        <v>1.56</v>
      </c>
      <c r="F18" s="125" t="s">
        <v>112</v>
      </c>
      <c r="G18" s="126">
        <v>0.43</v>
      </c>
      <c r="H18" s="124" t="s">
        <v>138</v>
      </c>
      <c r="I18" s="127">
        <v>0.25</v>
      </c>
      <c r="J18" s="78"/>
      <c r="K18" s="78"/>
      <c r="L18" s="78"/>
      <c r="M18" s="78"/>
      <c r="N18" s="78"/>
    </row>
    <row r="19" spans="1:14" x14ac:dyDescent="0.35">
      <c r="A19" s="122" t="s">
        <v>150</v>
      </c>
      <c r="B19" s="123" t="s">
        <v>151</v>
      </c>
      <c r="C19" s="124">
        <v>0.73</v>
      </c>
      <c r="D19" s="124" t="s">
        <v>111</v>
      </c>
      <c r="E19" s="124">
        <v>1.56</v>
      </c>
      <c r="F19" s="125" t="s">
        <v>112</v>
      </c>
      <c r="G19" s="126">
        <v>0.43</v>
      </c>
      <c r="H19" s="124" t="s">
        <v>138</v>
      </c>
      <c r="I19" s="127">
        <v>0.25</v>
      </c>
      <c r="J19" s="78"/>
      <c r="K19" s="78"/>
      <c r="L19" s="78"/>
      <c r="M19" s="78"/>
      <c r="N19" s="78"/>
    </row>
    <row r="20" spans="1:14" x14ac:dyDescent="0.35">
      <c r="A20" s="122" t="s">
        <v>152</v>
      </c>
      <c r="B20" s="123" t="s">
        <v>153</v>
      </c>
      <c r="C20" s="124">
        <v>0.69</v>
      </c>
      <c r="D20" s="124" t="s">
        <v>154</v>
      </c>
      <c r="E20" s="124">
        <v>1.56</v>
      </c>
      <c r="F20" s="125" t="s">
        <v>112</v>
      </c>
      <c r="G20" s="126">
        <v>0.43</v>
      </c>
      <c r="H20" s="124" t="s">
        <v>155</v>
      </c>
      <c r="I20" s="127">
        <v>0.25</v>
      </c>
      <c r="J20" s="78"/>
      <c r="K20" s="78"/>
      <c r="L20" s="78"/>
      <c r="M20" s="78"/>
      <c r="N20" s="78"/>
    </row>
    <row r="21" spans="1:14" x14ac:dyDescent="0.35">
      <c r="A21" s="122" t="s">
        <v>156</v>
      </c>
      <c r="B21" s="123" t="s">
        <v>157</v>
      </c>
      <c r="C21" s="124">
        <v>0.36</v>
      </c>
      <c r="D21" s="124" t="s">
        <v>111</v>
      </c>
      <c r="E21" s="124">
        <v>1.3</v>
      </c>
      <c r="F21" s="125" t="s">
        <v>112</v>
      </c>
      <c r="G21" s="126">
        <v>0.55000000000000004</v>
      </c>
      <c r="H21" s="124" t="s">
        <v>128</v>
      </c>
      <c r="I21" s="127">
        <v>0.43</v>
      </c>
      <c r="J21" s="78"/>
      <c r="K21" s="78"/>
      <c r="L21" s="78"/>
      <c r="M21" s="78"/>
      <c r="N21" s="78"/>
    </row>
    <row r="22" spans="1:14" x14ac:dyDescent="0.35">
      <c r="A22" s="122" t="s">
        <v>158</v>
      </c>
      <c r="B22" s="123" t="s">
        <v>159</v>
      </c>
      <c r="C22" s="124">
        <v>0.4</v>
      </c>
      <c r="D22" s="124" t="s">
        <v>111</v>
      </c>
      <c r="E22" s="124">
        <v>1.3</v>
      </c>
      <c r="F22" s="125" t="s">
        <v>112</v>
      </c>
      <c r="G22" s="126">
        <v>0.55000000000000004</v>
      </c>
      <c r="H22" s="124" t="s">
        <v>128</v>
      </c>
      <c r="I22" s="127">
        <v>0.43</v>
      </c>
      <c r="J22" s="78"/>
      <c r="K22" s="78"/>
      <c r="L22" s="78"/>
      <c r="M22" s="78"/>
      <c r="N22" s="78"/>
    </row>
    <row r="23" spans="1:14" x14ac:dyDescent="0.35">
      <c r="A23" s="122" t="s">
        <v>16</v>
      </c>
      <c r="B23" s="123" t="s">
        <v>160</v>
      </c>
      <c r="C23" s="124">
        <v>0.43</v>
      </c>
      <c r="D23" s="124" t="s">
        <v>111</v>
      </c>
      <c r="E23" s="124">
        <v>1.3</v>
      </c>
      <c r="F23" s="125" t="s">
        <v>112</v>
      </c>
      <c r="G23" s="126">
        <v>0.55000000000000004</v>
      </c>
      <c r="H23" s="124" t="s">
        <v>128</v>
      </c>
      <c r="I23" s="127">
        <v>0.43</v>
      </c>
      <c r="J23" s="78"/>
      <c r="K23" s="78"/>
      <c r="L23" s="78"/>
      <c r="M23" s="78"/>
      <c r="N23" s="78"/>
    </row>
    <row r="24" spans="1:14" x14ac:dyDescent="0.35">
      <c r="A24" s="122" t="s">
        <v>161</v>
      </c>
      <c r="B24" s="123" t="s">
        <v>162</v>
      </c>
      <c r="C24" s="124">
        <v>0.37</v>
      </c>
      <c r="D24" s="124" t="s">
        <v>111</v>
      </c>
      <c r="E24" s="124">
        <v>1.3</v>
      </c>
      <c r="F24" s="125" t="s">
        <v>112</v>
      </c>
      <c r="G24" s="126">
        <v>0.55000000000000004</v>
      </c>
      <c r="H24" s="124" t="s">
        <v>138</v>
      </c>
      <c r="I24" s="127">
        <v>0.43</v>
      </c>
      <c r="J24" s="78"/>
      <c r="K24" s="78"/>
      <c r="L24" s="78"/>
      <c r="M24" s="78"/>
      <c r="N24" s="78"/>
    </row>
    <row r="25" spans="1:14" x14ac:dyDescent="0.35">
      <c r="A25" s="122" t="s">
        <v>71</v>
      </c>
      <c r="B25" s="123" t="s">
        <v>163</v>
      </c>
      <c r="C25" s="124">
        <v>0.36</v>
      </c>
      <c r="D25" s="124" t="s">
        <v>111</v>
      </c>
      <c r="E25" s="124">
        <v>1.3</v>
      </c>
      <c r="F25" s="125" t="s">
        <v>112</v>
      </c>
      <c r="G25" s="126">
        <v>0.55000000000000004</v>
      </c>
      <c r="H25" s="124" t="s">
        <v>138</v>
      </c>
      <c r="I25" s="127">
        <v>0.43</v>
      </c>
      <c r="J25" s="78"/>
      <c r="K25" s="78"/>
      <c r="L25" s="78"/>
      <c r="M25" s="78"/>
      <c r="N25" s="78"/>
    </row>
    <row r="26" spans="1:14" x14ac:dyDescent="0.35">
      <c r="A26" s="122" t="s">
        <v>164</v>
      </c>
      <c r="B26" s="123" t="s">
        <v>165</v>
      </c>
      <c r="C26" s="124">
        <v>0.56000000000000005</v>
      </c>
      <c r="D26" s="124" t="s">
        <v>111</v>
      </c>
      <c r="E26" s="124">
        <v>1.56</v>
      </c>
      <c r="F26" s="125" t="s">
        <v>112</v>
      </c>
      <c r="G26" s="126">
        <v>0.53</v>
      </c>
      <c r="H26" s="124" t="s">
        <v>166</v>
      </c>
      <c r="I26" s="127">
        <v>0.25</v>
      </c>
      <c r="J26" s="78"/>
      <c r="K26" s="78"/>
      <c r="L26" s="78"/>
      <c r="M26" s="78"/>
      <c r="N26" s="78"/>
    </row>
    <row r="27" spans="1:14" x14ac:dyDescent="0.35">
      <c r="A27" s="122" t="s">
        <v>167</v>
      </c>
      <c r="B27" s="123" t="s">
        <v>168</v>
      </c>
      <c r="C27" s="124">
        <v>0.51</v>
      </c>
      <c r="D27" s="124" t="s">
        <v>111</v>
      </c>
      <c r="E27" s="124">
        <v>1.56</v>
      </c>
      <c r="F27" s="125" t="s">
        <v>112</v>
      </c>
      <c r="G27" s="126">
        <v>0.53</v>
      </c>
      <c r="H27" s="124" t="s">
        <v>166</v>
      </c>
      <c r="I27" s="127">
        <v>0.25</v>
      </c>
      <c r="J27" s="78"/>
      <c r="K27" s="78"/>
      <c r="L27" s="78"/>
      <c r="M27" s="78"/>
      <c r="N27" s="78"/>
    </row>
    <row r="28" spans="1:14" x14ac:dyDescent="0.35">
      <c r="A28" s="122" t="s">
        <v>169</v>
      </c>
      <c r="B28" s="123" t="s">
        <v>170</v>
      </c>
      <c r="C28" s="124">
        <v>0.51</v>
      </c>
      <c r="D28" s="124" t="s">
        <v>111</v>
      </c>
      <c r="E28" s="124">
        <v>1.56</v>
      </c>
      <c r="F28" s="125" t="s">
        <v>112</v>
      </c>
      <c r="G28" s="126">
        <v>0.53</v>
      </c>
      <c r="H28" s="124" t="s">
        <v>166</v>
      </c>
      <c r="I28" s="127">
        <v>0.25</v>
      </c>
      <c r="J28" s="78"/>
      <c r="K28" s="78"/>
      <c r="L28" s="78"/>
      <c r="M28" s="78"/>
      <c r="N28" s="78"/>
    </row>
    <row r="29" spans="1:14" x14ac:dyDescent="0.35">
      <c r="A29" s="122" t="s">
        <v>171</v>
      </c>
      <c r="B29" s="123" t="s">
        <v>171</v>
      </c>
      <c r="C29" s="124">
        <v>0.56000000000000005</v>
      </c>
      <c r="D29" s="124" t="s">
        <v>111</v>
      </c>
      <c r="E29" s="124">
        <v>1.56</v>
      </c>
      <c r="F29" s="125" t="s">
        <v>112</v>
      </c>
      <c r="G29" s="126">
        <v>0.53</v>
      </c>
      <c r="H29" s="124" t="s">
        <v>166</v>
      </c>
      <c r="I29" s="127">
        <v>0.25</v>
      </c>
      <c r="J29" s="78"/>
      <c r="K29" s="78"/>
      <c r="L29" s="78"/>
      <c r="M29" s="78"/>
      <c r="N29" s="78"/>
    </row>
    <row r="30" spans="1:14" x14ac:dyDescent="0.35">
      <c r="A30" s="122" t="s">
        <v>172</v>
      </c>
      <c r="B30" s="123" t="s">
        <v>173</v>
      </c>
      <c r="C30" s="124">
        <v>0.55000000000000004</v>
      </c>
      <c r="D30" s="124" t="s">
        <v>111</v>
      </c>
      <c r="E30" s="124">
        <v>1.56</v>
      </c>
      <c r="F30" s="125" t="s">
        <v>112</v>
      </c>
      <c r="G30" s="126">
        <v>0.53</v>
      </c>
      <c r="H30" s="124" t="s">
        <v>138</v>
      </c>
      <c r="I30" s="127">
        <v>0.25</v>
      </c>
      <c r="J30" s="78"/>
      <c r="K30" s="78"/>
      <c r="L30" s="78"/>
      <c r="M30" s="78"/>
      <c r="N30" s="78"/>
    </row>
    <row r="31" spans="1:14" x14ac:dyDescent="0.35">
      <c r="A31" s="122" t="s">
        <v>174</v>
      </c>
      <c r="B31" s="123" t="s">
        <v>175</v>
      </c>
      <c r="C31" s="124">
        <v>0.56000000000000005</v>
      </c>
      <c r="D31" s="124" t="s">
        <v>111</v>
      </c>
      <c r="E31" s="124">
        <v>1.56</v>
      </c>
      <c r="F31" s="125" t="s">
        <v>112</v>
      </c>
      <c r="G31" s="126">
        <v>0.43</v>
      </c>
      <c r="H31" s="124" t="s">
        <v>113</v>
      </c>
      <c r="I31" s="127">
        <v>0.25</v>
      </c>
      <c r="J31" s="78"/>
      <c r="K31" s="78"/>
      <c r="L31" s="78"/>
      <c r="M31" s="78"/>
      <c r="N31" s="78"/>
    </row>
    <row r="32" spans="1:14" x14ac:dyDescent="0.35">
      <c r="A32" s="122" t="s">
        <v>19</v>
      </c>
      <c r="B32" s="123" t="s">
        <v>176</v>
      </c>
      <c r="C32" s="124">
        <v>0.48</v>
      </c>
      <c r="D32" s="124" t="s">
        <v>111</v>
      </c>
      <c r="E32" s="124">
        <v>1.3</v>
      </c>
      <c r="F32" s="125" t="s">
        <v>112</v>
      </c>
      <c r="G32" s="126">
        <v>0.6</v>
      </c>
      <c r="H32" s="124" t="s">
        <v>177</v>
      </c>
      <c r="I32" s="127">
        <v>0.43</v>
      </c>
      <c r="J32" s="78"/>
      <c r="K32" s="78"/>
      <c r="L32" s="78"/>
      <c r="M32" s="78"/>
      <c r="N32" s="78"/>
    </row>
    <row r="33" spans="1:14" x14ac:dyDescent="0.35">
      <c r="A33" s="122" t="s">
        <v>178</v>
      </c>
      <c r="B33" s="123" t="s">
        <v>179</v>
      </c>
      <c r="C33" s="124">
        <v>0.42</v>
      </c>
      <c r="D33" s="124" t="s">
        <v>111</v>
      </c>
      <c r="E33" s="124">
        <v>1.3</v>
      </c>
      <c r="F33" s="125" t="s">
        <v>112</v>
      </c>
      <c r="G33" s="126">
        <v>0.6</v>
      </c>
      <c r="H33" s="124" t="s">
        <v>177</v>
      </c>
      <c r="I33" s="127">
        <v>0.43</v>
      </c>
      <c r="J33" s="78"/>
      <c r="K33" s="78"/>
      <c r="L33" s="78"/>
      <c r="M33" s="78"/>
      <c r="N33" s="78"/>
    </row>
    <row r="34" spans="1:14" x14ac:dyDescent="0.35">
      <c r="A34" s="122" t="s">
        <v>180</v>
      </c>
      <c r="B34" s="123" t="s">
        <v>181</v>
      </c>
      <c r="C34" s="124">
        <v>0.42</v>
      </c>
      <c r="D34" s="124" t="s">
        <v>182</v>
      </c>
      <c r="E34" s="124">
        <v>1.3</v>
      </c>
      <c r="F34" s="125" t="s">
        <v>112</v>
      </c>
      <c r="G34" s="126">
        <v>0.6</v>
      </c>
      <c r="H34" s="123" t="s">
        <v>183</v>
      </c>
      <c r="I34" s="127">
        <v>0.43</v>
      </c>
      <c r="J34" s="78"/>
      <c r="K34" s="78"/>
      <c r="L34" s="78"/>
      <c r="M34" s="78"/>
      <c r="N34" s="78"/>
    </row>
    <row r="35" spans="1:14" x14ac:dyDescent="0.35">
      <c r="A35" s="122" t="s">
        <v>184</v>
      </c>
      <c r="B35" s="123" t="s">
        <v>185</v>
      </c>
      <c r="C35" s="124">
        <v>0.5</v>
      </c>
      <c r="D35" s="124" t="s">
        <v>111</v>
      </c>
      <c r="E35" s="124">
        <v>1.56</v>
      </c>
      <c r="F35" s="125" t="s">
        <v>112</v>
      </c>
      <c r="G35" s="126">
        <v>0.43</v>
      </c>
      <c r="H35" s="124" t="s">
        <v>113</v>
      </c>
      <c r="I35" s="127">
        <v>0.25</v>
      </c>
      <c r="J35" s="78"/>
      <c r="K35" s="78"/>
      <c r="L35" s="78"/>
      <c r="M35" s="78"/>
      <c r="N35" s="78"/>
    </row>
    <row r="36" spans="1:14" x14ac:dyDescent="0.35">
      <c r="A36" s="122" t="s">
        <v>186</v>
      </c>
      <c r="B36" s="123" t="s">
        <v>187</v>
      </c>
      <c r="C36" s="124">
        <v>0.55000000000000004</v>
      </c>
      <c r="D36" s="124" t="s">
        <v>111</v>
      </c>
      <c r="E36" s="124">
        <v>1.56</v>
      </c>
      <c r="F36" s="125" t="s">
        <v>112</v>
      </c>
      <c r="G36" s="126">
        <v>0.53</v>
      </c>
      <c r="H36" s="124" t="s">
        <v>166</v>
      </c>
      <c r="I36" s="127">
        <v>0.25</v>
      </c>
      <c r="J36" s="78"/>
      <c r="K36" s="78"/>
      <c r="L36" s="78"/>
      <c r="M36" s="78"/>
      <c r="N36" s="78"/>
    </row>
    <row r="37" spans="1:14" x14ac:dyDescent="0.35">
      <c r="A37" s="122" t="s">
        <v>188</v>
      </c>
      <c r="B37" s="123" t="s">
        <v>189</v>
      </c>
      <c r="C37" s="124">
        <v>0.52</v>
      </c>
      <c r="D37" s="124" t="s">
        <v>111</v>
      </c>
      <c r="E37" s="124">
        <v>1.56</v>
      </c>
      <c r="F37" s="125" t="s">
        <v>112</v>
      </c>
      <c r="G37" s="126">
        <v>0.53</v>
      </c>
      <c r="H37" s="124" t="s">
        <v>166</v>
      </c>
      <c r="I37" s="127">
        <v>0.25</v>
      </c>
      <c r="J37" s="78"/>
      <c r="K37" s="78"/>
      <c r="L37" s="78"/>
      <c r="M37" s="78"/>
      <c r="N37" s="78"/>
    </row>
    <row r="38" spans="1:14" x14ac:dyDescent="0.35">
      <c r="A38" s="122" t="s">
        <v>190</v>
      </c>
      <c r="B38" s="123" t="s">
        <v>191</v>
      </c>
      <c r="C38" s="124">
        <v>0.52</v>
      </c>
      <c r="D38" s="124" t="s">
        <v>111</v>
      </c>
      <c r="E38" s="124">
        <v>1.56</v>
      </c>
      <c r="F38" s="125" t="s">
        <v>112</v>
      </c>
      <c r="G38" s="126">
        <v>0.43</v>
      </c>
      <c r="H38" s="124" t="s">
        <v>113</v>
      </c>
      <c r="I38" s="127">
        <v>0.25</v>
      </c>
      <c r="J38" s="78"/>
      <c r="K38" s="78"/>
      <c r="L38" s="78"/>
      <c r="M38" s="78"/>
      <c r="N38" s="78"/>
    </row>
    <row r="39" spans="1:14" x14ac:dyDescent="0.35">
      <c r="A39" s="122" t="s">
        <v>192</v>
      </c>
      <c r="B39" s="123" t="s">
        <v>193</v>
      </c>
      <c r="C39" s="124">
        <v>0.313</v>
      </c>
      <c r="D39" s="124" t="s">
        <v>194</v>
      </c>
      <c r="E39" s="124">
        <v>1.56</v>
      </c>
      <c r="F39" s="125" t="s">
        <v>112</v>
      </c>
      <c r="G39" s="126">
        <v>0.6</v>
      </c>
      <c r="H39" s="124" t="s">
        <v>195</v>
      </c>
      <c r="I39" s="127">
        <v>1.03</v>
      </c>
      <c r="J39" s="78"/>
      <c r="K39" s="78"/>
      <c r="L39" s="78"/>
      <c r="M39" s="78"/>
      <c r="N39" s="78"/>
    </row>
    <row r="40" spans="1:14" x14ac:dyDescent="0.35">
      <c r="A40" s="122" t="s">
        <v>196</v>
      </c>
      <c r="B40" s="123" t="s">
        <v>193</v>
      </c>
      <c r="C40" s="124">
        <v>0.35199999999999998</v>
      </c>
      <c r="D40" s="124" t="s">
        <v>194</v>
      </c>
      <c r="E40" s="124">
        <v>1.56</v>
      </c>
      <c r="F40" s="125" t="s">
        <v>112</v>
      </c>
      <c r="G40" s="126">
        <v>0.6</v>
      </c>
      <c r="H40" s="124" t="s">
        <v>195</v>
      </c>
      <c r="I40" s="127">
        <v>1.03</v>
      </c>
      <c r="J40" s="78"/>
      <c r="K40" s="78"/>
      <c r="L40" s="78"/>
      <c r="M40" s="78"/>
      <c r="N40" s="78"/>
    </row>
    <row r="41" spans="1:14" x14ac:dyDescent="0.35">
      <c r="A41" s="122" t="s">
        <v>197</v>
      </c>
      <c r="B41" s="123" t="s">
        <v>193</v>
      </c>
      <c r="C41" s="124">
        <v>0.32200000000000001</v>
      </c>
      <c r="D41" s="124" t="s">
        <v>194</v>
      </c>
      <c r="E41" s="124">
        <v>1.56</v>
      </c>
      <c r="F41" s="125" t="s">
        <v>112</v>
      </c>
      <c r="G41" s="126">
        <v>0.6</v>
      </c>
      <c r="H41" s="124" t="s">
        <v>195</v>
      </c>
      <c r="I41" s="127">
        <v>1.03</v>
      </c>
      <c r="J41" s="78"/>
      <c r="K41" s="78"/>
      <c r="L41" s="78"/>
      <c r="M41" s="78"/>
      <c r="N41" s="78"/>
    </row>
    <row r="42" spans="1:14" x14ac:dyDescent="0.35">
      <c r="A42" s="122" t="s">
        <v>198</v>
      </c>
      <c r="B42" s="123" t="s">
        <v>193</v>
      </c>
      <c r="C42" s="124">
        <v>0.311</v>
      </c>
      <c r="D42" s="124" t="s">
        <v>194</v>
      </c>
      <c r="E42" s="124">
        <v>1.56</v>
      </c>
      <c r="F42" s="125" t="s">
        <v>112</v>
      </c>
      <c r="G42" s="126">
        <v>0.6</v>
      </c>
      <c r="H42" s="124" t="s">
        <v>195</v>
      </c>
      <c r="I42" s="127">
        <v>1.03</v>
      </c>
      <c r="J42" s="78"/>
      <c r="K42" s="78"/>
      <c r="L42" s="78"/>
      <c r="M42" s="78"/>
      <c r="N42" s="78"/>
    </row>
    <row r="43" spans="1:14" x14ac:dyDescent="0.35">
      <c r="A43" s="122" t="s">
        <v>199</v>
      </c>
      <c r="B43" s="123" t="s">
        <v>193</v>
      </c>
      <c r="C43" s="124">
        <v>0.33900000000000002</v>
      </c>
      <c r="D43" s="124" t="s">
        <v>194</v>
      </c>
      <c r="E43" s="124">
        <v>1.56</v>
      </c>
      <c r="F43" s="125" t="s">
        <v>112</v>
      </c>
      <c r="G43" s="126">
        <v>0.6</v>
      </c>
      <c r="H43" s="124" t="s">
        <v>195</v>
      </c>
      <c r="I43" s="127">
        <v>1.03</v>
      </c>
      <c r="J43" s="78"/>
      <c r="K43" s="78"/>
      <c r="L43" s="78"/>
      <c r="M43" s="78"/>
      <c r="N43" s="78"/>
    </row>
    <row r="44" spans="1:14" x14ac:dyDescent="0.35">
      <c r="A44" s="122" t="s">
        <v>200</v>
      </c>
      <c r="B44" s="123" t="s">
        <v>193</v>
      </c>
      <c r="C44" s="124">
        <v>0.33600000000000002</v>
      </c>
      <c r="D44" s="124" t="s">
        <v>194</v>
      </c>
      <c r="E44" s="124">
        <v>1.56</v>
      </c>
      <c r="F44" s="125" t="s">
        <v>112</v>
      </c>
      <c r="G44" s="126">
        <v>0.6</v>
      </c>
      <c r="H44" s="124" t="s">
        <v>195</v>
      </c>
      <c r="I44" s="127">
        <v>1.03</v>
      </c>
      <c r="J44" s="78"/>
      <c r="K44" s="78"/>
      <c r="L44" s="78"/>
      <c r="M44" s="78"/>
      <c r="N44" s="78"/>
    </row>
    <row r="45" spans="1:14" x14ac:dyDescent="0.35">
      <c r="A45" s="122" t="s">
        <v>201</v>
      </c>
      <c r="B45" s="123" t="s">
        <v>193</v>
      </c>
      <c r="C45" s="124">
        <v>0.32900000000000001</v>
      </c>
      <c r="D45" s="124" t="s">
        <v>194</v>
      </c>
      <c r="E45" s="124">
        <v>1.56</v>
      </c>
      <c r="F45" s="125" t="s">
        <v>112</v>
      </c>
      <c r="G45" s="126">
        <v>0.6</v>
      </c>
      <c r="H45" s="124" t="s">
        <v>195</v>
      </c>
      <c r="I45" s="127">
        <v>1.03</v>
      </c>
      <c r="J45" s="78"/>
      <c r="K45" s="78"/>
      <c r="L45" s="78"/>
      <c r="M45" s="78"/>
      <c r="N45" s="78"/>
    </row>
    <row r="46" spans="1:14" x14ac:dyDescent="0.35">
      <c r="A46" s="122" t="s">
        <v>202</v>
      </c>
      <c r="B46" s="123" t="s">
        <v>193</v>
      </c>
      <c r="C46" s="124">
        <v>0.34300000000000003</v>
      </c>
      <c r="D46" s="124" t="s">
        <v>194</v>
      </c>
      <c r="E46" s="124">
        <v>1.56</v>
      </c>
      <c r="F46" s="125" t="s">
        <v>112</v>
      </c>
      <c r="G46" s="126">
        <v>0.6</v>
      </c>
      <c r="H46" s="124" t="s">
        <v>195</v>
      </c>
      <c r="I46" s="127">
        <v>1.03</v>
      </c>
      <c r="J46" s="78"/>
      <c r="K46" s="78"/>
      <c r="L46" s="78"/>
      <c r="M46" s="78"/>
      <c r="N46" s="78"/>
    </row>
    <row r="47" spans="1:14" x14ac:dyDescent="0.35">
      <c r="A47" s="122" t="s">
        <v>203</v>
      </c>
      <c r="B47" s="123" t="s">
        <v>193</v>
      </c>
      <c r="C47" s="124">
        <v>0.32500000000000001</v>
      </c>
      <c r="D47" s="124" t="s">
        <v>194</v>
      </c>
      <c r="E47" s="124">
        <v>1.56</v>
      </c>
      <c r="F47" s="125" t="s">
        <v>112</v>
      </c>
      <c r="G47" s="126">
        <v>0.6</v>
      </c>
      <c r="H47" s="124" t="s">
        <v>195</v>
      </c>
      <c r="I47" s="127">
        <v>1.03</v>
      </c>
      <c r="J47" s="78"/>
      <c r="K47" s="78"/>
      <c r="L47" s="78"/>
      <c r="M47" s="78"/>
      <c r="N47" s="78"/>
    </row>
    <row r="48" spans="1:14" x14ac:dyDescent="0.35">
      <c r="A48" s="122" t="s">
        <v>204</v>
      </c>
      <c r="B48" s="123" t="s">
        <v>193</v>
      </c>
      <c r="C48" s="124">
        <v>0.32</v>
      </c>
      <c r="D48" s="124" t="s">
        <v>194</v>
      </c>
      <c r="E48" s="124">
        <v>1.56</v>
      </c>
      <c r="F48" s="125" t="s">
        <v>112</v>
      </c>
      <c r="G48" s="126">
        <v>0.6</v>
      </c>
      <c r="H48" s="124" t="s">
        <v>195</v>
      </c>
      <c r="I48" s="127">
        <v>1.03</v>
      </c>
      <c r="J48" s="78"/>
      <c r="K48" s="78"/>
      <c r="L48" s="78"/>
      <c r="M48" s="78"/>
      <c r="N48" s="78"/>
    </row>
    <row r="49" spans="1:14" x14ac:dyDescent="0.35">
      <c r="A49" s="122" t="s">
        <v>205</v>
      </c>
      <c r="B49" s="123" t="s">
        <v>193</v>
      </c>
      <c r="C49" s="124">
        <v>0.28199999999999997</v>
      </c>
      <c r="D49" s="124" t="s">
        <v>194</v>
      </c>
      <c r="E49" s="124">
        <v>1.56</v>
      </c>
      <c r="F49" s="125" t="s">
        <v>112</v>
      </c>
      <c r="G49" s="126">
        <v>0.6</v>
      </c>
      <c r="H49" s="124" t="s">
        <v>195</v>
      </c>
      <c r="I49" s="127">
        <v>1.03</v>
      </c>
      <c r="J49" s="78"/>
      <c r="K49" s="78"/>
      <c r="L49" s="78"/>
      <c r="M49" s="78"/>
      <c r="N49" s="78"/>
    </row>
    <row r="50" spans="1:14" x14ac:dyDescent="0.35">
      <c r="A50" s="122" t="s">
        <v>206</v>
      </c>
      <c r="B50" s="123" t="s">
        <v>193</v>
      </c>
      <c r="C50" s="124">
        <v>0.32800000000000001</v>
      </c>
      <c r="D50" s="124" t="s">
        <v>194</v>
      </c>
      <c r="E50" s="124">
        <v>1.56</v>
      </c>
      <c r="F50" s="125" t="s">
        <v>112</v>
      </c>
      <c r="G50" s="126">
        <v>0.6</v>
      </c>
      <c r="H50" s="124" t="s">
        <v>195</v>
      </c>
      <c r="I50" s="127">
        <v>1.03</v>
      </c>
      <c r="J50" s="78"/>
      <c r="K50" s="78"/>
      <c r="L50" s="78"/>
      <c r="M50" s="78"/>
      <c r="N50" s="78"/>
    </row>
    <row r="51" spans="1:14" x14ac:dyDescent="0.35">
      <c r="A51" s="122" t="s">
        <v>207</v>
      </c>
      <c r="B51" s="123" t="s">
        <v>193</v>
      </c>
      <c r="C51" s="124">
        <v>0.32600000000000001</v>
      </c>
      <c r="D51" s="124" t="s">
        <v>194</v>
      </c>
      <c r="E51" s="124">
        <v>1.56</v>
      </c>
      <c r="F51" s="125" t="s">
        <v>112</v>
      </c>
      <c r="G51" s="126">
        <v>0.6</v>
      </c>
      <c r="H51" s="124" t="s">
        <v>195</v>
      </c>
      <c r="I51" s="127">
        <v>1.03</v>
      </c>
      <c r="J51" s="78"/>
      <c r="K51" s="78"/>
      <c r="L51" s="78"/>
      <c r="M51" s="78"/>
      <c r="N51" s="78"/>
    </row>
    <row r="52" spans="1:14" x14ac:dyDescent="0.35">
      <c r="A52" s="122" t="s">
        <v>208</v>
      </c>
      <c r="B52" s="123" t="s">
        <v>193</v>
      </c>
      <c r="C52" s="124">
        <v>0.35899999999999999</v>
      </c>
      <c r="D52" s="124" t="s">
        <v>194</v>
      </c>
      <c r="E52" s="124">
        <v>1.56</v>
      </c>
      <c r="F52" s="125" t="s">
        <v>112</v>
      </c>
      <c r="G52" s="126">
        <v>0.6</v>
      </c>
      <c r="H52" s="124" t="s">
        <v>195</v>
      </c>
      <c r="I52" s="127">
        <v>1.03</v>
      </c>
      <c r="J52" s="78"/>
      <c r="K52" s="78"/>
      <c r="L52" s="78"/>
      <c r="M52" s="78"/>
      <c r="N52" s="78"/>
    </row>
    <row r="53" spans="1:14" x14ac:dyDescent="0.35">
      <c r="A53" s="122" t="s">
        <v>209</v>
      </c>
      <c r="B53" s="123" t="s">
        <v>193</v>
      </c>
      <c r="C53" s="124">
        <v>0.34599999999999997</v>
      </c>
      <c r="D53" s="124" t="s">
        <v>194</v>
      </c>
      <c r="E53" s="124">
        <v>1.56</v>
      </c>
      <c r="F53" s="125" t="s">
        <v>112</v>
      </c>
      <c r="G53" s="126">
        <v>0.6</v>
      </c>
      <c r="H53" s="124" t="s">
        <v>195</v>
      </c>
      <c r="I53" s="127">
        <v>1.03</v>
      </c>
      <c r="J53" s="78"/>
      <c r="K53" s="78"/>
      <c r="L53" s="78"/>
      <c r="M53" s="78"/>
      <c r="N53" s="78"/>
    </row>
    <row r="54" spans="1:14" x14ac:dyDescent="0.35">
      <c r="A54" s="122" t="s">
        <v>210</v>
      </c>
      <c r="B54" s="123" t="s">
        <v>193</v>
      </c>
      <c r="C54" s="124">
        <v>0.32600000000000001</v>
      </c>
      <c r="D54" s="124" t="s">
        <v>194</v>
      </c>
      <c r="E54" s="124">
        <v>1.56</v>
      </c>
      <c r="F54" s="125" t="s">
        <v>112</v>
      </c>
      <c r="G54" s="126">
        <v>0.6</v>
      </c>
      <c r="H54" s="124" t="s">
        <v>195</v>
      </c>
      <c r="I54" s="127">
        <v>1.03</v>
      </c>
      <c r="J54" s="78"/>
      <c r="K54" s="78"/>
      <c r="L54" s="78"/>
      <c r="M54" s="78"/>
      <c r="N54" s="78"/>
    </row>
    <row r="55" spans="1:14" x14ac:dyDescent="0.35">
      <c r="A55" s="122" t="s">
        <v>211</v>
      </c>
      <c r="B55" s="123" t="s">
        <v>193</v>
      </c>
      <c r="C55" s="124">
        <v>0.30499999999999999</v>
      </c>
      <c r="D55" s="124" t="s">
        <v>194</v>
      </c>
      <c r="E55" s="124">
        <v>1.56</v>
      </c>
      <c r="F55" s="125" t="s">
        <v>112</v>
      </c>
      <c r="G55" s="126">
        <v>0.6</v>
      </c>
      <c r="H55" s="124" t="s">
        <v>195</v>
      </c>
      <c r="I55" s="127">
        <v>1.03</v>
      </c>
      <c r="J55" s="78"/>
      <c r="K55" s="78"/>
      <c r="L55" s="78"/>
      <c r="M55" s="78"/>
      <c r="N55" s="78"/>
    </row>
    <row r="56" spans="1:14" x14ac:dyDescent="0.35">
      <c r="A56" s="122" t="s">
        <v>212</v>
      </c>
      <c r="B56" s="123" t="s">
        <v>193</v>
      </c>
      <c r="C56" s="124">
        <v>0.32300000000000001</v>
      </c>
      <c r="D56" s="124" t="s">
        <v>194</v>
      </c>
      <c r="E56" s="124">
        <v>1.56</v>
      </c>
      <c r="F56" s="125" t="s">
        <v>112</v>
      </c>
      <c r="G56" s="126">
        <v>0.6</v>
      </c>
      <c r="H56" s="124" t="s">
        <v>195</v>
      </c>
      <c r="I56" s="127">
        <v>1.03</v>
      </c>
      <c r="J56" s="78"/>
      <c r="K56" s="78"/>
      <c r="L56" s="78"/>
      <c r="M56" s="78"/>
      <c r="N56" s="78"/>
    </row>
    <row r="57" spans="1:14" x14ac:dyDescent="0.35">
      <c r="A57" s="122" t="s">
        <v>213</v>
      </c>
      <c r="B57" s="123" t="s">
        <v>193</v>
      </c>
      <c r="C57" s="124">
        <v>0.36699999999999999</v>
      </c>
      <c r="D57" s="124" t="s">
        <v>194</v>
      </c>
      <c r="E57" s="124">
        <v>1.56</v>
      </c>
      <c r="F57" s="125" t="s">
        <v>112</v>
      </c>
      <c r="G57" s="126">
        <v>0.6</v>
      </c>
      <c r="H57" s="124" t="s">
        <v>195</v>
      </c>
      <c r="I57" s="127">
        <v>1.03</v>
      </c>
      <c r="J57" s="78"/>
      <c r="K57" s="78"/>
      <c r="L57" s="78"/>
      <c r="M57" s="78"/>
      <c r="N57" s="78"/>
    </row>
    <row r="58" spans="1:14" x14ac:dyDescent="0.35">
      <c r="A58" s="122" t="s">
        <v>214</v>
      </c>
      <c r="B58" s="123" t="s">
        <v>193</v>
      </c>
      <c r="C58" s="124">
        <v>0.36</v>
      </c>
      <c r="D58" s="124" t="s">
        <v>194</v>
      </c>
      <c r="E58" s="124">
        <v>1.56</v>
      </c>
      <c r="F58" s="125" t="s">
        <v>112</v>
      </c>
      <c r="G58" s="126">
        <v>0.6</v>
      </c>
      <c r="H58" s="124" t="s">
        <v>195</v>
      </c>
      <c r="I58" s="127">
        <v>1.03</v>
      </c>
      <c r="J58" s="78"/>
      <c r="K58" s="78"/>
      <c r="L58" s="78"/>
      <c r="M58" s="78"/>
      <c r="N58" s="78"/>
    </row>
    <row r="59" spans="1:14" x14ac:dyDescent="0.35">
      <c r="A59" s="122" t="s">
        <v>215</v>
      </c>
      <c r="B59" s="123" t="s">
        <v>193</v>
      </c>
      <c r="C59" s="124">
        <v>0.36799999999999999</v>
      </c>
      <c r="D59" s="124" t="s">
        <v>194</v>
      </c>
      <c r="E59" s="124">
        <v>1.56</v>
      </c>
      <c r="F59" s="125" t="s">
        <v>112</v>
      </c>
      <c r="G59" s="126">
        <v>0.6</v>
      </c>
      <c r="H59" s="124" t="s">
        <v>195</v>
      </c>
      <c r="I59" s="127">
        <v>1.03</v>
      </c>
      <c r="J59" s="78"/>
      <c r="K59" s="78"/>
      <c r="L59" s="78"/>
      <c r="M59" s="78"/>
      <c r="N59" s="78"/>
    </row>
    <row r="60" spans="1:14" x14ac:dyDescent="0.35">
      <c r="A60" s="122" t="s">
        <v>216</v>
      </c>
      <c r="B60" s="123" t="s">
        <v>193</v>
      </c>
      <c r="C60" s="124">
        <v>0.30599999999999999</v>
      </c>
      <c r="D60" s="124" t="s">
        <v>194</v>
      </c>
      <c r="E60" s="124">
        <v>1.56</v>
      </c>
      <c r="F60" s="125" t="s">
        <v>112</v>
      </c>
      <c r="G60" s="126">
        <v>0.6</v>
      </c>
      <c r="H60" s="124" t="s">
        <v>195</v>
      </c>
      <c r="I60" s="127">
        <v>1.03</v>
      </c>
      <c r="J60" s="78"/>
      <c r="K60" s="78"/>
      <c r="L60" s="78"/>
      <c r="M60" s="78"/>
      <c r="N60" s="78"/>
    </row>
    <row r="61" spans="1:14" x14ac:dyDescent="0.35">
      <c r="A61" s="122" t="s">
        <v>217</v>
      </c>
      <c r="B61" s="123" t="s">
        <v>193</v>
      </c>
      <c r="C61" s="124">
        <v>0.313</v>
      </c>
      <c r="D61" s="124" t="s">
        <v>194</v>
      </c>
      <c r="E61" s="124">
        <v>1.56</v>
      </c>
      <c r="F61" s="125" t="s">
        <v>112</v>
      </c>
      <c r="G61" s="126">
        <v>0.6</v>
      </c>
      <c r="H61" s="124" t="s">
        <v>195</v>
      </c>
      <c r="I61" s="127">
        <v>1.03</v>
      </c>
      <c r="J61" s="78"/>
      <c r="K61" s="78"/>
      <c r="L61" s="78"/>
      <c r="M61" s="78"/>
      <c r="N61" s="78"/>
    </row>
    <row r="62" spans="1:14" x14ac:dyDescent="0.35">
      <c r="A62" s="122" t="s">
        <v>218</v>
      </c>
      <c r="B62" s="123" t="s">
        <v>219</v>
      </c>
      <c r="C62" s="124">
        <v>0.37</v>
      </c>
      <c r="D62" s="124" t="s">
        <v>111</v>
      </c>
      <c r="E62" s="124">
        <v>1.56</v>
      </c>
      <c r="F62" s="125" t="s">
        <v>112</v>
      </c>
      <c r="G62" s="126">
        <v>0.6</v>
      </c>
      <c r="H62" s="124" t="s">
        <v>195</v>
      </c>
      <c r="I62" s="127">
        <v>1.03</v>
      </c>
      <c r="J62" s="78"/>
      <c r="K62" s="78"/>
      <c r="L62" s="78"/>
      <c r="M62" s="78"/>
      <c r="N62" s="78"/>
    </row>
    <row r="63" spans="1:14" x14ac:dyDescent="0.35">
      <c r="A63" s="122" t="s">
        <v>220</v>
      </c>
      <c r="B63" s="123" t="s">
        <v>221</v>
      </c>
      <c r="C63" s="124">
        <v>0.45</v>
      </c>
      <c r="D63" s="124" t="s">
        <v>111</v>
      </c>
      <c r="E63" s="124">
        <v>1.3</v>
      </c>
      <c r="F63" s="125" t="s">
        <v>112</v>
      </c>
      <c r="G63" s="126">
        <v>0.45</v>
      </c>
      <c r="H63" s="124" t="s">
        <v>222</v>
      </c>
      <c r="I63" s="127">
        <v>0.43</v>
      </c>
      <c r="J63" s="78"/>
      <c r="K63" s="78"/>
      <c r="L63" s="78"/>
      <c r="M63" s="78"/>
      <c r="N63" s="78"/>
    </row>
    <row r="64" spans="1:14" x14ac:dyDescent="0.35">
      <c r="A64" s="122" t="s">
        <v>223</v>
      </c>
      <c r="B64" s="123" t="s">
        <v>224</v>
      </c>
      <c r="C64" s="124">
        <v>0.39</v>
      </c>
      <c r="D64" s="124" t="s">
        <v>111</v>
      </c>
      <c r="E64" s="124">
        <v>1.3</v>
      </c>
      <c r="F64" s="125" t="s">
        <v>112</v>
      </c>
      <c r="G64" s="126">
        <v>0.45</v>
      </c>
      <c r="H64" s="124" t="s">
        <v>222</v>
      </c>
      <c r="I64" s="127">
        <v>0.43</v>
      </c>
      <c r="J64" s="78"/>
      <c r="K64" s="78"/>
      <c r="L64" s="78"/>
      <c r="M64" s="78"/>
      <c r="N64" s="78"/>
    </row>
    <row r="65" spans="1:14" x14ac:dyDescent="0.35">
      <c r="A65" s="122" t="s">
        <v>225</v>
      </c>
      <c r="B65" s="123" t="s">
        <v>226</v>
      </c>
      <c r="C65" s="124">
        <v>0.44</v>
      </c>
      <c r="D65" s="124" t="s">
        <v>111</v>
      </c>
      <c r="E65" s="124">
        <v>1.3</v>
      </c>
      <c r="F65" s="125" t="s">
        <v>112</v>
      </c>
      <c r="G65" s="126">
        <v>0.45</v>
      </c>
      <c r="H65" s="124" t="s">
        <v>222</v>
      </c>
      <c r="I65" s="127">
        <v>0.43</v>
      </c>
      <c r="J65" s="78"/>
      <c r="K65" s="78"/>
      <c r="L65" s="78"/>
      <c r="M65" s="78"/>
      <c r="N65" s="78"/>
    </row>
    <row r="66" spans="1:14" x14ac:dyDescent="0.35">
      <c r="A66" s="122" t="s">
        <v>227</v>
      </c>
      <c r="B66" s="123" t="s">
        <v>228</v>
      </c>
      <c r="C66" s="124">
        <v>0.46</v>
      </c>
      <c r="D66" s="124" t="s">
        <v>111</v>
      </c>
      <c r="E66" s="124">
        <v>1.3</v>
      </c>
      <c r="F66" s="125" t="s">
        <v>112</v>
      </c>
      <c r="G66" s="126">
        <v>0.45</v>
      </c>
      <c r="H66" s="124" t="s">
        <v>222</v>
      </c>
      <c r="I66" s="127">
        <v>0.43</v>
      </c>
      <c r="J66" s="78"/>
      <c r="K66" s="78"/>
      <c r="L66" s="78"/>
      <c r="M66" s="78"/>
      <c r="N66" s="78"/>
    </row>
    <row r="67" spans="1:14" x14ac:dyDescent="0.35">
      <c r="A67" s="122" t="s">
        <v>229</v>
      </c>
      <c r="B67" s="123" t="s">
        <v>230</v>
      </c>
      <c r="C67" s="124">
        <v>0.46</v>
      </c>
      <c r="D67" s="124" t="s">
        <v>111</v>
      </c>
      <c r="E67" s="124">
        <v>1.3</v>
      </c>
      <c r="F67" s="125" t="s">
        <v>112</v>
      </c>
      <c r="G67" s="126">
        <v>0.45</v>
      </c>
      <c r="H67" s="124" t="s">
        <v>138</v>
      </c>
      <c r="I67" s="127">
        <v>0.59</v>
      </c>
      <c r="J67" s="78"/>
      <c r="K67" s="78"/>
      <c r="L67" s="78"/>
      <c r="M67" s="78"/>
      <c r="N67" s="78"/>
    </row>
    <row r="68" spans="1:14" x14ac:dyDescent="0.35">
      <c r="A68" s="122" t="s">
        <v>231</v>
      </c>
      <c r="B68" s="123" t="s">
        <v>232</v>
      </c>
      <c r="C68" s="124">
        <v>0.44</v>
      </c>
      <c r="D68" s="124" t="s">
        <v>111</v>
      </c>
      <c r="E68" s="124">
        <v>1.3</v>
      </c>
      <c r="F68" s="125" t="s">
        <v>112</v>
      </c>
      <c r="G68" s="126">
        <v>0.45</v>
      </c>
      <c r="H68" s="124" t="s">
        <v>222</v>
      </c>
      <c r="I68" s="127">
        <v>0.43</v>
      </c>
      <c r="J68" s="78"/>
      <c r="K68" s="78"/>
      <c r="L68" s="78"/>
      <c r="M68" s="78"/>
      <c r="N68" s="78"/>
    </row>
    <row r="69" spans="1:14" x14ac:dyDescent="0.35">
      <c r="A69" s="122" t="s">
        <v>233</v>
      </c>
      <c r="B69" s="123" t="s">
        <v>234</v>
      </c>
      <c r="C69" s="124">
        <v>0.46</v>
      </c>
      <c r="D69" s="124" t="s">
        <v>111</v>
      </c>
      <c r="E69" s="124">
        <v>1.3</v>
      </c>
      <c r="F69" s="125" t="s">
        <v>112</v>
      </c>
      <c r="G69" s="126">
        <v>0.45</v>
      </c>
      <c r="H69" s="124" t="s">
        <v>222</v>
      </c>
      <c r="I69" s="127">
        <v>0.43</v>
      </c>
      <c r="J69" s="78"/>
      <c r="K69" s="78"/>
      <c r="L69" s="78"/>
      <c r="M69" s="78"/>
      <c r="N69" s="78"/>
    </row>
    <row r="70" spans="1:14" x14ac:dyDescent="0.35">
      <c r="A70" s="122" t="s">
        <v>235</v>
      </c>
      <c r="B70" s="123" t="s">
        <v>236</v>
      </c>
      <c r="C70" s="124">
        <v>0.48</v>
      </c>
      <c r="D70" s="124" t="s">
        <v>111</v>
      </c>
      <c r="E70" s="124">
        <v>2.4</v>
      </c>
      <c r="F70" s="124" t="s">
        <v>237</v>
      </c>
      <c r="G70" s="126">
        <v>0.45</v>
      </c>
      <c r="H70" s="124" t="s">
        <v>222</v>
      </c>
      <c r="I70" s="127">
        <v>0.43</v>
      </c>
      <c r="J70" s="78"/>
      <c r="K70" s="78"/>
      <c r="L70" s="78"/>
      <c r="M70" s="78"/>
      <c r="N70" s="78"/>
    </row>
    <row r="71" spans="1:14" x14ac:dyDescent="0.35">
      <c r="A71" s="122" t="s">
        <v>238</v>
      </c>
      <c r="B71" s="123" t="s">
        <v>239</v>
      </c>
      <c r="C71" s="124">
        <v>0.46</v>
      </c>
      <c r="D71" s="124" t="s">
        <v>240</v>
      </c>
      <c r="E71" s="124">
        <v>1.3</v>
      </c>
      <c r="F71" s="125" t="s">
        <v>112</v>
      </c>
      <c r="G71" s="126">
        <v>0.45</v>
      </c>
      <c r="H71" s="124" t="s">
        <v>222</v>
      </c>
      <c r="I71" s="127">
        <v>0.43</v>
      </c>
      <c r="J71" s="78"/>
      <c r="K71" s="78"/>
      <c r="L71" s="78"/>
      <c r="M71" s="78"/>
      <c r="N71" s="78"/>
    </row>
    <row r="72" spans="1:14" x14ac:dyDescent="0.35">
      <c r="A72" s="122" t="s">
        <v>241</v>
      </c>
      <c r="B72" s="123" t="s">
        <v>242</v>
      </c>
      <c r="C72" s="124">
        <v>0.44</v>
      </c>
      <c r="D72" s="124" t="s">
        <v>111</v>
      </c>
      <c r="E72" s="124">
        <v>1.3</v>
      </c>
      <c r="F72" s="125" t="s">
        <v>112</v>
      </c>
      <c r="G72" s="126">
        <v>0.45</v>
      </c>
      <c r="H72" s="124" t="s">
        <v>222</v>
      </c>
      <c r="I72" s="127">
        <v>0.43</v>
      </c>
      <c r="J72" s="78"/>
      <c r="K72" s="78"/>
      <c r="L72" s="78"/>
      <c r="M72" s="78"/>
      <c r="N72" s="78"/>
    </row>
    <row r="73" spans="1:14" x14ac:dyDescent="0.35">
      <c r="A73" s="122" t="s">
        <v>243</v>
      </c>
      <c r="B73" s="123" t="s">
        <v>244</v>
      </c>
      <c r="C73" s="124">
        <v>0.46</v>
      </c>
      <c r="D73" s="124" t="s">
        <v>245</v>
      </c>
      <c r="E73" s="124">
        <v>1.3</v>
      </c>
      <c r="F73" s="125" t="s">
        <v>112</v>
      </c>
      <c r="G73" s="126">
        <v>0.45</v>
      </c>
      <c r="H73" s="124" t="s">
        <v>222</v>
      </c>
      <c r="I73" s="127">
        <v>0.43</v>
      </c>
      <c r="J73" s="78"/>
      <c r="K73" s="78"/>
      <c r="L73" s="78"/>
      <c r="M73" s="78"/>
      <c r="N73" s="78"/>
    </row>
    <row r="74" spans="1:14" x14ac:dyDescent="0.35">
      <c r="A74" s="122" t="s">
        <v>246</v>
      </c>
      <c r="B74" s="123" t="s">
        <v>247</v>
      </c>
      <c r="C74" s="124">
        <v>0.34</v>
      </c>
      <c r="D74" s="124" t="s">
        <v>111</v>
      </c>
      <c r="E74" s="124">
        <v>1.3</v>
      </c>
      <c r="F74" s="125" t="s">
        <v>112</v>
      </c>
      <c r="G74" s="126">
        <v>0.45</v>
      </c>
      <c r="H74" s="124" t="s">
        <v>222</v>
      </c>
      <c r="I74" s="127">
        <v>0.43</v>
      </c>
      <c r="J74" s="78"/>
      <c r="K74" s="78"/>
      <c r="L74" s="78"/>
      <c r="M74" s="78"/>
      <c r="N74" s="78"/>
    </row>
    <row r="75" spans="1:14" x14ac:dyDescent="0.35">
      <c r="A75" s="122" t="s">
        <v>248</v>
      </c>
      <c r="B75" s="123" t="s">
        <v>249</v>
      </c>
      <c r="C75" s="124">
        <v>0.5</v>
      </c>
      <c r="D75" s="124" t="s">
        <v>111</v>
      </c>
      <c r="E75" s="124">
        <v>1.56</v>
      </c>
      <c r="F75" s="125" t="s">
        <v>112</v>
      </c>
      <c r="G75" s="126">
        <v>0.53</v>
      </c>
      <c r="H75" s="124" t="s">
        <v>166</v>
      </c>
      <c r="I75" s="127">
        <v>0.25</v>
      </c>
      <c r="J75" s="78"/>
      <c r="K75" s="78"/>
      <c r="L75" s="78"/>
      <c r="M75" s="78"/>
      <c r="N75" s="78"/>
    </row>
    <row r="76" spans="1:14" x14ac:dyDescent="0.35">
      <c r="A76" s="122" t="s">
        <v>250</v>
      </c>
      <c r="B76" s="123" t="s">
        <v>251</v>
      </c>
      <c r="C76" s="124">
        <v>0.57999999999999996</v>
      </c>
      <c r="D76" s="124" t="s">
        <v>111</v>
      </c>
      <c r="E76" s="124">
        <v>1.56</v>
      </c>
      <c r="F76" s="125" t="s">
        <v>112</v>
      </c>
      <c r="G76" s="126">
        <v>0.3</v>
      </c>
      <c r="H76" s="124" t="s">
        <v>252</v>
      </c>
      <c r="I76" s="127">
        <v>0.25</v>
      </c>
      <c r="J76" s="78"/>
      <c r="K76" s="78"/>
      <c r="L76" s="78"/>
      <c r="M76" s="78"/>
      <c r="N76" s="78"/>
    </row>
    <row r="77" spans="1:14" x14ac:dyDescent="0.35">
      <c r="A77" s="122" t="s">
        <v>253</v>
      </c>
      <c r="B77" s="123" t="s">
        <v>254</v>
      </c>
      <c r="C77" s="124">
        <v>0.37</v>
      </c>
      <c r="D77" s="124" t="s">
        <v>111</v>
      </c>
      <c r="E77" s="124">
        <v>1.3</v>
      </c>
      <c r="F77" s="125" t="s">
        <v>112</v>
      </c>
      <c r="G77" s="126">
        <v>0.55000000000000004</v>
      </c>
      <c r="H77" s="124" t="s">
        <v>138</v>
      </c>
      <c r="I77" s="127">
        <v>0.43</v>
      </c>
      <c r="J77" s="78"/>
      <c r="K77" s="78"/>
      <c r="L77" s="78"/>
      <c r="M77" s="78"/>
      <c r="N77" s="78"/>
    </row>
    <row r="78" spans="1:14" x14ac:dyDescent="0.35">
      <c r="A78" s="122" t="s">
        <v>255</v>
      </c>
      <c r="B78" s="123" t="s">
        <v>256</v>
      </c>
      <c r="C78" s="124">
        <v>0.37</v>
      </c>
      <c r="D78" s="124" t="s">
        <v>111</v>
      </c>
      <c r="E78" s="124">
        <v>1.3</v>
      </c>
      <c r="F78" s="125" t="s">
        <v>112</v>
      </c>
      <c r="G78" s="126">
        <v>0.55000000000000004</v>
      </c>
      <c r="H78" s="124" t="s">
        <v>138</v>
      </c>
      <c r="I78" s="127">
        <v>0.43</v>
      </c>
      <c r="J78" s="78"/>
      <c r="K78" s="78"/>
      <c r="L78" s="78"/>
      <c r="M78" s="78"/>
      <c r="N78" s="78"/>
    </row>
    <row r="79" spans="1:14" x14ac:dyDescent="0.35">
      <c r="A79" s="122" t="s">
        <v>257</v>
      </c>
      <c r="B79" s="123" t="s">
        <v>258</v>
      </c>
      <c r="C79" s="124">
        <v>0.38</v>
      </c>
      <c r="D79" s="124" t="s">
        <v>111</v>
      </c>
      <c r="E79" s="124">
        <v>1.3</v>
      </c>
      <c r="F79" s="125" t="s">
        <v>112</v>
      </c>
      <c r="G79" s="126">
        <v>0.55000000000000004</v>
      </c>
      <c r="H79" s="124" t="s">
        <v>128</v>
      </c>
      <c r="I79" s="127">
        <v>0.43</v>
      </c>
      <c r="J79" s="78"/>
      <c r="K79" s="78"/>
      <c r="L79" s="78"/>
      <c r="M79" s="78"/>
      <c r="N79" s="78"/>
    </row>
    <row r="80" spans="1:14" x14ac:dyDescent="0.35">
      <c r="A80" s="122" t="s">
        <v>259</v>
      </c>
      <c r="B80" s="123" t="s">
        <v>260</v>
      </c>
      <c r="C80" s="124">
        <v>0.36</v>
      </c>
      <c r="D80" s="124" t="s">
        <v>111</v>
      </c>
      <c r="E80" s="124">
        <v>1.3</v>
      </c>
      <c r="F80" s="125" t="s">
        <v>112</v>
      </c>
      <c r="G80" s="126">
        <v>0.55000000000000004</v>
      </c>
      <c r="H80" s="124" t="s">
        <v>128</v>
      </c>
      <c r="I80" s="127">
        <v>0.43</v>
      </c>
      <c r="J80" s="78"/>
      <c r="K80" s="78"/>
      <c r="L80" s="78"/>
      <c r="M80" s="78"/>
      <c r="N80" s="78"/>
    </row>
    <row r="81" spans="1:14" x14ac:dyDescent="0.35">
      <c r="A81" s="122" t="s">
        <v>261</v>
      </c>
      <c r="B81" s="123" t="s">
        <v>262</v>
      </c>
      <c r="C81" s="124">
        <v>0.37</v>
      </c>
      <c r="D81" s="124" t="s">
        <v>111</v>
      </c>
      <c r="E81" s="124">
        <v>1.56</v>
      </c>
      <c r="F81" s="125" t="s">
        <v>112</v>
      </c>
      <c r="G81" s="126">
        <v>0.43</v>
      </c>
      <c r="H81" s="124" t="s">
        <v>113</v>
      </c>
      <c r="I81" s="127">
        <v>0.25</v>
      </c>
      <c r="J81" s="78"/>
      <c r="K81" s="78"/>
      <c r="L81" s="78"/>
      <c r="M81" s="78"/>
      <c r="N81" s="78"/>
    </row>
    <row r="82" spans="1:14" x14ac:dyDescent="0.35">
      <c r="A82" s="122" t="s">
        <v>263</v>
      </c>
      <c r="B82" s="123" t="s">
        <v>264</v>
      </c>
      <c r="C82" s="124">
        <v>0.35</v>
      </c>
      <c r="D82" s="124" t="s">
        <v>265</v>
      </c>
      <c r="E82" s="124">
        <v>1.3</v>
      </c>
      <c r="F82" s="125" t="s">
        <v>112</v>
      </c>
      <c r="G82" s="126">
        <v>0.55000000000000004</v>
      </c>
      <c r="H82" s="124" t="s">
        <v>128</v>
      </c>
      <c r="I82" s="127">
        <v>0.43</v>
      </c>
      <c r="J82" s="78"/>
      <c r="K82" s="78"/>
      <c r="L82" s="78"/>
      <c r="M82" s="78"/>
      <c r="N82" s="78"/>
    </row>
    <row r="83" spans="1:14" x14ac:dyDescent="0.35">
      <c r="A83" s="122" t="s">
        <v>266</v>
      </c>
      <c r="B83" s="123" t="s">
        <v>267</v>
      </c>
      <c r="C83" s="124">
        <v>0.34</v>
      </c>
      <c r="D83" s="124" t="s">
        <v>111</v>
      </c>
      <c r="E83" s="124">
        <v>1.3</v>
      </c>
      <c r="F83" s="125" t="s">
        <v>112</v>
      </c>
      <c r="G83" s="126">
        <v>0.55000000000000004</v>
      </c>
      <c r="H83" s="124" t="s">
        <v>128</v>
      </c>
      <c r="I83" s="127">
        <v>0.43</v>
      </c>
      <c r="J83" s="78"/>
      <c r="K83" s="78"/>
      <c r="L83" s="78"/>
      <c r="M83" s="78"/>
      <c r="N83" s="78"/>
    </row>
    <row r="84" spans="1:14" x14ac:dyDescent="0.35">
      <c r="A84" s="122" t="s">
        <v>268</v>
      </c>
      <c r="B84" s="123" t="s">
        <v>269</v>
      </c>
      <c r="C84" s="124">
        <v>0.31</v>
      </c>
      <c r="D84" s="124" t="s">
        <v>111</v>
      </c>
      <c r="E84" s="124">
        <v>1.3</v>
      </c>
      <c r="F84" s="125" t="s">
        <v>112</v>
      </c>
      <c r="G84" s="126">
        <v>0.55000000000000004</v>
      </c>
      <c r="H84" s="124" t="s">
        <v>128</v>
      </c>
      <c r="I84" s="127">
        <v>0.43</v>
      </c>
      <c r="J84" s="78"/>
      <c r="K84" s="78"/>
      <c r="L84" s="78"/>
      <c r="M84" s="78"/>
      <c r="N84" s="78"/>
    </row>
    <row r="85" spans="1:14" x14ac:dyDescent="0.35">
      <c r="A85" s="122" t="s">
        <v>270</v>
      </c>
      <c r="B85" s="123" t="s">
        <v>271</v>
      </c>
      <c r="C85" s="124">
        <v>0.43</v>
      </c>
      <c r="D85" s="124" t="s">
        <v>111</v>
      </c>
      <c r="E85" s="124">
        <v>1.56</v>
      </c>
      <c r="F85" s="125" t="s">
        <v>112</v>
      </c>
      <c r="G85" s="126">
        <v>0.53</v>
      </c>
      <c r="H85" s="124" t="s">
        <v>166</v>
      </c>
      <c r="I85" s="127">
        <v>0.25</v>
      </c>
      <c r="J85" s="78"/>
      <c r="K85" s="78"/>
      <c r="L85" s="78"/>
      <c r="M85" s="78"/>
      <c r="N85" s="78"/>
    </row>
    <row r="86" spans="1:14" x14ac:dyDescent="0.35">
      <c r="A86" s="122" t="s">
        <v>272</v>
      </c>
      <c r="B86" s="123" t="s">
        <v>273</v>
      </c>
      <c r="C86" s="124">
        <v>0.38</v>
      </c>
      <c r="D86" s="124" t="s">
        <v>111</v>
      </c>
      <c r="E86" s="124">
        <v>1.56</v>
      </c>
      <c r="F86" s="125" t="s">
        <v>112</v>
      </c>
      <c r="G86" s="126">
        <v>0.6</v>
      </c>
      <c r="H86" s="124" t="s">
        <v>274</v>
      </c>
      <c r="I86" s="127">
        <v>0.25</v>
      </c>
      <c r="J86" s="78"/>
      <c r="K86" s="78"/>
      <c r="L86" s="78"/>
      <c r="M86" s="78"/>
      <c r="N86" s="78"/>
    </row>
    <row r="87" spans="1:14" x14ac:dyDescent="0.35">
      <c r="A87" s="251" t="s">
        <v>275</v>
      </c>
      <c r="B87" s="252" t="s">
        <v>276</v>
      </c>
      <c r="C87" s="253">
        <v>0.41</v>
      </c>
      <c r="D87" s="253" t="s">
        <v>277</v>
      </c>
      <c r="E87" s="253">
        <v>1.56</v>
      </c>
      <c r="F87" s="254" t="s">
        <v>112</v>
      </c>
      <c r="G87" s="255">
        <v>0.43</v>
      </c>
      <c r="H87" s="253" t="s">
        <v>113</v>
      </c>
      <c r="I87" s="256">
        <v>0.25</v>
      </c>
      <c r="J87" s="78"/>
      <c r="K87" s="78"/>
      <c r="L87" s="78"/>
      <c r="M87" s="78"/>
      <c r="N87" s="78"/>
    </row>
    <row r="88" spans="1:14" x14ac:dyDescent="0.35">
      <c r="A88" s="122" t="s">
        <v>278</v>
      </c>
      <c r="B88" s="130"/>
      <c r="C88" s="124">
        <v>0.42</v>
      </c>
      <c r="D88" s="124" t="s">
        <v>111</v>
      </c>
      <c r="E88" s="124">
        <v>1.3</v>
      </c>
      <c r="F88" s="125" t="s">
        <v>112</v>
      </c>
      <c r="G88" s="131"/>
      <c r="H88" s="130"/>
      <c r="I88" s="132"/>
    </row>
    <row r="89" spans="1:14" ht="15" thickBot="1" x14ac:dyDescent="0.4">
      <c r="A89" s="133" t="s">
        <v>279</v>
      </c>
      <c r="B89" s="134"/>
      <c r="C89" s="135">
        <v>0.56999999999999995</v>
      </c>
      <c r="D89" s="136" t="s">
        <v>111</v>
      </c>
      <c r="E89" s="135">
        <v>1.56</v>
      </c>
      <c r="F89" s="135" t="s">
        <v>112</v>
      </c>
      <c r="G89" s="134"/>
      <c r="H89" s="134"/>
      <c r="I89" s="137"/>
    </row>
    <row r="93" spans="1:14" x14ac:dyDescent="0.35">
      <c r="A93" s="122" t="s">
        <v>72</v>
      </c>
    </row>
    <row r="94" spans="1:14" x14ac:dyDescent="0.35">
      <c r="A94" s="122" t="s">
        <v>73</v>
      </c>
    </row>
    <row r="95" spans="1:14" x14ac:dyDescent="0.35">
      <c r="A95" s="122" t="s">
        <v>74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zoomScale="90" zoomScaleNormal="90" workbookViewId="0">
      <selection activeCell="D16" sqref="D16"/>
    </sheetView>
  </sheetViews>
  <sheetFormatPr baseColWidth="10" defaultColWidth="11.453125" defaultRowHeight="14.5" x14ac:dyDescent="0.35"/>
  <cols>
    <col min="1" max="1" width="22.81640625" style="1" bestFit="1" customWidth="1"/>
    <col min="2" max="2" width="10.54296875" style="1" bestFit="1" customWidth="1"/>
    <col min="3" max="3" width="15.54296875" style="1" bestFit="1" customWidth="1"/>
    <col min="4" max="4" width="13.453125" style="1" bestFit="1" customWidth="1"/>
    <col min="5" max="8" width="11.453125" style="1"/>
    <col min="9" max="13" width="11.453125" style="62"/>
    <col min="14" max="15" width="11.453125" style="1"/>
    <col min="16" max="17" width="13.453125" style="1" customWidth="1"/>
    <col min="18" max="16384" width="11.453125" style="1"/>
  </cols>
  <sheetData>
    <row r="1" spans="1:6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5" thickBot="1" x14ac:dyDescent="0.65">
      <c r="A2" s="280" t="s">
        <v>280</v>
      </c>
      <c r="B2" s="281"/>
      <c r="C2" s="281"/>
      <c r="D2" s="281"/>
      <c r="E2" s="281"/>
      <c r="F2" s="281"/>
      <c r="G2" s="281"/>
      <c r="H2" s="281"/>
      <c r="I2" s="281"/>
      <c r="J2" s="281"/>
      <c r="K2" s="281"/>
      <c r="L2" s="282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4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58.5" thickBot="1" x14ac:dyDescent="0.4">
      <c r="A5" s="138" t="s">
        <v>281</v>
      </c>
      <c r="B5" s="139" t="s">
        <v>282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283</v>
      </c>
      <c r="F5" s="140" t="s">
        <v>284</v>
      </c>
      <c r="G5" s="140" t="s">
        <v>285</v>
      </c>
      <c r="H5" s="141" t="s">
        <v>286</v>
      </c>
      <c r="I5" s="142" t="s">
        <v>287</v>
      </c>
      <c r="J5" s="143" t="s">
        <v>288</v>
      </c>
      <c r="K5" s="144" t="s">
        <v>289</v>
      </c>
      <c r="L5" s="84" t="s">
        <v>290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5">
      <c r="A6" s="145" t="str">
        <f>IF('Données projet'!$B$9="","",'Données projet'!$B$9)</f>
        <v>Epicéa commun</v>
      </c>
      <c r="B6" s="146">
        <f>'Données projet'!D9</f>
        <v>4.0844999999999994</v>
      </c>
      <c r="C6" s="147">
        <f ca="1">IF(OR('Données projet'!B9="",'Données projet'!C9="",'Données projet'!C9=0%),0,Calculateur!S3)</f>
        <v>234.10156575337737</v>
      </c>
      <c r="D6" s="147">
        <f>IF(OR('Données projet'!B9="",'Données projet'!C9="",'Données projet'!C9=0%),0,Calculateur!T3)</f>
        <v>285.68635263076646</v>
      </c>
      <c r="E6" s="147">
        <f ca="1">MIN(C6,D6)</f>
        <v>234.10156575337737</v>
      </c>
      <c r="F6" s="147">
        <f ca="1">E6*B6</f>
        <v>956.18784531966969</v>
      </c>
      <c r="G6" s="147">
        <f ca="1">F6*(100%-'Données projet'!$C$24)*(100%-'Données projet'!$C$25)*(100%-'Données projet'!$C$26)*(100%-'Données projet'!$C$27)</f>
        <v>817.54060774831748</v>
      </c>
      <c r="H6" s="148">
        <f>IF(OR('Données projet'!B9="",'Données projet'!C9="",'Données projet'!C9=0%),0,AVERAGE(Calculateur!$AC$3:$AC$33)*B6)</f>
        <v>21.142080614639681</v>
      </c>
      <c r="I6" s="149">
        <f>H6*(100%-'Données projet'!$C$24)*(100%-'Données projet'!$C$25)*(100%-'Données projet'!$C$26)*(100%-'Données projet'!$C$27)</f>
        <v>18.07647892551693</v>
      </c>
      <c r="J6" s="150">
        <f>IF(OR('Données projet'!B9="",'Données projet'!C9="",'Données projet'!C9=0%),0,SUM(Calculateur!$V$3:$V$33)*VLOOKUP('Données projet'!$B$9,Paramètres!$A$1:$I$89,9,0)*B6)</f>
        <v>276.13639280769229</v>
      </c>
      <c r="K6" s="151">
        <f>J6*(100%-'Données projet'!$C$24)*(100%-'Données projet'!$C$25)*(100%-'Données projet'!$C$26)*(100%-'Données projet'!$C$27)</f>
        <v>236.09661585057688</v>
      </c>
      <c r="L6" s="152">
        <f ca="1">G6+I6+K6</f>
        <v>1071.7137025244112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5">
      <c r="A7" s="153" t="str">
        <f>IF('Données projet'!$B$10="","",'Données projet'!$B$10)</f>
        <v>Mélèze d'Europe</v>
      </c>
      <c r="B7" s="154">
        <f>'Données projet'!D10</f>
        <v>4.0844999999999994</v>
      </c>
      <c r="C7" s="147">
        <f ca="1">IF(OR('Données projet'!B10="",'Données projet'!C10="",'Données projet'!C10=0%),0,Calculateur!AN3)</f>
        <v>179.44051550872138</v>
      </c>
      <c r="D7" s="147">
        <f>IF(OR('Données projet'!B10="",'Données projet'!C10="",'Données projet'!C10=0%),0,Calculateur!AO3)</f>
        <v>272.9500808380069</v>
      </c>
      <c r="E7" s="147">
        <f t="shared" ref="E7:E15" ca="1" si="0">MIN(C7,D7)</f>
        <v>179.44051550872138</v>
      </c>
      <c r="F7" s="147">
        <f t="shared" ref="F7:F15" ca="1" si="1">E7*B7</f>
        <v>732.92478559537233</v>
      </c>
      <c r="G7" s="147">
        <f ca="1">F7*(100%-'Données projet'!$C$24)*(100%-'Données projet'!$C$25)*(100%-'Données projet'!$C$26)*(100%-'Données projet'!$C$27)</f>
        <v>626.6506916840433</v>
      </c>
      <c r="H7" s="155">
        <f>IF(OR('Données projet'!B10="",'Données projet'!C10="",'Données projet'!C10=0%),0,AVERAGE(Calculateur!$AX$3:$AX$33)*B7)</f>
        <v>34.624156084577855</v>
      </c>
      <c r="I7" s="149">
        <f>H7*(100%-'Données projet'!$C$24)*(100%-'Données projet'!$C$25)*(100%-'Données projet'!$C$26)*(100%-'Données projet'!$C$27)</f>
        <v>29.603653452314063</v>
      </c>
      <c r="J7" s="150">
        <f>IF(OR('Données projet'!B10="",'Données projet'!C10="",'Données projet'!C10=0%),0,SUM(Calculateur!$AQ$3:$AQ$33)*VLOOKUP('Données projet'!$B$10,Paramètres!$A$1:$I$89,9,0)*B7)</f>
        <v>224.81087999999997</v>
      </c>
      <c r="K7" s="151">
        <f>J7*(100%-'Données projet'!$C$24)*(100%-'Données projet'!$C$25)*(100%-'Données projet'!$C$26)*(100%-'Données projet'!$C$27)</f>
        <v>192.21330239999998</v>
      </c>
      <c r="L7" s="152">
        <f t="shared" ref="L7:L15" ca="1" si="2">G7+I7+K7</f>
        <v>848.46764753635739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5">
      <c r="A8" s="153" t="str">
        <f>IF('Données projet'!$B$11="","",'Données projet'!$B$11)</f>
        <v>Douglas</v>
      </c>
      <c r="B8" s="154">
        <f>'Données projet'!D11</f>
        <v>3.1509</v>
      </c>
      <c r="C8" s="147">
        <f ca="1">IF(OR('Données projet'!B11="",'Données projet'!C11="",'Données projet'!C11=0%),0,Calculateur!BI3)</f>
        <v>278.5296012747549</v>
      </c>
      <c r="D8" s="147">
        <f>IF(OR('Données projet'!B11="",'Données projet'!C11="",'Données projet'!C11=0%),0,Calculateur!BJ3)</f>
        <v>370.55343097937077</v>
      </c>
      <c r="E8" s="147">
        <f t="shared" ca="1" si="0"/>
        <v>278.5296012747549</v>
      </c>
      <c r="F8" s="147">
        <f t="shared" ca="1" si="1"/>
        <v>877.61892065662516</v>
      </c>
      <c r="G8" s="147">
        <f ca="1">F8*(100%-'Données projet'!$C$24)*(100%-'Données projet'!$C$25)*(100%-'Données projet'!$C$26)*(100%-'Données projet'!$C$27)</f>
        <v>750.36417716141443</v>
      </c>
      <c r="H8" s="155">
        <f>IF(OR('Données projet'!B11="",'Données projet'!C11="",'Données projet'!C11=0%),0,AVERAGE(Calculateur!$BS$3:$BS$33)*B8)</f>
        <v>38.480042279360056</v>
      </c>
      <c r="I8" s="149">
        <f>H8*(100%-'Données projet'!$C$24)*(100%-'Données projet'!$C$25)*(100%-'Données projet'!$C$26)*(100%-'Données projet'!$C$27)</f>
        <v>32.900436148852847</v>
      </c>
      <c r="J8" s="150">
        <f>IF(OR('Données projet'!B11="",'Données projet'!C11="",'Données projet'!C11=0%),0,SUM(Calculateur!$BL$3:$BL$33)*VLOOKUP('Données projet'!$B$11,Paramètres!$A$1:$I$89,9,0)*B8)</f>
        <v>240.64877561538455</v>
      </c>
      <c r="K8" s="151">
        <f>J8*(100%-'Données projet'!$C$24)*(100%-'Données projet'!$C$25)*(100%-'Données projet'!$C$26)*(100%-'Données projet'!$C$27)</f>
        <v>205.75470315115379</v>
      </c>
      <c r="L8" s="152">
        <f t="shared" ca="1" si="2"/>
        <v>989.019316461421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5">
      <c r="A9" s="153" t="str">
        <f>IF('Données projet'!$B$12="","",'Données projet'!$B$12)</f>
        <v>Erable sycomore</v>
      </c>
      <c r="B9" s="154">
        <f>'Données projet'!D12</f>
        <v>0.35009999999999997</v>
      </c>
      <c r="C9" s="147">
        <f ca="1">IF(OR('Données projet'!B12="",'Données projet'!C12="",'Données projet'!C12=0%),0,Calculateur!CD3)</f>
        <v>225.2323446080772</v>
      </c>
      <c r="D9" s="147">
        <f>IF(OR('Données projet'!B12="",'Données projet'!C12="",'Données projet'!C12=0%),0,Calculateur!CE3)</f>
        <v>222.29030402759292</v>
      </c>
      <c r="E9" s="147">
        <f t="shared" ca="1" si="0"/>
        <v>222.29030402759292</v>
      </c>
      <c r="F9" s="147">
        <f t="shared" ca="1" si="1"/>
        <v>77.823835440060279</v>
      </c>
      <c r="G9" s="147">
        <f ca="1">F9*(100%-'Données projet'!$C$24)*(100%-'Données projet'!$C$25)*(100%-'Données projet'!$C$26)*(100%-'Données projet'!$C$27)</f>
        <v>66.539379301251543</v>
      </c>
      <c r="H9" s="155">
        <f>IF(OR('Données projet'!B12="",'Données projet'!C12="",'Données projet'!C12=0%),0,AVERAGE(Calculateur!$CN$3:$CN$33)*B9)</f>
        <v>0.10607511758280355</v>
      </c>
      <c r="I9" s="149">
        <f>H9*(100%-'Données projet'!$C$24)*(100%-'Données projet'!$C$25)*(100%-'Données projet'!$C$26)*(100%-'Données projet'!$C$27)</f>
        <v>9.0694225533297035E-2</v>
      </c>
      <c r="J9" s="150">
        <f>IF(OR('Données projet'!B12="",'Données projet'!C12="",'Données projet'!C12=0%),0,SUM(Calculateur!$CG$3:$CG$33)*VLOOKUP('Données projet'!$B$12,Paramètres!$A$1:$I$89,9,0)*B9)</f>
        <v>8.6649749999999983</v>
      </c>
      <c r="K9" s="151">
        <f>J9*(100%-'Données projet'!$C$24)*(100%-'Données projet'!$C$25)*(100%-'Données projet'!$C$26)*(100%-'Données projet'!$C$27)</f>
        <v>7.4085536249999988</v>
      </c>
      <c r="L9" s="152">
        <f t="shared" ca="1" si="2"/>
        <v>74.038627151784837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5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5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5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5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4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4">
      <c r="A16" s="209"/>
      <c r="B16" s="213"/>
      <c r="C16" s="214"/>
      <c r="D16" s="23"/>
      <c r="E16" s="23"/>
      <c r="F16" s="165">
        <f t="shared" ref="F16:L16" ca="1" si="3">SUM(F6:F15)</f>
        <v>2644.5553870117274</v>
      </c>
      <c r="G16" s="166">
        <f t="shared" ca="1" si="3"/>
        <v>2261.0948558950267</v>
      </c>
      <c r="H16" s="167">
        <f t="shared" si="3"/>
        <v>94.352354096160397</v>
      </c>
      <c r="I16" s="167">
        <f t="shared" si="3"/>
        <v>80.671262752217132</v>
      </c>
      <c r="J16" s="168">
        <f t="shared" si="3"/>
        <v>750.26102342307684</v>
      </c>
      <c r="K16" s="168">
        <f t="shared" si="3"/>
        <v>641.47317502673059</v>
      </c>
      <c r="L16" s="169">
        <f t="shared" ca="1" si="3"/>
        <v>2983.2392936739748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5">
      <c r="A17" s="209"/>
      <c r="B17" s="213"/>
      <c r="C17" s="214"/>
      <c r="D17" s="23"/>
      <c r="E17" s="23"/>
      <c r="F17" s="292" t="s">
        <v>291</v>
      </c>
      <c r="G17" s="293"/>
      <c r="H17" s="293"/>
      <c r="I17" s="293"/>
      <c r="J17" s="293"/>
      <c r="K17" s="293"/>
      <c r="L17" s="293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5">
      <c r="A18" s="209"/>
      <c r="B18" s="213"/>
      <c r="C18" s="214"/>
      <c r="D18" s="23"/>
      <c r="E18" s="23"/>
      <c r="F18" s="279"/>
      <c r="G18" s="279"/>
      <c r="H18" s="279"/>
      <c r="I18" s="279"/>
      <c r="J18" s="279"/>
      <c r="K18" s="279"/>
      <c r="L18" s="279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4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4">
      <c r="A21" s="170" t="str">
        <f>A6</f>
        <v>Epicéa commun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4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4">
      <c r="A39" s="170" t="str">
        <f>A7</f>
        <v>Mélèze d'Europe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4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4">
      <c r="A57" s="170" t="str">
        <f>A8</f>
        <v>Douglas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4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4">
      <c r="A76" s="170" t="str">
        <f>A9</f>
        <v>Erable sycomore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4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4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4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4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4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4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4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4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4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4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4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4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A6" zoomScale="80" zoomScaleNormal="80" workbookViewId="0">
      <selection activeCell="F21" sqref="F21"/>
    </sheetView>
  </sheetViews>
  <sheetFormatPr baseColWidth="10" defaultColWidth="11.453125" defaultRowHeight="14.5" x14ac:dyDescent="0.35"/>
  <cols>
    <col min="1" max="1" width="11.453125" style="1"/>
    <col min="2" max="2" width="30.81640625" style="1" bestFit="1" customWidth="1"/>
    <col min="3" max="3" width="18.1796875" style="1" bestFit="1" customWidth="1"/>
    <col min="4" max="5" width="11.453125" style="1"/>
    <col min="6" max="6" width="14" style="1" customWidth="1"/>
    <col min="7" max="7" width="17.54296875" style="1" customWidth="1"/>
    <col min="8" max="8" width="21.7265625" style="1" customWidth="1"/>
    <col min="9" max="9" width="37" style="1" customWidth="1"/>
    <col min="10" max="10" width="11.453125" style="1"/>
    <col min="11" max="11" width="8.81640625" style="1" customWidth="1"/>
    <col min="12" max="12" width="11.453125" style="1"/>
    <col min="13" max="13" width="21" style="1" customWidth="1"/>
    <col min="14" max="16" width="11.453125" style="1"/>
    <col min="17" max="17" width="8" style="1" customWidth="1"/>
    <col min="18" max="18" width="11.453125" style="1"/>
    <col min="19" max="19" width="31" style="1" customWidth="1"/>
    <col min="20" max="20" width="18.1796875" style="1" customWidth="1"/>
    <col min="21" max="21" width="16.453125" style="1" customWidth="1"/>
    <col min="22" max="22" width="17.81640625" style="1" customWidth="1"/>
    <col min="23" max="16384" width="11.453125" style="1"/>
  </cols>
  <sheetData>
    <row r="1" spans="1:4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5" thickBot="1" x14ac:dyDescent="0.65">
      <c r="A2" s="4"/>
      <c r="B2" s="280" t="s">
        <v>292</v>
      </c>
      <c r="C2" s="281"/>
      <c r="D2" s="281"/>
      <c r="E2" s="281"/>
      <c r="F2" s="281"/>
      <c r="G2" s="281"/>
      <c r="H2" s="281"/>
      <c r="I2" s="281"/>
      <c r="J2" s="281"/>
      <c r="K2" s="281"/>
      <c r="L2" s="281"/>
      <c r="M2" s="281"/>
      <c r="N2" s="281"/>
      <c r="O2" s="281"/>
      <c r="P2" s="282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5">
      <c r="A4" s="4"/>
      <c r="B4" s="4"/>
      <c r="C4" s="4"/>
      <c r="D4" s="4"/>
      <c r="E4" s="4"/>
      <c r="G4" s="4"/>
      <c r="H4" s="266" t="s">
        <v>293</v>
      </c>
      <c r="I4" s="266"/>
      <c r="K4" s="308" t="s">
        <v>294</v>
      </c>
      <c r="L4" s="309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4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65">
      <c r="A7" s="242"/>
      <c r="B7" s="243"/>
      <c r="C7" s="243"/>
      <c r="D7" s="243"/>
      <c r="E7" s="244"/>
      <c r="F7" s="244" t="s">
        <v>4</v>
      </c>
      <c r="G7" s="245"/>
      <c r="H7" s="243"/>
      <c r="I7" s="243"/>
      <c r="J7" s="246"/>
      <c r="K7" s="240"/>
      <c r="L7" s="241"/>
      <c r="M7" s="241"/>
      <c r="N7" s="247" t="s">
        <v>57</v>
      </c>
      <c r="O7" s="247"/>
      <c r="P7" s="248"/>
      <c r="Q7" s="249"/>
      <c r="R7" s="300" t="s">
        <v>295</v>
      </c>
      <c r="S7" s="301"/>
      <c r="T7" s="301"/>
      <c r="U7" s="301"/>
      <c r="V7" s="302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5">
      <c r="A9" s="93" t="s">
        <v>296</v>
      </c>
      <c r="C9" s="23"/>
      <c r="D9" s="23"/>
      <c r="E9" s="23"/>
      <c r="F9" s="230"/>
      <c r="G9" s="93" t="s">
        <v>297</v>
      </c>
      <c r="J9" s="200"/>
      <c r="K9" s="208"/>
      <c r="O9" s="23"/>
      <c r="P9" s="23"/>
      <c r="Q9" s="234"/>
      <c r="R9" s="23"/>
      <c r="S9" s="4"/>
      <c r="T9" s="36" t="s">
        <v>298</v>
      </c>
      <c r="U9" s="176" t="s">
        <v>299</v>
      </c>
      <c r="V9" s="36" t="s">
        <v>300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5">
      <c r="A10" s="93" t="s">
        <v>301</v>
      </c>
      <c r="C10" s="23"/>
      <c r="D10" s="23"/>
      <c r="E10" s="23"/>
      <c r="F10" s="230"/>
      <c r="G10" s="93" t="s">
        <v>302</v>
      </c>
      <c r="J10" s="200"/>
      <c r="K10" s="208"/>
      <c r="O10" s="23"/>
      <c r="P10" s="23"/>
      <c r="Q10" s="234"/>
      <c r="R10" s="23"/>
      <c r="S10" s="36" t="str">
        <f>B14</f>
        <v>Epicéa commun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-58205.719657754904</v>
      </c>
      <c r="U10" s="178">
        <f>'Données projet'!D9</f>
        <v>4.0844999999999994</v>
      </c>
      <c r="V10" s="177">
        <f>U10*T10</f>
        <v>-237741.26194209987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5">
      <c r="A11" s="93" t="s">
        <v>303</v>
      </c>
      <c r="B11" s="23"/>
      <c r="C11" s="23"/>
      <c r="D11" s="23"/>
      <c r="E11" s="23"/>
      <c r="F11" s="230"/>
      <c r="G11" s="93" t="s">
        <v>304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Mélèze d'Europe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-57933.455304503121</v>
      </c>
      <c r="U11" s="178">
        <f>'Données projet'!D10</f>
        <v>4.0844999999999994</v>
      </c>
      <c r="V11" s="177">
        <f t="shared" ref="V11" si="0">U11*T11</f>
        <v>-236629.19819124296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Douglas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-56298.848442731934</v>
      </c>
      <c r="U12" s="178">
        <f>'Données projet'!D11</f>
        <v>3.1509</v>
      </c>
      <c r="V12" s="177">
        <f t="shared" ref="V12:V19" si="1">U12*T12</f>
        <v>-177392.04155820404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5">
      <c r="B13" s="23"/>
      <c r="C13" s="23"/>
      <c r="D13" s="23"/>
      <c r="E13" s="23"/>
      <c r="F13" s="230"/>
      <c r="J13" s="23"/>
      <c r="K13" s="208"/>
      <c r="L13" s="93" t="s">
        <v>305</v>
      </c>
      <c r="M13" s="23"/>
      <c r="N13" s="23"/>
      <c r="O13" s="23"/>
      <c r="P13" s="23"/>
      <c r="Q13" s="234"/>
      <c r="R13" s="23"/>
      <c r="S13" s="36" t="str">
        <f>B107</f>
        <v>Erable sycomore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-30214.987810822498</v>
      </c>
      <c r="U13" s="178">
        <f>'Données projet'!D12</f>
        <v>0.35009999999999997</v>
      </c>
      <c r="V13" s="177">
        <f t="shared" si="1"/>
        <v>-10578.267232568956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5">
      <c r="A14" s="46" t="s">
        <v>15</v>
      </c>
      <c r="B14" s="174" t="str">
        <f>IF('Données projet'!$B$9="","",'Données projet'!$B$9)</f>
        <v>Epicéa commun</v>
      </c>
      <c r="C14" s="4"/>
      <c r="D14" s="4"/>
      <c r="E14" s="4"/>
      <c r="G14" s="23"/>
      <c r="H14" s="36" t="s">
        <v>76</v>
      </c>
      <c r="I14" s="36" t="s">
        <v>306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5">
      <c r="A15" s="4"/>
      <c r="B15" s="4"/>
      <c r="C15" s="4"/>
      <c r="D15" s="4"/>
      <c r="E15" s="4"/>
      <c r="F15" s="230"/>
      <c r="G15" s="311" t="s">
        <v>307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5">
      <c r="A16" s="36" t="s">
        <v>47</v>
      </c>
      <c r="B16" s="48" t="s">
        <v>308</v>
      </c>
      <c r="C16" s="48" t="s">
        <v>309</v>
      </c>
      <c r="D16" s="36" t="s">
        <v>310</v>
      </c>
      <c r="E16" s="36" t="s">
        <v>311</v>
      </c>
      <c r="F16" s="230"/>
      <c r="G16" s="311"/>
      <c r="H16" s="190"/>
      <c r="I16" s="191"/>
      <c r="J16" s="202"/>
      <c r="K16" s="208"/>
      <c r="L16" s="308" t="s">
        <v>312</v>
      </c>
      <c r="M16" s="309"/>
      <c r="N16" s="2">
        <v>50</v>
      </c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5">
      <c r="A17" s="49">
        <v>0</v>
      </c>
      <c r="B17" s="199" t="s">
        <v>193</v>
      </c>
      <c r="C17" s="198" t="s">
        <v>193</v>
      </c>
      <c r="D17" s="197" t="s">
        <v>193</v>
      </c>
      <c r="E17" s="193">
        <f>2544+30964</f>
        <v>33508</v>
      </c>
      <c r="G17" s="311"/>
      <c r="J17" s="202"/>
      <c r="K17" s="208"/>
      <c r="L17" s="268" t="s">
        <v>313</v>
      </c>
      <c r="M17" s="270"/>
      <c r="N17" s="175">
        <f>VLOOKUP(N16,Calculateur!$A$2:$H$153,3,0)/VLOOKUP('Scénario référence'!$G$15,Paramètres!A1:I89,3,0)/VLOOKUP('Scénario référence'!$G$15,Paramètres!A1:I89,5,0)</f>
        <v>50.00000000000005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5">
      <c r="A18" s="49">
        <v>1</v>
      </c>
      <c r="B18" s="199" t="s">
        <v>193</v>
      </c>
      <c r="C18" s="198" t="s">
        <v>193</v>
      </c>
      <c r="D18" s="197" t="s">
        <v>193</v>
      </c>
      <c r="E18" s="193">
        <v>9173</v>
      </c>
      <c r="G18" s="311"/>
      <c r="J18" s="202"/>
      <c r="K18" s="208"/>
      <c r="L18" s="268" t="s">
        <v>309</v>
      </c>
      <c r="M18" s="270"/>
      <c r="N18" s="192">
        <v>100</v>
      </c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5">
      <c r="A19" s="49">
        <v>2</v>
      </c>
      <c r="B19" s="199" t="s">
        <v>193</v>
      </c>
      <c r="C19" s="198" t="s">
        <v>193</v>
      </c>
      <c r="D19" s="197" t="s">
        <v>193</v>
      </c>
      <c r="E19" s="193">
        <v>7920</v>
      </c>
      <c r="F19" s="230"/>
      <c r="G19" s="311"/>
      <c r="H19" s="212" t="s">
        <v>76</v>
      </c>
      <c r="I19" s="212" t="s">
        <v>314</v>
      </c>
      <c r="J19" s="93"/>
      <c r="K19" s="173"/>
      <c r="L19" s="308" t="s">
        <v>315</v>
      </c>
      <c r="M19" s="309"/>
      <c r="N19" s="179">
        <f>N17*N18</f>
        <v>5000.0000000000045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5">
      <c r="A20" s="49">
        <v>3</v>
      </c>
      <c r="B20" s="199" t="s">
        <v>193</v>
      </c>
      <c r="C20" s="198" t="s">
        <v>193</v>
      </c>
      <c r="D20" s="197" t="s">
        <v>193</v>
      </c>
      <c r="E20" s="193">
        <v>3696</v>
      </c>
      <c r="F20" s="230"/>
      <c r="G20" s="311"/>
      <c r="H20" s="190">
        <v>1</v>
      </c>
      <c r="I20" s="191">
        <v>5930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5">
      <c r="A21" s="49">
        <v>4</v>
      </c>
      <c r="B21" s="199" t="s">
        <v>193</v>
      </c>
      <c r="C21" s="198" t="s">
        <v>193</v>
      </c>
      <c r="D21" s="197" t="s">
        <v>193</v>
      </c>
      <c r="E21" s="193">
        <v>9108</v>
      </c>
      <c r="H21" s="190"/>
      <c r="I21" s="191"/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5">
      <c r="A22" s="49">
        <v>5</v>
      </c>
      <c r="B22" s="199" t="s">
        <v>193</v>
      </c>
      <c r="C22" s="198" t="s">
        <v>193</v>
      </c>
      <c r="D22" s="197" t="s">
        <v>193</v>
      </c>
      <c r="E22" s="193"/>
      <c r="F22" s="230"/>
      <c r="H22" s="190"/>
      <c r="I22" s="191"/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5">
      <c r="A23" s="180">
        <f>'Données projet'!A36</f>
        <v>25</v>
      </c>
      <c r="B23" s="181">
        <f>'Données projet'!D36</f>
        <v>67.207692307692312</v>
      </c>
      <c r="C23" s="193">
        <v>10</v>
      </c>
      <c r="D23" s="182">
        <f>B23*C23</f>
        <v>672.07692307692309</v>
      </c>
      <c r="E23" s="193">
        <v>150</v>
      </c>
      <c r="F23" s="230"/>
      <c r="H23" s="190"/>
      <c r="I23" s="191"/>
      <c r="K23" s="208"/>
      <c r="L23" s="310" t="s">
        <v>316</v>
      </c>
      <c r="M23" s="310"/>
      <c r="N23" s="310"/>
      <c r="O23" s="23"/>
      <c r="P23" s="23"/>
      <c r="Q23" s="234"/>
      <c r="R23" s="23"/>
      <c r="S23" s="36" t="s">
        <v>317</v>
      </c>
      <c r="T23" s="305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-728563.83112507279</v>
      </c>
      <c r="U23" s="305"/>
      <c r="V23" s="305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5">
      <c r="A24" s="180">
        <f>'Données projet'!A37</f>
        <v>30</v>
      </c>
      <c r="B24" s="181">
        <f>'Données projet'!D37</f>
        <v>90.015384615384605</v>
      </c>
      <c r="C24" s="193">
        <v>10</v>
      </c>
      <c r="D24" s="182">
        <f t="shared" ref="D24:D42" si="2">B24*C24</f>
        <v>900.15384615384608</v>
      </c>
      <c r="E24" s="193">
        <v>150</v>
      </c>
      <c r="F24" s="233"/>
      <c r="H24" s="190"/>
      <c r="I24" s="191"/>
      <c r="K24" s="208"/>
      <c r="O24" s="23"/>
      <c r="P24" s="23"/>
      <c r="Q24" s="234"/>
      <c r="R24" s="23"/>
      <c r="S24" s="36" t="s">
        <v>318</v>
      </c>
      <c r="T24" s="306">
        <f ca="1">'Scénario référence'!$B$8*$M$30*'Données projet'!$C$5+('Scénario référence'!B9+'Scénario référence'!B10+'Scénario référence'!F8+'Scénario référence'!F9)*$N$19/(1+M4)^N16*'Données projet'!$C$5</f>
        <v>6459.9080754958095</v>
      </c>
      <c r="U24" s="306"/>
      <c r="V24" s="306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5">
      <c r="A25" s="180">
        <f>'Données projet'!A38</f>
        <v>36</v>
      </c>
      <c r="B25" s="181">
        <f>'Données projet'!D38</f>
        <v>85.407692307692301</v>
      </c>
      <c r="C25" s="193">
        <v>10</v>
      </c>
      <c r="D25" s="182">
        <f t="shared" si="2"/>
        <v>854.07692307692298</v>
      </c>
      <c r="E25" s="193">
        <v>150</v>
      </c>
      <c r="F25" s="233"/>
      <c r="H25" s="190"/>
      <c r="I25" s="191"/>
      <c r="K25" s="208"/>
      <c r="L25" s="130" t="s">
        <v>319</v>
      </c>
      <c r="M25" s="130"/>
      <c r="N25" s="130"/>
      <c r="O25" s="130"/>
      <c r="P25" s="192"/>
      <c r="Q25" s="234"/>
      <c r="R25" s="23"/>
      <c r="S25" s="186" t="s">
        <v>320</v>
      </c>
      <c r="T25" s="307">
        <f ca="1">T23-T24</f>
        <v>-735023.73920056864</v>
      </c>
      <c r="U25" s="307"/>
      <c r="V25" s="307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5">
      <c r="A26" s="180">
        <f>'Données projet'!A39</f>
        <v>42</v>
      </c>
      <c r="B26" s="181">
        <f>'Données projet'!D39</f>
        <v>78.223076923076917</v>
      </c>
      <c r="C26" s="193">
        <v>18</v>
      </c>
      <c r="D26" s="182">
        <f t="shared" si="2"/>
        <v>1408.0153846153844</v>
      </c>
      <c r="E26" s="193">
        <v>150</v>
      </c>
      <c r="F26" s="233"/>
      <c r="G26" s="229"/>
      <c r="H26" s="190"/>
      <c r="I26" s="191"/>
      <c r="K26" s="208"/>
      <c r="L26" s="294" t="s">
        <v>321</v>
      </c>
      <c r="M26" s="295"/>
      <c r="N26" s="295"/>
      <c r="O26" s="295"/>
      <c r="P26" s="296"/>
      <c r="Q26" s="234"/>
      <c r="R26" s="23"/>
      <c r="S26" s="186" t="s">
        <v>322</v>
      </c>
      <c r="T26" s="304" t="str">
        <f ca="1">IF(T25&lt;0,"Votre projet est additionnel","Votre projet n'est pas additionnel")</f>
        <v>Votre projet est additionnel</v>
      </c>
      <c r="U26" s="304"/>
      <c r="V26" s="30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5">
      <c r="A27" s="180">
        <f>'Données projet'!A40</f>
        <v>48</v>
      </c>
      <c r="B27" s="181">
        <f>'Données projet'!D40</f>
        <v>85.953846153846143</v>
      </c>
      <c r="C27" s="193">
        <v>25</v>
      </c>
      <c r="D27" s="182">
        <f t="shared" si="2"/>
        <v>2148.8461538461534</v>
      </c>
      <c r="E27" s="193">
        <v>150</v>
      </c>
      <c r="F27" s="233"/>
      <c r="G27" s="229"/>
      <c r="H27" s="190"/>
      <c r="I27" s="191"/>
      <c r="K27" s="208"/>
      <c r="L27" s="297"/>
      <c r="M27" s="298"/>
      <c r="N27" s="298"/>
      <c r="O27" s="298"/>
      <c r="P27" s="299"/>
      <c r="Q27" s="234"/>
      <c r="R27" s="23"/>
      <c r="S27" s="303" t="s">
        <v>323</v>
      </c>
      <c r="T27" s="303"/>
      <c r="U27" s="303"/>
      <c r="V27" s="303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5">
      <c r="A28" s="180">
        <f>'Données projet'!A41</f>
        <v>55</v>
      </c>
      <c r="B28" s="181">
        <f>'Données projet'!D41</f>
        <v>83.638461538461542</v>
      </c>
      <c r="C28" s="193">
        <v>30</v>
      </c>
      <c r="D28" s="182">
        <f t="shared" si="2"/>
        <v>2509.1538461538462</v>
      </c>
      <c r="E28" s="193">
        <v>150</v>
      </c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5">
      <c r="A29" s="180">
        <f>'Données projet'!A42</f>
        <v>62</v>
      </c>
      <c r="B29" s="181">
        <f>'Données projet'!D42</f>
        <v>101.43076923076924</v>
      </c>
      <c r="C29" s="193">
        <v>40</v>
      </c>
      <c r="D29" s="182">
        <f t="shared" si="2"/>
        <v>4057.2307692307695</v>
      </c>
      <c r="E29" s="193">
        <v>150</v>
      </c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5">
      <c r="A30" s="180">
        <f>'Données projet'!A43</f>
        <v>69</v>
      </c>
      <c r="B30" s="181">
        <f>'Données projet'!D43</f>
        <v>93.461538461538453</v>
      </c>
      <c r="C30" s="193">
        <v>40</v>
      </c>
      <c r="D30" s="182">
        <f t="shared" si="2"/>
        <v>3738.4615384615381</v>
      </c>
      <c r="E30" s="193">
        <v>150</v>
      </c>
      <c r="F30" s="233"/>
      <c r="G30" s="203"/>
      <c r="H30" s="190"/>
      <c r="I30" s="191"/>
      <c r="K30" s="183"/>
      <c r="L30" s="36" t="s">
        <v>324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5">
      <c r="A31" s="180">
        <f>'Données projet'!A44</f>
        <v>77</v>
      </c>
      <c r="B31" s="181">
        <f>'Données projet'!D44</f>
        <v>459.09230769230771</v>
      </c>
      <c r="C31" s="193">
        <v>40</v>
      </c>
      <c r="D31" s="182">
        <f t="shared" si="2"/>
        <v>18363.692307692309</v>
      </c>
      <c r="E31" s="193">
        <v>150</v>
      </c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5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/>
      <c r="I32" s="191"/>
      <c r="K32" s="173"/>
      <c r="N32" s="4"/>
      <c r="O32" s="85" t="s">
        <v>76</v>
      </c>
      <c r="P32" s="85" t="s">
        <v>310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5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5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5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5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5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5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5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5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5">
      <c r="A45" s="46" t="s">
        <v>18</v>
      </c>
      <c r="B45" s="174" t="str">
        <f>IF('Données projet'!$B$10="","",'Données projet'!$B$10)</f>
        <v>Mélèze d'Europe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5">
      <c r="A47" s="36" t="s">
        <v>47</v>
      </c>
      <c r="B47" s="48" t="s">
        <v>308</v>
      </c>
      <c r="C47" s="48" t="s">
        <v>309</v>
      </c>
      <c r="D47" s="36" t="s">
        <v>310</v>
      </c>
      <c r="E47" s="36" t="s">
        <v>311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5">
      <c r="A48" s="49">
        <v>0</v>
      </c>
      <c r="B48" s="199" t="s">
        <v>193</v>
      </c>
      <c r="C48" s="198" t="s">
        <v>193</v>
      </c>
      <c r="D48" s="197" t="s">
        <v>193</v>
      </c>
      <c r="E48" s="193">
        <f>2928+30964</f>
        <v>33892</v>
      </c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5">
      <c r="A49" s="49">
        <v>1</v>
      </c>
      <c r="B49" s="199" t="s">
        <v>193</v>
      </c>
      <c r="C49" s="198" t="s">
        <v>193</v>
      </c>
      <c r="D49" s="197" t="s">
        <v>193</v>
      </c>
      <c r="E49" s="193">
        <v>9173</v>
      </c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5">
      <c r="A50" s="49">
        <v>2</v>
      </c>
      <c r="B50" s="199" t="s">
        <v>193</v>
      </c>
      <c r="C50" s="198" t="s">
        <v>193</v>
      </c>
      <c r="D50" s="197" t="s">
        <v>193</v>
      </c>
      <c r="E50" s="193">
        <v>7920</v>
      </c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5">
      <c r="A51" s="49">
        <v>3</v>
      </c>
      <c r="B51" s="199" t="s">
        <v>193</v>
      </c>
      <c r="C51" s="198" t="s">
        <v>193</v>
      </c>
      <c r="D51" s="197" t="s">
        <v>193</v>
      </c>
      <c r="E51" s="193">
        <v>3696</v>
      </c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5">
      <c r="A52" s="49">
        <v>4</v>
      </c>
      <c r="B52" s="199" t="s">
        <v>193</v>
      </c>
      <c r="C52" s="198" t="s">
        <v>193</v>
      </c>
      <c r="D52" s="197" t="s">
        <v>193</v>
      </c>
      <c r="E52" s="193">
        <v>9108</v>
      </c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5">
      <c r="A53" s="49">
        <v>5</v>
      </c>
      <c r="B53" s="199" t="s">
        <v>193</v>
      </c>
      <c r="C53" s="198" t="s">
        <v>193</v>
      </c>
      <c r="D53" s="197" t="s">
        <v>193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5">
      <c r="A54" s="180">
        <f>'Données projet'!A62</f>
        <v>18</v>
      </c>
      <c r="B54" s="181">
        <f>'Données projet'!D62</f>
        <v>20</v>
      </c>
      <c r="C54" s="191">
        <v>10</v>
      </c>
      <c r="D54" s="179">
        <f>B54*C54</f>
        <v>200</v>
      </c>
      <c r="E54" s="193">
        <v>150</v>
      </c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5">
      <c r="A55" s="180">
        <f>'Données projet'!A63</f>
        <v>21</v>
      </c>
      <c r="B55" s="181">
        <f>'Données projet'!D63</f>
        <v>26</v>
      </c>
      <c r="C55" s="191">
        <v>18</v>
      </c>
      <c r="D55" s="179">
        <f t="shared" ref="D55:D73" si="4">B55*C55</f>
        <v>468</v>
      </c>
      <c r="E55" s="193">
        <v>150</v>
      </c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5">
      <c r="A56" s="180">
        <f>'Données projet'!A64</f>
        <v>24</v>
      </c>
      <c r="B56" s="181">
        <f>'Données projet'!D64</f>
        <v>29</v>
      </c>
      <c r="C56" s="191">
        <v>25</v>
      </c>
      <c r="D56" s="179">
        <f t="shared" si="4"/>
        <v>725</v>
      </c>
      <c r="E56" s="193">
        <v>150</v>
      </c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5">
      <c r="A57" s="180">
        <f>'Données projet'!A65</f>
        <v>30</v>
      </c>
      <c r="B57" s="181">
        <f>'Données projet'!D65</f>
        <v>53</v>
      </c>
      <c r="C57" s="191">
        <v>25</v>
      </c>
      <c r="D57" s="179">
        <f t="shared" si="4"/>
        <v>1325</v>
      </c>
      <c r="E57" s="193">
        <v>150</v>
      </c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5">
      <c r="A58" s="180">
        <f>'Données projet'!A66</f>
        <v>36</v>
      </c>
      <c r="B58" s="181">
        <f>'Données projet'!D66</f>
        <v>62</v>
      </c>
      <c r="C58" s="191">
        <v>35</v>
      </c>
      <c r="D58" s="179">
        <f t="shared" si="4"/>
        <v>2170</v>
      </c>
      <c r="E58" s="193">
        <v>150</v>
      </c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5">
      <c r="A59" s="180">
        <f>'Données projet'!A67</f>
        <v>42</v>
      </c>
      <c r="B59" s="181">
        <f>'Données projet'!D67</f>
        <v>67</v>
      </c>
      <c r="C59" s="191">
        <v>40</v>
      </c>
      <c r="D59" s="179">
        <f t="shared" si="4"/>
        <v>2680</v>
      </c>
      <c r="E59" s="193">
        <v>150</v>
      </c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5">
      <c r="A60" s="180">
        <f>'Données projet'!A68</f>
        <v>48</v>
      </c>
      <c r="B60" s="181">
        <f>'Données projet'!D68</f>
        <v>65</v>
      </c>
      <c r="C60" s="191">
        <v>45</v>
      </c>
      <c r="D60" s="179">
        <f t="shared" si="4"/>
        <v>2925</v>
      </c>
      <c r="E60" s="193">
        <v>150</v>
      </c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5">
      <c r="A61" s="180">
        <f>'Données projet'!A69</f>
        <v>60</v>
      </c>
      <c r="B61" s="181">
        <f>'Données projet'!D69</f>
        <v>304</v>
      </c>
      <c r="C61" s="191">
        <v>55</v>
      </c>
      <c r="D61" s="179">
        <f t="shared" si="4"/>
        <v>16720</v>
      </c>
      <c r="E61" s="193">
        <v>150</v>
      </c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5">
      <c r="A62" s="180">
        <f>'Données projet'!A70</f>
        <v>0</v>
      </c>
      <c r="B62" s="181">
        <f>'Données projet'!D70</f>
        <v>0</v>
      </c>
      <c r="C62" s="191"/>
      <c r="D62" s="179">
        <f t="shared" si="4"/>
        <v>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5">
      <c r="A63" s="180">
        <f>'Données projet'!A71</f>
        <v>0</v>
      </c>
      <c r="B63" s="181">
        <f>'Données projet'!D71</f>
        <v>0</v>
      </c>
      <c r="C63" s="191"/>
      <c r="D63" s="179">
        <f t="shared" si="4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5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5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5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5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5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5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5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5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5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5">
      <c r="A76" s="46" t="s">
        <v>20</v>
      </c>
      <c r="B76" s="174" t="str">
        <f>IF('Données projet'!B11="","",'Données projet'!B11)</f>
        <v>Douglas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5">
      <c r="A78" s="36" t="s">
        <v>47</v>
      </c>
      <c r="B78" s="48" t="s">
        <v>308</v>
      </c>
      <c r="C78" s="48" t="s">
        <v>309</v>
      </c>
      <c r="D78" s="36" t="s">
        <v>310</v>
      </c>
      <c r="E78" s="36" t="s">
        <v>311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5">
      <c r="A79" s="49">
        <v>0</v>
      </c>
      <c r="B79" s="199" t="s">
        <v>193</v>
      </c>
      <c r="C79" s="198" t="s">
        <v>193</v>
      </c>
      <c r="D79" s="197" t="s">
        <v>193</v>
      </c>
      <c r="E79" s="193">
        <f>2052+30964</f>
        <v>33016</v>
      </c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5">
      <c r="A80" s="49">
        <v>1</v>
      </c>
      <c r="B80" s="199" t="s">
        <v>193</v>
      </c>
      <c r="C80" s="198" t="s">
        <v>193</v>
      </c>
      <c r="D80" s="197" t="s">
        <v>193</v>
      </c>
      <c r="E80" s="193">
        <v>9173</v>
      </c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5">
      <c r="A81" s="49">
        <v>2</v>
      </c>
      <c r="B81" s="199" t="s">
        <v>193</v>
      </c>
      <c r="C81" s="198" t="s">
        <v>193</v>
      </c>
      <c r="D81" s="197" t="s">
        <v>193</v>
      </c>
      <c r="E81" s="193">
        <v>7920</v>
      </c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5">
      <c r="A82" s="49">
        <v>3</v>
      </c>
      <c r="B82" s="199" t="s">
        <v>193</v>
      </c>
      <c r="C82" s="198" t="s">
        <v>193</v>
      </c>
      <c r="D82" s="197" t="s">
        <v>193</v>
      </c>
      <c r="E82" s="193">
        <v>3696</v>
      </c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5">
      <c r="A83" s="49">
        <v>4</v>
      </c>
      <c r="B83" s="199" t="s">
        <v>193</v>
      </c>
      <c r="C83" s="198" t="s">
        <v>193</v>
      </c>
      <c r="D83" s="197" t="s">
        <v>193</v>
      </c>
      <c r="E83" s="193">
        <v>9108</v>
      </c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5">
      <c r="A84" s="49">
        <v>5</v>
      </c>
      <c r="B84" s="199" t="s">
        <v>193</v>
      </c>
      <c r="C84" s="198"/>
      <c r="D84" s="197" t="s">
        <v>193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5">
      <c r="A85" s="180">
        <f>'Données projet'!A88</f>
        <v>18</v>
      </c>
      <c r="B85" s="181">
        <f>'Données projet'!D88</f>
        <v>69.284615384615378</v>
      </c>
      <c r="C85" s="191">
        <v>10</v>
      </c>
      <c r="D85" s="179">
        <f>B85*C85</f>
        <v>692.84615384615381</v>
      </c>
      <c r="E85" s="193">
        <v>150</v>
      </c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5">
      <c r="A86" s="180">
        <f>'Données projet'!A89</f>
        <v>24</v>
      </c>
      <c r="B86" s="181">
        <f>'Données projet'!D89</f>
        <v>42.661538461538463</v>
      </c>
      <c r="C86" s="191">
        <v>10</v>
      </c>
      <c r="D86" s="179">
        <f t="shared" ref="D86:D104" si="6">B86*C86</f>
        <v>426.61538461538464</v>
      </c>
      <c r="E86" s="193">
        <v>150</v>
      </c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5">
      <c r="A87" s="180">
        <f>'Données projet'!A90</f>
        <v>30</v>
      </c>
      <c r="B87" s="181">
        <f>'Données projet'!D90</f>
        <v>65.669230769230765</v>
      </c>
      <c r="C87" s="191">
        <v>18</v>
      </c>
      <c r="D87" s="179">
        <f t="shared" si="6"/>
        <v>1182.0461538461539</v>
      </c>
      <c r="E87" s="193">
        <v>150</v>
      </c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0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5">
      <c r="A88" s="180">
        <f>'Données projet'!A91</f>
        <v>36</v>
      </c>
      <c r="B88" s="181">
        <f>'Données projet'!D91</f>
        <v>69.3</v>
      </c>
      <c r="C88" s="191">
        <v>25</v>
      </c>
      <c r="D88" s="179">
        <f t="shared" si="6"/>
        <v>1732.5</v>
      </c>
      <c r="E88" s="193">
        <v>150</v>
      </c>
      <c r="F88" s="232"/>
      <c r="G88" s="205"/>
      <c r="H88" s="190"/>
      <c r="I88" s="191"/>
      <c r="J88" s="4"/>
      <c r="K88" s="173"/>
      <c r="L88" s="4"/>
      <c r="M88" s="4"/>
      <c r="N88" s="4"/>
      <c r="O88" s="194" t="str">
        <f>IF(O87+1&lt;=MIN('Données projet'!$E$9:$E$18),O87+1,"STOP")</f>
        <v>STOP</v>
      </c>
      <c r="P88" s="185" t="e">
        <f t="shared" si="5"/>
        <v>#VALUE!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5">
      <c r="A89" s="180">
        <f>'Données projet'!A92</f>
        <v>42</v>
      </c>
      <c r="B89" s="181">
        <f>'Données projet'!D92</f>
        <v>73.392307692307682</v>
      </c>
      <c r="C89" s="191">
        <v>25</v>
      </c>
      <c r="D89" s="179">
        <f t="shared" si="6"/>
        <v>1834.8076923076922</v>
      </c>
      <c r="E89" s="193">
        <v>150</v>
      </c>
      <c r="F89" s="232"/>
      <c r="G89" s="205"/>
      <c r="H89" s="190"/>
      <c r="I89" s="191"/>
      <c r="J89" s="4"/>
      <c r="K89" s="173"/>
      <c r="L89" s="4"/>
      <c r="M89" s="4"/>
      <c r="N89" s="4"/>
      <c r="O89" s="194" t="e">
        <f>IF(O88+1&lt;=MIN('Données projet'!$E$9:$E$18),O88+1,"STOP")</f>
        <v>#VALUE!</v>
      </c>
      <c r="P89" s="185" t="e">
        <f t="shared" si="5"/>
        <v>#VALUE!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5">
      <c r="A90" s="180">
        <f>'Données projet'!A93</f>
        <v>48</v>
      </c>
      <c r="B90" s="181">
        <f>'Données projet'!D93</f>
        <v>81.330769230769235</v>
      </c>
      <c r="C90" s="191">
        <v>35</v>
      </c>
      <c r="D90" s="179">
        <f t="shared" si="6"/>
        <v>2846.5769230769233</v>
      </c>
      <c r="E90" s="193">
        <v>150</v>
      </c>
      <c r="F90" s="232"/>
      <c r="G90" s="205"/>
      <c r="H90" s="190"/>
      <c r="I90" s="191"/>
      <c r="J90" s="4"/>
      <c r="K90" s="173"/>
      <c r="L90" s="4"/>
      <c r="M90" s="4"/>
      <c r="N90" s="4"/>
      <c r="O90" s="194" t="e">
        <f>IF(O89+1&lt;=MIN('Données projet'!$E$9:$E$18),O89+1,"STOP")</f>
        <v>#VALUE!</v>
      </c>
      <c r="P90" s="185" t="e">
        <f t="shared" si="5"/>
        <v>#VALUE!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5">
      <c r="A91" s="180">
        <f>'Données projet'!A94</f>
        <v>54</v>
      </c>
      <c r="B91" s="181">
        <f>'Données projet'!D94</f>
        <v>566.79999999999995</v>
      </c>
      <c r="C91" s="191">
        <v>40</v>
      </c>
      <c r="D91" s="179">
        <f t="shared" si="6"/>
        <v>22672</v>
      </c>
      <c r="E91" s="193">
        <v>150</v>
      </c>
      <c r="F91" s="232"/>
      <c r="G91" s="206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5"/>
        <v>#VALUE!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5">
      <c r="A92" s="180">
        <f>'Données projet'!A95</f>
        <v>0</v>
      </c>
      <c r="B92" s="181">
        <f>'Données projet'!D95</f>
        <v>0</v>
      </c>
      <c r="C92" s="191"/>
      <c r="D92" s="179">
        <f t="shared" si="6"/>
        <v>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5"/>
        <v>#VALUE!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5">
      <c r="A93" s="180">
        <f>'Données projet'!A96</f>
        <v>0</v>
      </c>
      <c r="B93" s="181">
        <f>'Données projet'!D96</f>
        <v>0</v>
      </c>
      <c r="C93" s="191"/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5"/>
        <v>#VALUE!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5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5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5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5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5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5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5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5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5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5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5">
      <c r="A107" s="46" t="s">
        <v>22</v>
      </c>
      <c r="B107" s="174" t="str">
        <f>IF('Données projet'!B12="","",'Données projet'!B12)</f>
        <v>Erable sycomore</v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5">
      <c r="A109" s="36" t="s">
        <v>47</v>
      </c>
      <c r="B109" s="48" t="s">
        <v>308</v>
      </c>
      <c r="C109" s="48" t="s">
        <v>309</v>
      </c>
      <c r="D109" s="36" t="s">
        <v>310</v>
      </c>
      <c r="E109" s="36" t="s">
        <v>311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5">
      <c r="A110" s="49">
        <v>0</v>
      </c>
      <c r="B110" s="199" t="s">
        <v>193</v>
      </c>
      <c r="C110" s="198" t="s">
        <v>193</v>
      </c>
      <c r="D110" s="197" t="s">
        <v>193</v>
      </c>
      <c r="E110" s="193">
        <f>292+30964</f>
        <v>31256</v>
      </c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5">
      <c r="A111" s="49">
        <v>1</v>
      </c>
      <c r="B111" s="199" t="s">
        <v>193</v>
      </c>
      <c r="C111" s="198" t="s">
        <v>193</v>
      </c>
      <c r="D111" s="197" t="s">
        <v>193</v>
      </c>
      <c r="E111" s="193">
        <v>9173</v>
      </c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5">
      <c r="A112" s="49">
        <v>2</v>
      </c>
      <c r="B112" s="199" t="s">
        <v>193</v>
      </c>
      <c r="C112" s="198" t="s">
        <v>193</v>
      </c>
      <c r="D112" s="197" t="s">
        <v>193</v>
      </c>
      <c r="E112" s="193">
        <v>7920</v>
      </c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5">
      <c r="A113" s="49">
        <v>3</v>
      </c>
      <c r="B113" s="199" t="s">
        <v>193</v>
      </c>
      <c r="C113" s="198" t="s">
        <v>193</v>
      </c>
      <c r="D113" s="197" t="s">
        <v>193</v>
      </c>
      <c r="E113" s="193">
        <v>3696</v>
      </c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5">
      <c r="A114" s="49">
        <v>4</v>
      </c>
      <c r="B114" s="199" t="s">
        <v>193</v>
      </c>
      <c r="C114" s="198" t="s">
        <v>193</v>
      </c>
      <c r="D114" s="197" t="s">
        <v>193</v>
      </c>
      <c r="E114" s="193">
        <v>9108</v>
      </c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5">
      <c r="A115" s="49">
        <v>5</v>
      </c>
      <c r="B115" s="199" t="s">
        <v>193</v>
      </c>
      <c r="C115" s="198" t="s">
        <v>193</v>
      </c>
      <c r="D115" s="197" t="s">
        <v>193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5">
      <c r="A116" s="180">
        <f>'Données projet'!A114</f>
        <v>15</v>
      </c>
      <c r="B116" s="181">
        <f>'Données projet'!D114</f>
        <v>15</v>
      </c>
      <c r="C116" s="191">
        <v>10</v>
      </c>
      <c r="D116" s="179">
        <f>B116*C116</f>
        <v>150</v>
      </c>
      <c r="E116" s="193">
        <v>150</v>
      </c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5">
      <c r="A117" s="180">
        <f>'Données projet'!A115</f>
        <v>20</v>
      </c>
      <c r="B117" s="181">
        <f>'Données projet'!D115</f>
        <v>28</v>
      </c>
      <c r="C117" s="191">
        <v>10</v>
      </c>
      <c r="D117" s="179">
        <f t="shared" ref="D117:D135" si="8">B117*C117</f>
        <v>280</v>
      </c>
      <c r="E117" s="193">
        <v>150</v>
      </c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5">
      <c r="A118" s="180">
        <f>'Données projet'!A116</f>
        <v>25</v>
      </c>
      <c r="B118" s="181">
        <f>'Données projet'!D116</f>
        <v>28</v>
      </c>
      <c r="C118" s="191">
        <v>15</v>
      </c>
      <c r="D118" s="179">
        <f t="shared" si="8"/>
        <v>420</v>
      </c>
      <c r="E118" s="193">
        <v>150</v>
      </c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5">
      <c r="A119" s="180">
        <f>'Données projet'!A117</f>
        <v>30</v>
      </c>
      <c r="B119" s="181">
        <f>'Données projet'!D117</f>
        <v>28</v>
      </c>
      <c r="C119" s="191">
        <v>15</v>
      </c>
      <c r="D119" s="179">
        <f t="shared" si="8"/>
        <v>420</v>
      </c>
      <c r="E119" s="193">
        <v>150</v>
      </c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5">
      <c r="A120" s="180">
        <f>'Données projet'!A118</f>
        <v>35</v>
      </c>
      <c r="B120" s="181">
        <f>'Données projet'!D118</f>
        <v>28</v>
      </c>
      <c r="C120" s="191">
        <v>50</v>
      </c>
      <c r="D120" s="179">
        <f t="shared" si="8"/>
        <v>1400</v>
      </c>
      <c r="E120" s="193">
        <v>150</v>
      </c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5">
      <c r="A121" s="180">
        <f>'Données projet'!A119</f>
        <v>40</v>
      </c>
      <c r="B121" s="181">
        <f>'Données projet'!D119</f>
        <v>28</v>
      </c>
      <c r="C121" s="191">
        <v>50</v>
      </c>
      <c r="D121" s="179">
        <f t="shared" si="8"/>
        <v>1400</v>
      </c>
      <c r="E121" s="193">
        <v>150</v>
      </c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5">
      <c r="A122" s="180">
        <f>'Données projet'!A120</f>
        <v>45</v>
      </c>
      <c r="B122" s="181">
        <f>'Données projet'!D120</f>
        <v>22</v>
      </c>
      <c r="C122" s="191">
        <v>50</v>
      </c>
      <c r="D122" s="179">
        <f t="shared" si="8"/>
        <v>1100</v>
      </c>
      <c r="E122" s="193">
        <v>150</v>
      </c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5">
      <c r="A123" s="180">
        <f>'Données projet'!A121</f>
        <v>50</v>
      </c>
      <c r="B123" s="181">
        <f>'Données projet'!D121</f>
        <v>17</v>
      </c>
      <c r="C123" s="191">
        <v>50</v>
      </c>
      <c r="D123" s="179">
        <f t="shared" si="8"/>
        <v>850</v>
      </c>
      <c r="E123" s="193">
        <v>150</v>
      </c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5">
      <c r="A124" s="180">
        <f>'Données projet'!A122</f>
        <v>55</v>
      </c>
      <c r="B124" s="181">
        <f>'Données projet'!D122</f>
        <v>13</v>
      </c>
      <c r="C124" s="191">
        <v>50</v>
      </c>
      <c r="D124" s="179">
        <f t="shared" si="8"/>
        <v>650</v>
      </c>
      <c r="E124" s="193">
        <v>150</v>
      </c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5">
      <c r="A125" s="180">
        <f>'Données projet'!A123</f>
        <v>60</v>
      </c>
      <c r="B125" s="181">
        <f>'Données projet'!D123</f>
        <v>12</v>
      </c>
      <c r="C125" s="191">
        <v>50</v>
      </c>
      <c r="D125" s="179">
        <f t="shared" si="8"/>
        <v>600</v>
      </c>
      <c r="E125" s="193">
        <v>150</v>
      </c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5">
      <c r="A126" s="180">
        <f>'Données projet'!A124</f>
        <v>65</v>
      </c>
      <c r="B126" s="181">
        <f>'Données projet'!D124</f>
        <v>11</v>
      </c>
      <c r="C126" s="191">
        <v>50</v>
      </c>
      <c r="D126" s="179">
        <f t="shared" si="8"/>
        <v>550</v>
      </c>
      <c r="E126" s="193">
        <v>150</v>
      </c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5">
      <c r="A127" s="180">
        <f>'Données projet'!A125</f>
        <v>70</v>
      </c>
      <c r="B127" s="181">
        <f>'Données projet'!D125</f>
        <v>10</v>
      </c>
      <c r="C127" s="191">
        <v>50</v>
      </c>
      <c r="D127" s="179">
        <f t="shared" si="8"/>
        <v>500</v>
      </c>
      <c r="E127" s="193">
        <v>150</v>
      </c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5">
      <c r="A128" s="180">
        <f>'Données projet'!A126</f>
        <v>75</v>
      </c>
      <c r="B128" s="181">
        <f>'Données projet'!D126</f>
        <v>9</v>
      </c>
      <c r="C128" s="191">
        <v>50</v>
      </c>
      <c r="D128" s="179">
        <f t="shared" si="8"/>
        <v>450</v>
      </c>
      <c r="E128" s="193">
        <v>150</v>
      </c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5">
      <c r="A129" s="180">
        <f>'Données projet'!A127</f>
        <v>80</v>
      </c>
      <c r="B129" s="181">
        <f>'Données projet'!D127</f>
        <v>8</v>
      </c>
      <c r="C129" s="191">
        <v>50</v>
      </c>
      <c r="D129" s="179">
        <f t="shared" si="8"/>
        <v>400</v>
      </c>
      <c r="E129" s="193">
        <v>150</v>
      </c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5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5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5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5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5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5">
      <c r="A138" s="46" t="s">
        <v>23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5">
      <c r="A140" s="36" t="s">
        <v>47</v>
      </c>
      <c r="B140" s="48" t="s">
        <v>308</v>
      </c>
      <c r="C140" s="48" t="s">
        <v>309</v>
      </c>
      <c r="D140" s="36" t="s">
        <v>310</v>
      </c>
      <c r="E140" s="36" t="s">
        <v>311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5">
      <c r="A141" s="49">
        <v>0</v>
      </c>
      <c r="B141" s="199" t="s">
        <v>193</v>
      </c>
      <c r="C141" s="198" t="s">
        <v>193</v>
      </c>
      <c r="D141" s="197" t="s">
        <v>193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5">
      <c r="A142" s="49">
        <v>1</v>
      </c>
      <c r="B142" s="199" t="s">
        <v>193</v>
      </c>
      <c r="C142" s="198" t="s">
        <v>193</v>
      </c>
      <c r="D142" s="197" t="s">
        <v>193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5">
      <c r="A143" s="49">
        <v>2</v>
      </c>
      <c r="B143" s="199" t="s">
        <v>193</v>
      </c>
      <c r="C143" s="198" t="s">
        <v>193</v>
      </c>
      <c r="D143" s="197" t="s">
        <v>193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5">
      <c r="A144" s="49">
        <v>3</v>
      </c>
      <c r="B144" s="199" t="s">
        <v>193</v>
      </c>
      <c r="C144" s="198" t="s">
        <v>193</v>
      </c>
      <c r="D144" s="197" t="s">
        <v>193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5">
      <c r="A145" s="49">
        <v>4</v>
      </c>
      <c r="B145" s="199" t="s">
        <v>193</v>
      </c>
      <c r="C145" s="198" t="s">
        <v>193</v>
      </c>
      <c r="D145" s="197" t="s">
        <v>193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5">
      <c r="A146" s="49">
        <v>5</v>
      </c>
      <c r="B146" s="199" t="s">
        <v>193</v>
      </c>
      <c r="C146" s="198" t="s">
        <v>193</v>
      </c>
      <c r="D146" s="197" t="s">
        <v>193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5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5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5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5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5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5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5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5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5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5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5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5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5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5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5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5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5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5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5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5">
      <c r="A169" s="46" t="s">
        <v>24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5">
      <c r="A171" s="36" t="s">
        <v>47</v>
      </c>
      <c r="B171" s="48" t="s">
        <v>308</v>
      </c>
      <c r="C171" s="48" t="s">
        <v>309</v>
      </c>
      <c r="D171" s="36" t="s">
        <v>310</v>
      </c>
      <c r="E171" s="36" t="s">
        <v>311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5">
      <c r="A172" s="49">
        <v>0</v>
      </c>
      <c r="B172" s="199" t="s">
        <v>193</v>
      </c>
      <c r="C172" s="198" t="s">
        <v>193</v>
      </c>
      <c r="D172" s="197" t="s">
        <v>193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5">
      <c r="A173" s="49">
        <v>1</v>
      </c>
      <c r="B173" s="199" t="s">
        <v>193</v>
      </c>
      <c r="C173" s="198" t="s">
        <v>193</v>
      </c>
      <c r="D173" s="197" t="s">
        <v>193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5">
      <c r="A174" s="49">
        <v>2</v>
      </c>
      <c r="B174" s="199" t="s">
        <v>193</v>
      </c>
      <c r="C174" s="198" t="s">
        <v>193</v>
      </c>
      <c r="D174" s="197" t="s">
        <v>193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5">
      <c r="A175" s="49">
        <v>3</v>
      </c>
      <c r="B175" s="199" t="s">
        <v>193</v>
      </c>
      <c r="C175" s="198" t="s">
        <v>193</v>
      </c>
      <c r="D175" s="197" t="s">
        <v>193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5">
      <c r="A176" s="49">
        <v>4</v>
      </c>
      <c r="B176" s="199" t="s">
        <v>193</v>
      </c>
      <c r="C176" s="198" t="s">
        <v>193</v>
      </c>
      <c r="D176" s="197" t="s">
        <v>193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5">
      <c r="A177" s="49">
        <v>5</v>
      </c>
      <c r="B177" s="199" t="s">
        <v>193</v>
      </c>
      <c r="C177" s="198" t="s">
        <v>193</v>
      </c>
      <c r="D177" s="197" t="s">
        <v>193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5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5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5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5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5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5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5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5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5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5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5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5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5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5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5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5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5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5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5">
      <c r="A200" s="46" t="s">
        <v>25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5">
      <c r="A202" s="36" t="s">
        <v>47</v>
      </c>
      <c r="B202" s="48" t="s">
        <v>308</v>
      </c>
      <c r="C202" s="48" t="s">
        <v>309</v>
      </c>
      <c r="D202" s="36" t="s">
        <v>310</v>
      </c>
      <c r="E202" s="36" t="s">
        <v>311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5">
      <c r="A203" s="49">
        <v>0</v>
      </c>
      <c r="B203" s="199" t="s">
        <v>193</v>
      </c>
      <c r="C203" s="198" t="s">
        <v>193</v>
      </c>
      <c r="D203" s="197" t="s">
        <v>193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5">
      <c r="A204" s="49">
        <v>1</v>
      </c>
      <c r="B204" s="199" t="s">
        <v>193</v>
      </c>
      <c r="C204" s="198" t="s">
        <v>193</v>
      </c>
      <c r="D204" s="197" t="s">
        <v>193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5">
      <c r="A205" s="49">
        <v>2</v>
      </c>
      <c r="B205" s="199" t="s">
        <v>193</v>
      </c>
      <c r="C205" s="198" t="s">
        <v>193</v>
      </c>
      <c r="D205" s="197" t="s">
        <v>193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5">
      <c r="A206" s="49">
        <v>3</v>
      </c>
      <c r="B206" s="199" t="s">
        <v>193</v>
      </c>
      <c r="C206" s="198" t="s">
        <v>193</v>
      </c>
      <c r="D206" s="197" t="s">
        <v>193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5">
      <c r="A207" s="49">
        <v>4</v>
      </c>
      <c r="B207" s="199" t="s">
        <v>193</v>
      </c>
      <c r="C207" s="198" t="s">
        <v>193</v>
      </c>
      <c r="D207" s="197" t="s">
        <v>193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5">
      <c r="A208" s="49">
        <v>5</v>
      </c>
      <c r="B208" s="199" t="s">
        <v>193</v>
      </c>
      <c r="C208" s="198" t="s">
        <v>193</v>
      </c>
      <c r="D208" s="197" t="s">
        <v>193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5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5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5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5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5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5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5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5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5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5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5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5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5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5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5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5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5">
      <c r="A231" s="46" t="s">
        <v>26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5">
      <c r="A233" s="36" t="s">
        <v>47</v>
      </c>
      <c r="B233" s="48" t="s">
        <v>308</v>
      </c>
      <c r="C233" s="48" t="s">
        <v>309</v>
      </c>
      <c r="D233" s="36" t="s">
        <v>310</v>
      </c>
      <c r="E233" s="36" t="s">
        <v>311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5">
      <c r="A234" s="49">
        <v>0</v>
      </c>
      <c r="B234" s="199" t="s">
        <v>193</v>
      </c>
      <c r="C234" s="198" t="s">
        <v>193</v>
      </c>
      <c r="D234" s="197" t="s">
        <v>193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5">
      <c r="A235" s="49">
        <v>1</v>
      </c>
      <c r="B235" s="199" t="s">
        <v>193</v>
      </c>
      <c r="C235" s="198" t="s">
        <v>193</v>
      </c>
      <c r="D235" s="197" t="s">
        <v>193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5">
      <c r="A236" s="49">
        <v>2</v>
      </c>
      <c r="B236" s="199" t="s">
        <v>193</v>
      </c>
      <c r="C236" s="198" t="s">
        <v>193</v>
      </c>
      <c r="D236" s="197" t="s">
        <v>193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5">
      <c r="A237" s="49">
        <v>3</v>
      </c>
      <c r="B237" s="199" t="s">
        <v>193</v>
      </c>
      <c r="C237" s="198" t="s">
        <v>193</v>
      </c>
      <c r="D237" s="197" t="s">
        <v>193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5">
      <c r="A238" s="49">
        <v>4</v>
      </c>
      <c r="B238" s="199" t="s">
        <v>193</v>
      </c>
      <c r="C238" s="198" t="s">
        <v>193</v>
      </c>
      <c r="D238" s="197" t="s">
        <v>193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5">
      <c r="A239" s="49">
        <v>5</v>
      </c>
      <c r="B239" s="199" t="s">
        <v>193</v>
      </c>
      <c r="C239" s="198" t="s">
        <v>193</v>
      </c>
      <c r="D239" s="197" t="s">
        <v>193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5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5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5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5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5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5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5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5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5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5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5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5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5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5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5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5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5">
      <c r="A262" s="46" t="s">
        <v>27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5">
      <c r="A264" s="36" t="s">
        <v>47</v>
      </c>
      <c r="B264" s="48" t="s">
        <v>308</v>
      </c>
      <c r="C264" s="48" t="s">
        <v>309</v>
      </c>
      <c r="D264" s="36" t="s">
        <v>310</v>
      </c>
      <c r="E264" s="36" t="s">
        <v>311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5">
      <c r="A265" s="49">
        <v>0</v>
      </c>
      <c r="B265" s="199" t="s">
        <v>193</v>
      </c>
      <c r="C265" s="198" t="s">
        <v>193</v>
      </c>
      <c r="D265" s="197" t="s">
        <v>193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5">
      <c r="A266" s="49">
        <v>1</v>
      </c>
      <c r="B266" s="199" t="s">
        <v>193</v>
      </c>
      <c r="C266" s="198" t="s">
        <v>193</v>
      </c>
      <c r="D266" s="197" t="s">
        <v>193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5">
      <c r="A267" s="49">
        <v>2</v>
      </c>
      <c r="B267" s="199" t="s">
        <v>193</v>
      </c>
      <c r="C267" s="198" t="s">
        <v>193</v>
      </c>
      <c r="D267" s="197" t="s">
        <v>193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5">
      <c r="A268" s="49">
        <v>3</v>
      </c>
      <c r="B268" s="199" t="s">
        <v>193</v>
      </c>
      <c r="C268" s="198" t="s">
        <v>193</v>
      </c>
      <c r="D268" s="197" t="s">
        <v>193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5">
      <c r="A269" s="49">
        <v>4</v>
      </c>
      <c r="B269" s="199" t="s">
        <v>193</v>
      </c>
      <c r="C269" s="198" t="s">
        <v>193</v>
      </c>
      <c r="D269" s="197" t="s">
        <v>193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5">
      <c r="A270" s="49">
        <v>5</v>
      </c>
      <c r="B270" s="199" t="s">
        <v>193</v>
      </c>
      <c r="C270" s="198" t="s">
        <v>193</v>
      </c>
      <c r="D270" s="197" t="s">
        <v>193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5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5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5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5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5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5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5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5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5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5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5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5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5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5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5">
      <c r="A293" s="46" t="s">
        <v>28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5">
      <c r="A295" s="36" t="s">
        <v>47</v>
      </c>
      <c r="B295" s="48" t="s">
        <v>308</v>
      </c>
      <c r="C295" s="48" t="s">
        <v>309</v>
      </c>
      <c r="D295" s="36" t="s">
        <v>310</v>
      </c>
      <c r="E295" s="36" t="s">
        <v>311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5">
      <c r="A296" s="49">
        <v>0</v>
      </c>
      <c r="B296" s="199" t="s">
        <v>193</v>
      </c>
      <c r="C296" s="198" t="s">
        <v>193</v>
      </c>
      <c r="D296" s="197" t="s">
        <v>193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5">
      <c r="A297" s="49">
        <v>1</v>
      </c>
      <c r="B297" s="199" t="s">
        <v>193</v>
      </c>
      <c r="C297" s="198" t="s">
        <v>193</v>
      </c>
      <c r="D297" s="197" t="s">
        <v>193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5">
      <c r="A298" s="49">
        <v>2</v>
      </c>
      <c r="B298" s="199" t="s">
        <v>193</v>
      </c>
      <c r="C298" s="198" t="s">
        <v>193</v>
      </c>
      <c r="D298" s="197" t="s">
        <v>193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5">
      <c r="A299" s="49">
        <v>3</v>
      </c>
      <c r="B299" s="199" t="s">
        <v>193</v>
      </c>
      <c r="C299" s="198" t="s">
        <v>193</v>
      </c>
      <c r="D299" s="197" t="s">
        <v>193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5">
      <c r="A300" s="49">
        <v>4</v>
      </c>
      <c r="B300" s="199" t="s">
        <v>193</v>
      </c>
      <c r="C300" s="198" t="s">
        <v>193</v>
      </c>
      <c r="D300" s="197" t="s">
        <v>193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5">
      <c r="A301" s="49">
        <v>5</v>
      </c>
      <c r="B301" s="199" t="s">
        <v>193</v>
      </c>
      <c r="C301" s="198" t="s">
        <v>193</v>
      </c>
      <c r="D301" s="197" t="s">
        <v>193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5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5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5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5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5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17917BD1DD3FD43A53AD9CE171726C7" ma:contentTypeVersion="16" ma:contentTypeDescription="Create a new document." ma:contentTypeScope="" ma:versionID="49951f572a41aa882f04e9f42578a926">
  <xsd:schema xmlns:xsd="http://www.w3.org/2001/XMLSchema" xmlns:xs="http://www.w3.org/2001/XMLSchema" xmlns:p="http://schemas.microsoft.com/office/2006/metadata/properties" xmlns:ns2="7b742faf-fdf8-4591-b699-ecf8e70a4961" xmlns:ns3="eafaa6b1-975f-439f-868f-fccf4e9d887f" targetNamespace="http://schemas.microsoft.com/office/2006/metadata/properties" ma:root="true" ma:fieldsID="94df4027eaf4d90bb8314d13bfdb5452" ns2:_="" ns3:_="">
    <xsd:import namespace="7b742faf-fdf8-4591-b699-ecf8e70a4961"/>
    <xsd:import namespace="eafaa6b1-975f-439f-868f-fccf4e9d887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SearchProperties" minOccurs="0"/>
                <xsd:element ref="ns2:Commentair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742faf-fdf8-4591-b699-ecf8e70a49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eb2eb45c-587e-4e45-8178-5ab3ff3b751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ommentaire" ma:index="23" nillable="true" ma:displayName="Commentaire" ma:description="Description du contenu du dossier" ma:format="Dropdown" ma:internalName="Commentair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faa6b1-975f-439f-868f-fccf4e9d887f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8272ff4b-5daf-46ba-90d8-cf5c9fcfa8f5}" ma:internalName="TaxCatchAll" ma:showField="CatchAllData" ma:web="eafaa6b1-975f-439f-868f-fccf4e9d887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b742faf-fdf8-4591-b699-ecf8e70a4961">
      <Terms xmlns="http://schemas.microsoft.com/office/infopath/2007/PartnerControls"/>
    </lcf76f155ced4ddcb4097134ff3c332f>
    <TaxCatchAll xmlns="eafaa6b1-975f-439f-868f-fccf4e9d887f" xsi:nil="true"/>
    <Commentaire xmlns="7b742faf-fdf8-4591-b699-ecf8e70a4961" xsi:nil="true"/>
  </documentManagement>
</p:properties>
</file>

<file path=customXml/itemProps1.xml><?xml version="1.0" encoding="utf-8"?>
<ds:datastoreItem xmlns:ds="http://schemas.openxmlformats.org/officeDocument/2006/customXml" ds:itemID="{9E0386D0-DDDC-40D1-A3B3-A75065CAB10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BFD02EC-A356-4339-B4D0-D83A2F3117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742faf-fdf8-4591-b699-ecf8e70a4961"/>
    <ds:schemaRef ds:uri="eafaa6b1-975f-439f-868f-fccf4e9d88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B9360AE-2DF9-4A91-8AD6-7D879C061761}">
  <ds:schemaRefs>
    <ds:schemaRef ds:uri="http://schemas.microsoft.com/office/2006/metadata/properties"/>
    <ds:schemaRef ds:uri="http://schemas.microsoft.com/office/infopath/2007/PartnerControls"/>
    <ds:schemaRef ds:uri="7b742faf-fdf8-4591-b699-ecf8e70a4961"/>
    <ds:schemaRef ds:uri="eafaa6b1-975f-439f-868f-fccf4e9d887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Manager/>
  <Company>CNPF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OCCI_OG</dc:creator>
  <cp:keywords/>
  <dc:description/>
  <cp:lastModifiedBy>Lucas Fontaine</cp:lastModifiedBy>
  <cp:revision/>
  <dcterms:created xsi:type="dcterms:W3CDTF">2021-02-01T08:22:39Z</dcterms:created>
  <dcterms:modified xsi:type="dcterms:W3CDTF">2024-06-24T10:00:07Z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0x010100B17917BD1DD3FD43A53AD9CE171726C7</vt:lpwstr>
  </property>
</Properties>
</file>