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Aurélien MALIGE/Dossier LBC/"/>
    </mc:Choice>
  </mc:AlternateContent>
  <xr:revisionPtr revIDLastSave="96" documentId="8_{E882605D-F665-4C89-9ED8-E2F52CD24418}" xr6:coauthVersionLast="47" xr6:coauthVersionMax="47" xr10:uidLastSave="{87443E2D-C56C-4387-953F-B15A7137BBC1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<sst xmlns="http://schemas.openxmlformats.org/spreadsheetml/2006/main" count="1170" uniqueCount="324">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</sst>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1.557347294979565</c:v>
                </c:pt>
                <c:pt idx="2">
                  <c:v>1.9279956386709596</c:v>
                </c:pt>
                <c:pt idx="3">
                  <c:v>2.3872063202401321</c:v>
                </c:pt>
                <c:pt idx="4">
                  <c:v>2.956219054030786</c:v>
                </c:pt>
                <c:pt idx="5">
                  <c:v>3.6613851605982912</c:v>
                </c:pt>
                <c:pt idx="6">
                  <c:v>4.5354017186132491</c:v>
                </c:pt>
                <c:pt idx="7">
                  <c:v>5.6188445816486796</c:v>
                </c:pt>
                <c:pt idx="8">
                  <c:v>6.9620728319789764</c:v>
                </c:pt>
                <c:pt idx="9">
                  <c:v>8.6275949099959099</c:v>
                </c:pt>
                <c:pt idx="10">
                  <c:v>10.693008634705352</c:v>
                </c:pt>
                <c:pt idx="11">
                  <c:v>13.254654671843122</c:v>
                </c:pt>
                <c:pt idx="12">
                  <c:v>16.432157023400681</c:v>
                </c:pt>
                <c:pt idx="13">
                  <c:v>20.374066439198891</c:v>
                </c:pt>
                <c:pt idx="14">
                  <c:v>25.264875321356385</c:v>
                </c:pt>
                <c:pt idx="15">
                  <c:v>31.33373823846205</c:v>
                </c:pt>
                <c:pt idx="16">
                  <c:v>38.865313741441959</c:v>
                </c:pt>
                <c:pt idx="17">
                  <c:v>48.213244704594594</c:v>
                </c:pt>
                <c:pt idx="18">
                  <c:v>59.816920793827343</c:v>
                </c:pt>
                <c:pt idx="19">
                  <c:v>74.22232398105983</c:v>
                </c:pt>
                <c:pt idx="20">
                  <c:v>92.107953865993707</c:v>
                </c:pt>
                <c:pt idx="21">
                  <c:v>114.31707338429015</c:v>
                </c:pt>
                <c:pt idx="22">
                  <c:v>141.89781904660879</c:v>
                </c:pt>
                <c:pt idx="23">
                  <c:v>176.15309783069145</c:v>
                </c:pt>
                <c:pt idx="24">
                  <c:v>218.70266350803945</c:v>
                </c:pt>
                <c:pt idx="25">
                  <c:v>271.56035128876016</c:v>
                </c:pt>
                <c:pt idx="26">
                  <c:v>225.52091702047929</c:v>
                </c:pt>
                <c:pt idx="27">
                  <c:v>249.03836881934498</c:v>
                </c:pt>
                <c:pt idx="28">
                  <c:v>272.50543872588077</c:v>
                </c:pt>
                <c:pt idx="29">
                  <c:v>295.92707384304424</c:v>
                </c:pt>
                <c:pt idx="30">
                  <c:v>319.30737396752465</c:v>
                </c:pt>
                <c:pt idx="31">
                  <c:v>248.75188515995148</c:v>
                </c:pt>
                <c:pt idx="32">
                  <c:v>271.09175109948336</c:v>
                </c:pt>
                <c:pt idx="33">
                  <c:v>293.39020785421491</c:v>
                </c:pt>
                <c:pt idx="34">
                  <c:v>315.65084376789031</c:v>
                </c:pt>
                <c:pt idx="35">
                  <c:v>337.87669971821106</c:v>
                </c:pt>
                <c:pt idx="36">
                  <c:v>360.07038391977659</c:v>
                </c:pt>
                <c:pt idx="37">
                  <c:v>293.14442301082295</c:v>
                </c:pt>
                <c:pt idx="38">
                  <c:v>314.07555615334945</c:v>
                </c:pt>
                <c:pt idx="39">
                  <c:v>334.97577072128598</c:v>
                </c:pt>
                <c:pt idx="40">
                  <c:v>355.84726616592843</c:v>
                </c:pt>
                <c:pt idx="41">
                  <c:v>376.69196293834995</c:v>
                </c:pt>
                <c:pt idx="42">
                  <c:v>397.51155168067754</c:v>
                </c:pt>
                <c:pt idx="43">
                  <c:v>336.66607016676141</c:v>
                </c:pt>
                <c:pt idx="44">
                  <c:v>356.07357931478197</c:v>
                </c:pt>
                <c:pt idx="45">
                  <c:v>375.45793365393951</c:v>
                </c:pt>
                <c:pt idx="46">
                  <c:v>394.82049624422615</c:v>
                </c:pt>
                <c:pt idx="47">
                  <c:v>414.16248559469642</c:v>
                </c:pt>
                <c:pt idx="48">
                  <c:v>433.48499716668175</c:v>
                </c:pt>
                <c:pt idx="49">
                  <c:v>362.93517122307065</c:v>
                </c:pt>
                <c:pt idx="50">
                  <c:v>380.41323185353514</c:v>
                </c:pt>
                <c:pt idx="51">
                  <c:v>397.8738294241457</c:v>
                </c:pt>
                <c:pt idx="52">
                  <c:v>415.31783787814931</c:v>
                </c:pt>
                <c:pt idx="53">
                  <c:v>432.74605177990497</c:v>
                </c:pt>
                <c:pt idx="54">
                  <c:v>450.15919649723497</c:v>
                </c:pt>
                <c:pt idx="55">
                  <c:v>467.5579367263137</c:v>
                </c:pt>
                <c:pt idx="56">
                  <c:v>397.70281721868969</c:v>
                </c:pt>
                <c:pt idx="57">
                  <c:v>413.34730872929498</c:v>
                </c:pt>
                <c:pt idx="58">
                  <c:v>428.97902939615483</c:v>
                </c:pt>
                <c:pt idx="59">
                  <c:v>444.59850998338266</c:v>
                </c:pt>
                <c:pt idx="60">
                  <c:v>460.20624093000612</c:v>
                </c:pt>
                <c:pt idx="61">
                  <c:v>475.80267670577973</c:v>
                </c:pt>
                <c:pt idx="62">
                  <c:v>491.38823956622952</c:v>
                </c:pt>
                <c:pt idx="63">
                  <c:v>401.25436983120085</c:v>
                </c:pt>
                <c:pt idx="64">
                  <c:v>414.7400767430845</c:v>
                </c:pt>
                <c:pt idx="65">
                  <c:v>428.21632879502982</c:v>
                </c:pt>
                <c:pt idx="66">
                  <c:v>441.68346543538541</c:v>
                </c:pt>
                <c:pt idx="67">
                  <c:v>455.14180372580881</c:v>
                </c:pt>
                <c:pt idx="68">
                  <c:v>468.59164044987955</c:v>
                </c:pt>
                <c:pt idx="69">
                  <c:v>482.03325396703349</c:v>
                </c:pt>
                <c:pt idx="70">
                  <c:v>398.12584450920184</c:v>
                </c:pt>
                <c:pt idx="71">
                  <c:v>409.72271359205246</c:v>
                </c:pt>
                <c:pt idx="72">
                  <c:v>421.31249636554816</c:v>
                </c:pt>
                <c:pt idx="73">
                  <c:v>432.89541526547646</c:v>
                </c:pt>
                <c:pt idx="74">
                  <c:v>444.47167985178152</c:v>
                </c:pt>
                <c:pt idx="75">
                  <c:v>456.04148787695766</c:v>
                </c:pt>
                <c:pt idx="76">
                  <c:v>467.60502624037053</c:v>
                </c:pt>
                <c:pt idx="77">
                  <c:v>479.16247184326198</c:v>
                </c:pt>
                <c:pt idx="78">
                  <c:v>5.6057193314796512E-12</c:v>
                </c:pt>
                <c:pt idx="79">
                  <c:v>5.6057193314796512E-12</c:v>
                </c:pt>
                <c:pt idx="80">
                  <c:v>5.6057193314796512E-12</c:v>
                </c:pt>
                <c:pt idx="81">
                  <c:v>5.6057193314796512E-12</c:v>
                </c:pt>
                <c:pt idx="82">
                  <c:v>5.6057193314796512E-12</c:v>
                </c:pt>
                <c:pt idx="83">
                  <c:v>5.6057193314796512E-12</c:v>
                </c:pt>
                <c:pt idx="84">
                  <c:v>5.6057193314796512E-12</c:v>
                </c:pt>
                <c:pt idx="85">
                  <c:v>5.6057193314796512E-12</c:v>
                </c:pt>
                <c:pt idx="86">
                  <c:v>5.6057193314796512E-12</c:v>
                </c:pt>
                <c:pt idx="87">
                  <c:v>5.6057193314796512E-12</c:v>
                </c:pt>
                <c:pt idx="88">
                  <c:v>5.6057193314796512E-12</c:v>
                </c:pt>
                <c:pt idx="89">
                  <c:v>5.6057193314796512E-12</c:v>
                </c:pt>
                <c:pt idx="90">
                  <c:v>5.6057193314796512E-12</c:v>
                </c:pt>
                <c:pt idx="91">
                  <c:v>5.6057193314796512E-12</c:v>
                </c:pt>
                <c:pt idx="92">
                  <c:v>5.6057193314796512E-12</c:v>
                </c:pt>
                <c:pt idx="93">
                  <c:v>5.6057193314796512E-12</c:v>
                </c:pt>
                <c:pt idx="94">
                  <c:v>5.6057193314796512E-12</c:v>
                </c:pt>
                <c:pt idx="95">
                  <c:v>5.6057193314796512E-12</c:v>
                </c:pt>
                <c:pt idx="96">
                  <c:v>5.6057193314796512E-12</c:v>
                </c:pt>
                <c:pt idx="97">
                  <c:v>5.6057193314796512E-12</c:v>
                </c:pt>
                <c:pt idx="98">
                  <c:v>5.6057193314796512E-12</c:v>
                </c:pt>
                <c:pt idx="99">
                  <c:v>5.6057193314796512E-12</c:v>
                </c:pt>
                <c:pt idx="100">
                  <c:v>5.6057193314796512E-12</c:v>
                </c:pt>
                <c:pt idx="101">
                  <c:v>5.6057193314796512E-12</c:v>
                </c:pt>
                <c:pt idx="102">
                  <c:v>5.6057193314796512E-12</c:v>
                </c:pt>
                <c:pt idx="103">
                  <c:v>5.6057193314796512E-12</c:v>
                </c:pt>
                <c:pt idx="104">
                  <c:v>5.6057193314796512E-12</c:v>
                </c:pt>
                <c:pt idx="105">
                  <c:v>5.6057193314796512E-12</c:v>
                </c:pt>
                <c:pt idx="106">
                  <c:v>5.6057193314796512E-12</c:v>
                </c:pt>
                <c:pt idx="107">
                  <c:v>5.6057193314796512E-12</c:v>
                </c:pt>
                <c:pt idx="108">
                  <c:v>5.6057193314796512E-12</c:v>
                </c:pt>
                <c:pt idx="109">
                  <c:v>5.6057193314796512E-12</c:v>
                </c:pt>
                <c:pt idx="110">
                  <c:v>5.6057193314796512E-12</c:v>
                </c:pt>
                <c:pt idx="111">
                  <c:v>5.6057193314796512E-12</c:v>
                </c:pt>
                <c:pt idx="112">
                  <c:v>5.6057193314796512E-12</c:v>
                </c:pt>
                <c:pt idx="113">
                  <c:v>5.6057193314796512E-12</c:v>
                </c:pt>
                <c:pt idx="114">
                  <c:v>5.6057193314796512E-12</c:v>
                </c:pt>
                <c:pt idx="115">
                  <c:v>5.6057193314796512E-12</c:v>
                </c:pt>
                <c:pt idx="116">
                  <c:v>5.6057193314796512E-12</c:v>
                </c:pt>
                <c:pt idx="117">
                  <c:v>5.6057193314796512E-12</c:v>
                </c:pt>
                <c:pt idx="118">
                  <c:v>5.6057193314796512E-12</c:v>
                </c:pt>
                <c:pt idx="119">
                  <c:v>5.6057193314796512E-12</c:v>
                </c:pt>
                <c:pt idx="120">
                  <c:v>5.6057193314796512E-12</c:v>
                </c:pt>
                <c:pt idx="121">
                  <c:v>5.6057193314796512E-12</c:v>
                </c:pt>
                <c:pt idx="122">
                  <c:v>5.6057193314796512E-12</c:v>
                </c:pt>
                <c:pt idx="123">
                  <c:v>5.6057193314796512E-12</c:v>
                </c:pt>
                <c:pt idx="124">
                  <c:v>5.6057193314796512E-12</c:v>
                </c:pt>
                <c:pt idx="125">
                  <c:v>5.6057193314796512E-12</c:v>
                </c:pt>
                <c:pt idx="126">
                  <c:v>5.6057193314796512E-12</c:v>
                </c:pt>
                <c:pt idx="127">
                  <c:v>5.6057193314796512E-12</c:v>
                </c:pt>
                <c:pt idx="128">
                  <c:v>5.6057193314796512E-12</c:v>
                </c:pt>
                <c:pt idx="129">
                  <c:v>5.6057193314796512E-12</c:v>
                </c:pt>
                <c:pt idx="130">
                  <c:v>5.6057193314796512E-12</c:v>
                </c:pt>
                <c:pt idx="131">
                  <c:v>5.6057193314796512E-12</c:v>
                </c:pt>
                <c:pt idx="132">
                  <c:v>5.6057193314796512E-12</c:v>
                </c:pt>
                <c:pt idx="133">
                  <c:v>5.6057193314796512E-12</c:v>
                </c:pt>
                <c:pt idx="134">
                  <c:v>5.6057193314796512E-12</c:v>
                </c:pt>
                <c:pt idx="135">
                  <c:v>5.6057193314796512E-12</c:v>
                </c:pt>
                <c:pt idx="136">
                  <c:v>5.6057193314796512E-12</c:v>
                </c:pt>
                <c:pt idx="137">
                  <c:v>5.6057193314796512E-12</c:v>
                </c:pt>
                <c:pt idx="138">
                  <c:v>5.6057193314796512E-12</c:v>
                </c:pt>
                <c:pt idx="139">
                  <c:v>5.6057193314796512E-12</c:v>
                </c:pt>
                <c:pt idx="140">
                  <c:v>5.6057193314796512E-12</c:v>
                </c:pt>
                <c:pt idx="141">
                  <c:v>5.6057193314796512E-12</c:v>
                </c:pt>
                <c:pt idx="142">
                  <c:v>5.6057193314796512E-12</c:v>
                </c:pt>
                <c:pt idx="143">
                  <c:v>5.6057193314796512E-12</c:v>
                </c:pt>
                <c:pt idx="144">
                  <c:v>5.6057193314796512E-12</c:v>
                </c:pt>
                <c:pt idx="145">
                  <c:v>5.6057193314796512E-12</c:v>
                </c:pt>
                <c:pt idx="146">
                  <c:v>5.6057193314796512E-12</c:v>
                </c:pt>
                <c:pt idx="147">
                  <c:v>5.6057193314796512E-12</c:v>
                </c:pt>
                <c:pt idx="148">
                  <c:v>5.6057193314796512E-12</c:v>
                </c:pt>
                <c:pt idx="149">
                  <c:v>5.6057193314796512E-12</c:v>
                </c:pt>
                <c:pt idx="150">
                  <c:v>5.6057193314796512E-12</c:v>
                </c:pt>
                <c:pt idx="151">
                  <c:v>5.6057193314796512E-12</c:v>
                </c:pt>
                <c:pt idx="152">
                  <c:v>5.6057193314796512E-12</c:v>
                </c:pt>
                <c:pt idx="153">
                  <c:v>5.6057193314796512E-12</c:v>
                </c:pt>
                <c:pt idx="154">
                  <c:v>5.6057193314796512E-12</c:v>
                </c:pt>
                <c:pt idx="155">
                  <c:v>5.6057193314796512E-12</c:v>
                </c:pt>
                <c:pt idx="156">
                  <c:v>5.6057193314796512E-12</c:v>
                </c:pt>
                <c:pt idx="157">
                  <c:v>5.6057193314796512E-12</c:v>
                </c:pt>
                <c:pt idx="158">
                  <c:v>5.6057193314796512E-12</c:v>
                </c:pt>
                <c:pt idx="159">
                  <c:v>5.6057193314796512E-12</c:v>
                </c:pt>
                <c:pt idx="160">
                  <c:v>5.6057193314796512E-12</c:v>
                </c:pt>
                <c:pt idx="161">
                  <c:v>5.6057193314796512E-12</c:v>
                </c:pt>
                <c:pt idx="162">
                  <c:v>5.6057193314796512E-12</c:v>
                </c:pt>
                <c:pt idx="163">
                  <c:v>5.6057193314796512E-12</c:v>
                </c:pt>
                <c:pt idx="164">
                  <c:v>5.6057193314796512E-12</c:v>
                </c:pt>
                <c:pt idx="165">
                  <c:v>5.6057193314796512E-12</c:v>
                </c:pt>
                <c:pt idx="166">
                  <c:v>5.6057193314796512E-12</c:v>
                </c:pt>
                <c:pt idx="167">
                  <c:v>5.6057193314796512E-12</c:v>
                </c:pt>
                <c:pt idx="168">
                  <c:v>5.6057193314796512E-12</c:v>
                </c:pt>
                <c:pt idx="169">
                  <c:v>5.6057193314796512E-12</c:v>
                </c:pt>
                <c:pt idx="170">
                  <c:v>5.6057193314796512E-12</c:v>
                </c:pt>
                <c:pt idx="171">
                  <c:v>5.6057193314796512E-12</c:v>
                </c:pt>
                <c:pt idx="172">
                  <c:v>5.6057193314796512E-12</c:v>
                </c:pt>
                <c:pt idx="173">
                  <c:v>5.6057193314796512E-12</c:v>
                </c:pt>
                <c:pt idx="174">
                  <c:v>5.6057193314796512E-12</c:v>
                </c:pt>
                <c:pt idx="175">
                  <c:v>5.6057193314796512E-12</c:v>
                </c:pt>
                <c:pt idx="176">
                  <c:v>5.6057193314796512E-12</c:v>
                </c:pt>
                <c:pt idx="177">
                  <c:v>5.6057193314796512E-12</c:v>
                </c:pt>
                <c:pt idx="178">
                  <c:v>5.6057193314796512E-12</c:v>
                </c:pt>
                <c:pt idx="179">
                  <c:v>5.6057193314796512E-12</c:v>
                </c:pt>
                <c:pt idx="180">
                  <c:v>5.6057193314796512E-12</c:v>
                </c:pt>
                <c:pt idx="181">
                  <c:v>5.6057193314796512E-12</c:v>
                </c:pt>
                <c:pt idx="182">
                  <c:v>5.6057193314796512E-12</c:v>
                </c:pt>
                <c:pt idx="183">
                  <c:v>5.6057193314796512E-12</c:v>
                </c:pt>
                <c:pt idx="184">
                  <c:v>5.6057193314796512E-12</c:v>
                </c:pt>
                <c:pt idx="185">
                  <c:v>5.6057193314796512E-12</c:v>
                </c:pt>
                <c:pt idx="186">
                  <c:v>5.6057193314796512E-12</c:v>
                </c:pt>
                <c:pt idx="187">
                  <c:v>5.6057193314796512E-12</c:v>
                </c:pt>
                <c:pt idx="188">
                  <c:v>5.6057193314796512E-12</c:v>
                </c:pt>
                <c:pt idx="189">
                  <c:v>5.6057193314796512E-12</c:v>
                </c:pt>
                <c:pt idx="190">
                  <c:v>5.6057193314796512E-12</c:v>
                </c:pt>
                <c:pt idx="191">
                  <c:v>5.6057193314796512E-12</c:v>
                </c:pt>
                <c:pt idx="192">
                  <c:v>5.6057193314796512E-12</c:v>
                </c:pt>
                <c:pt idx="193">
                  <c:v>5.6057193314796512E-12</c:v>
                </c:pt>
                <c:pt idx="194">
                  <c:v>5.6057193314796512E-12</c:v>
                </c:pt>
                <c:pt idx="195">
                  <c:v>5.6057193314796512E-12</c:v>
                </c:pt>
                <c:pt idx="196">
                  <c:v>5.6057193314796512E-12</c:v>
                </c:pt>
                <c:pt idx="197">
                  <c:v>5.6057193314796512E-12</c:v>
                </c:pt>
                <c:pt idx="198">
                  <c:v>5.6057193314796512E-12</c:v>
                </c:pt>
                <c:pt idx="199">
                  <c:v>5.6057193314796512E-12</c:v>
                </c:pt>
                <c:pt idx="200">
                  <c:v>5.6057193314796512E-12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Normal="100" workbookViewId="0">
      <selection activeCell="C29" sqref="C29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6" t="s">
        <v>190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231</v>
      </c>
      <c r="B5" s="276"/>
      <c r="C5" s="24">
        <v>15</v>
      </c>
      <c r="D5" s="277" t="s">
        <v>229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18</v>
      </c>
      <c r="C9" s="32">
        <v>0.8</v>
      </c>
      <c r="D9" s="33">
        <f t="shared" ref="D9:D18" si="0">C9*$C$5</f>
        <v>12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19</v>
      </c>
      <c r="C10" s="32">
        <v>0.2</v>
      </c>
      <c r="D10" s="33">
        <f t="shared" si="0"/>
        <v>3</v>
      </c>
      <c r="E10" s="34">
        <v>77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Epicéa commun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25</v>
      </c>
      <c r="B62" s="258">
        <v>256.63846153846151</v>
      </c>
      <c r="C62" s="258">
        <v>1</v>
      </c>
      <c r="D62" s="258">
        <v>67.207692307692312</v>
      </c>
      <c r="E62" s="259">
        <v>0</v>
      </c>
      <c r="F62" s="259">
        <v>0.8</v>
      </c>
      <c r="G62" s="259">
        <v>0.2</v>
      </c>
      <c r="H62" s="259">
        <v>0</v>
      </c>
      <c r="I62" s="53">
        <f>IFERROR(B62/A62,"")</f>
        <v>10.26553846153846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30</v>
      </c>
      <c r="B63" s="258">
        <v>302.96923076923071</v>
      </c>
      <c r="C63" s="258">
        <v>2</v>
      </c>
      <c r="D63" s="258">
        <v>90.015384615384605</v>
      </c>
      <c r="E63" s="259">
        <v>0.3</v>
      </c>
      <c r="F63" s="259">
        <v>0.6</v>
      </c>
      <c r="G63" s="259">
        <v>0.1</v>
      </c>
      <c r="H63" s="259">
        <v>0</v>
      </c>
      <c r="I63" s="49">
        <f>IF(A63&lt;&gt;0,(B63-(B62-D62))/(A63-A62),"")</f>
        <v>22.707692307692298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36</v>
      </c>
      <c r="B64" s="258">
        <v>342.64615384615388</v>
      </c>
      <c r="C64" s="258">
        <v>3</v>
      </c>
      <c r="D64" s="258">
        <v>85.407692307692301</v>
      </c>
      <c r="E64" s="259">
        <v>0.3</v>
      </c>
      <c r="F64" s="259">
        <v>0.6</v>
      </c>
      <c r="G64" s="259">
        <v>0.1</v>
      </c>
      <c r="H64" s="259">
        <v>0</v>
      </c>
      <c r="I64" s="49">
        <f>IF(A64&lt;&gt;0,(B64-(B63-D63))/(A64-A63),"")</f>
        <v>21.615384615384631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42</v>
      </c>
      <c r="B65" s="258">
        <v>379.17692307692306</v>
      </c>
      <c r="C65" s="258">
        <v>4</v>
      </c>
      <c r="D65" s="258">
        <v>78.223076923076917</v>
      </c>
      <c r="E65" s="259">
        <v>0.4</v>
      </c>
      <c r="F65" s="259">
        <v>0.6</v>
      </c>
      <c r="G65" s="259">
        <v>0</v>
      </c>
      <c r="H65" s="259">
        <v>0</v>
      </c>
      <c r="I65" s="49">
        <f>IF(A65&lt;&gt;0,(B65-(B64-D64))/(A65-A64),"")</f>
        <v>20.323076923076911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48</v>
      </c>
      <c r="B66" s="258">
        <v>414.34615384615381</v>
      </c>
      <c r="C66" s="258">
        <v>5</v>
      </c>
      <c r="D66" s="258">
        <v>85.953846153846143</v>
      </c>
      <c r="E66" s="259">
        <v>0.4</v>
      </c>
      <c r="F66" s="259">
        <v>0.6</v>
      </c>
      <c r="G66" s="259">
        <v>0</v>
      </c>
      <c r="H66" s="259">
        <v>0</v>
      </c>
      <c r="I66" s="49">
        <f t="shared" ref="I66:I81" si="2">IF(A66&lt;&gt;0,(B66-(B65-D65))/(A66-A65),"")</f>
        <v>18.898717948717945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55</v>
      </c>
      <c r="B67" s="258">
        <v>447.71538461538455</v>
      </c>
      <c r="C67" s="258">
        <v>6</v>
      </c>
      <c r="D67" s="258">
        <v>83.638461538461542</v>
      </c>
      <c r="E67" s="260">
        <v>0.6</v>
      </c>
      <c r="F67" s="260">
        <v>0.4</v>
      </c>
      <c r="G67" s="260">
        <v>0</v>
      </c>
      <c r="H67" s="260">
        <v>0</v>
      </c>
      <c r="I67" s="49">
        <f t="shared" si="2"/>
        <v>17.046153846153839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62</v>
      </c>
      <c r="B68" s="258">
        <v>471.0846153846154</v>
      </c>
      <c r="C68" s="258">
        <v>7</v>
      </c>
      <c r="D68" s="258">
        <v>101.43076923076924</v>
      </c>
      <c r="E68" s="260">
        <v>0.6</v>
      </c>
      <c r="F68" s="260">
        <v>0.4</v>
      </c>
      <c r="G68" s="260">
        <v>0</v>
      </c>
      <c r="H68" s="260">
        <v>0</v>
      </c>
      <c r="I68" s="49">
        <f t="shared" si="2"/>
        <v>15.286813186813204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69</v>
      </c>
      <c r="B69" s="261">
        <v>461.90769230769229</v>
      </c>
      <c r="C69" s="261">
        <v>8</v>
      </c>
      <c r="D69" s="261">
        <v>93.461538461538453</v>
      </c>
      <c r="E69" s="260">
        <v>0.7</v>
      </c>
      <c r="F69" s="260">
        <v>0.3</v>
      </c>
      <c r="G69" s="260">
        <v>0</v>
      </c>
      <c r="H69" s="260">
        <v>0</v>
      </c>
      <c r="I69" s="49">
        <f t="shared" si="2"/>
        <v>13.179120879120871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77</v>
      </c>
      <c r="B70" s="261">
        <v>459.09230769230771</v>
      </c>
      <c r="C70" s="261">
        <v>9</v>
      </c>
      <c r="D70" s="261">
        <v>459.09230769230771</v>
      </c>
      <c r="E70" s="260">
        <v>0.7</v>
      </c>
      <c r="F70" s="260">
        <v>0.3</v>
      </c>
      <c r="G70" s="260">
        <v>0</v>
      </c>
      <c r="H70" s="260">
        <v>0</v>
      </c>
      <c r="I70" s="49">
        <f t="shared" si="2"/>
        <v>11.330769230769235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/>
      <c r="B88" s="258"/>
      <c r="C88" s="258"/>
      <c r="D88" s="258"/>
      <c r="E88" s="259"/>
      <c r="F88" s="259"/>
      <c r="G88" s="259"/>
      <c r="H88" s="262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/>
      <c r="B89" s="258"/>
      <c r="C89" s="258"/>
      <c r="D89" s="258"/>
      <c r="E89" s="259"/>
      <c r="F89" s="259"/>
      <c r="G89" s="259"/>
      <c r="H89" s="262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/>
      <c r="B90" s="258"/>
      <c r="C90" s="258"/>
      <c r="D90" s="258"/>
      <c r="E90" s="262"/>
      <c r="F90" s="262"/>
      <c r="G90" s="262"/>
      <c r="H90" s="262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/>
      <c r="B91" s="258"/>
      <c r="C91" s="258"/>
      <c r="D91" s="258"/>
      <c r="E91" s="262"/>
      <c r="F91" s="262"/>
      <c r="G91" s="262"/>
      <c r="H91" s="262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/>
      <c r="B92" s="258"/>
      <c r="C92" s="258"/>
      <c r="D92" s="258"/>
      <c r="E92" s="262"/>
      <c r="F92" s="262"/>
      <c r="G92" s="262"/>
      <c r="H92" s="262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/>
      <c r="B93" s="258"/>
      <c r="C93" s="258"/>
      <c r="D93" s="258"/>
      <c r="E93" s="263"/>
      <c r="F93" s="263"/>
      <c r="G93" s="263"/>
      <c r="H93" s="263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/>
      <c r="B94" s="258"/>
      <c r="C94" s="258"/>
      <c r="D94" s="258"/>
      <c r="E94" s="263"/>
      <c r="F94" s="263"/>
      <c r="G94" s="263"/>
      <c r="H94" s="263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/>
      <c r="B114" s="258"/>
      <c r="C114" s="257"/>
      <c r="D114" s="258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/>
      <c r="B115" s="258"/>
      <c r="C115" s="257"/>
      <c r="D115" s="258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/>
      <c r="B116" s="258"/>
      <c r="C116" s="257"/>
      <c r="D116" s="258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/>
      <c r="B117" s="258"/>
      <c r="C117" s="257"/>
      <c r="D117" s="258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/>
      <c r="B118" s="258"/>
      <c r="C118" s="257"/>
      <c r="D118" s="258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/>
      <c r="B119" s="258"/>
      <c r="C119" s="257"/>
      <c r="D119" s="258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/>
      <c r="B120" s="258"/>
      <c r="C120" s="258"/>
      <c r="D120" s="258"/>
      <c r="E120" s="263"/>
      <c r="F120" s="263"/>
      <c r="G120" s="263"/>
      <c r="H120" s="263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/>
      <c r="B121" s="264"/>
      <c r="C121" s="264"/>
      <c r="D121" s="264"/>
      <c r="E121" s="263"/>
      <c r="F121" s="263"/>
      <c r="G121" s="263"/>
      <c r="H121" s="263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/>
      <c r="B122" s="264"/>
      <c r="C122" s="264"/>
      <c r="D122" s="264"/>
      <c r="E122" s="263"/>
      <c r="F122" s="263"/>
      <c r="G122" s="263"/>
      <c r="H122" s="263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Douglas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Epicéa commun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/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278.5296012747549</v>
      </c>
      <c r="T3" s="59">
        <f>IF('Données projet'!E9&gt;30,$R$33-$H$33,LOOKUP('Données projet'!$E$9,$A$3:$A$203,R3:R203)-LOOKUP('Données projet'!$E$9,$A$3:$A$203,$H$3:$H$203))</f>
        <v>370.55343097937077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234.10156575337737</v>
      </c>
      <c r="AO3" s="59">
        <f>IF('Données projet'!E10&gt;30,$AM$33-$H$33,LOOKUP('Données projet'!$E$10,$A$3:$A$203,AM3:AM203)-LOOKUP('Données projet'!$E$10,$A$3:$A$203,$H$3:$H$203))</f>
        <v>285.68635263076646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278.5296012747549</v>
      </c>
      <c r="T4" s="59">
        <f>$T$3</f>
        <v>370.55343097937077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10.26553846153846</v>
      </c>
      <c r="AI4" s="13">
        <f>IF('Données projet'!$A$62&gt;35,AI3+AH4-AQ3,IF(A4&lt;'Données projet'!$A$62,$AF$205^A4,IF(A4='Données projet'!$A$62,'Données projet'!$B$62,AI3+AH4-AQ3)))</f>
        <v>1.2484549330391677</v>
      </c>
      <c r="AJ4" s="13">
        <f>AI4*VLOOKUP('Données projet'!$B$10,Paramètres!$A$1:$I$89,3,0)*VLOOKUP('Données projet'!$B$10,Paramètres!$A$1:$I$89,5,0)</f>
        <v>0.60050682279183965</v>
      </c>
      <c r="AK4" s="13">
        <f>EXP(-1.0587+0.8836*LN(AJ4)+0.284)</f>
        <v>0.29366387289020734</v>
      </c>
      <c r="AL4" s="20">
        <f t="shared" ref="AL4:AL67" si="4">(AJ4+AK4)*0.475*44/12</f>
        <v>1.557347294979565</v>
      </c>
      <c r="AM4" s="59">
        <f t="shared" ref="AM4:AM67" si="5">AL4+(AD4+AE4)*44/12</f>
        <v>294.89068062831291</v>
      </c>
      <c r="AN4" s="59">
        <f ca="1">AVERAGE(OFFSET($AM$3,0,0,'Données projet'!$E$10+1,1))-AVERAGE(OFFSET($H$3,0,0,'Données projet'!$E$10+1,1))</f>
        <v>234.10156575337737</v>
      </c>
      <c r="AO4" s="59">
        <f>$AO$3</f>
        <v>285.68635263076646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278.5296012747549</v>
      </c>
      <c r="T5" s="59">
        <f t="shared" ref="T5:T68" si="34">$T$3</f>
        <v>370.55343097937077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10.26553846153846</v>
      </c>
      <c r="AI5" s="13">
        <f>IF('Données projet'!$A$62&gt;35,AI4+AH5-AQ4,IF(A5&lt;'Données projet'!$A$62,$AF$205^A5,IF(A5='Données projet'!$A$62,'Données projet'!$B$62,AI4+AH5-AQ4)))</f>
        <v>1.5586397198298325</v>
      </c>
      <c r="AJ5" s="13">
        <f>AI5*VLOOKUP('Données projet'!$B$10,Paramètres!$A$1:$I$89,3,0)*VLOOKUP('Données projet'!$B$10,Paramètres!$A$1:$I$89,5,0)</f>
        <v>0.7497057052381495</v>
      </c>
      <c r="AK5" s="13">
        <f t="shared" ref="AK5:AK68" si="35">EXP(-1.0587+0.8836*LN(AJ5)+0.284)</f>
        <v>0.35727743658249705</v>
      </c>
      <c r="AL5" s="20">
        <f t="shared" si="4"/>
        <v>1.9279956386709596</v>
      </c>
      <c r="AM5" s="59">
        <f t="shared" si="5"/>
        <v>295.26132897200426</v>
      </c>
      <c r="AN5" s="59">
        <f ca="1">AVERAGE(OFFSET($AM$3,0,0,'Données projet'!$E$10+1,1))-AVERAGE(OFFSET($H$3,0,0,'Données projet'!$E$10+1,1))</f>
        <v>234.10156575337737</v>
      </c>
      <c r="AO5" s="59">
        <f t="shared" ref="AO5:AO68" si="36">$AO$3</f>
        <v>285.68635263076646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278.5296012747549</v>
      </c>
      <c r="T6" s="59">
        <f t="shared" si="34"/>
        <v>370.55343097937077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10.26553846153846</v>
      </c>
      <c r="AI6" s="13">
        <f>IF('Données projet'!$A$62&gt;35,AI5+AH6-AQ5,IF(A6&lt;'Données projet'!$A$62,$AF$205^A6,IF(A6='Données projet'!$A$62,'Données projet'!$B$62,AI5+AH6-AQ5)))</f>
        <v>1.9458914470523405</v>
      </c>
      <c r="AJ6" s="13">
        <f>AI6*VLOOKUP('Données projet'!$B$10,Paramètres!$A$1:$I$89,3,0)*VLOOKUP('Données projet'!$B$10,Paramètres!$A$1:$I$89,5,0)</f>
        <v>0.93597378603217574</v>
      </c>
      <c r="AK6" s="13">
        <f t="shared" si="35"/>
        <v>0.43467099113919222</v>
      </c>
      <c r="AL6" s="20">
        <f t="shared" si="4"/>
        <v>2.3872063202401321</v>
      </c>
      <c r="AM6" s="59">
        <f t="shared" si="5"/>
        <v>295.72053965357344</v>
      </c>
      <c r="AN6" s="59">
        <f ca="1">AVERAGE(OFFSET($AM$3,0,0,'Données projet'!$E$10+1,1))-AVERAGE(OFFSET($H$3,0,0,'Données projet'!$E$10+1,1))</f>
        <v>234.10156575337737</v>
      </c>
      <c r="AO6" s="59">
        <f t="shared" si="36"/>
        <v>285.68635263076646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278.5296012747549</v>
      </c>
      <c r="T7" s="59">
        <f t="shared" si="34"/>
        <v>370.55343097937077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10.26553846153846</v>
      </c>
      <c r="AI7" s="13">
        <f>IF('Données projet'!$A$62&gt;35,AI6+AH7-AQ6,IF(A7&lt;'Données projet'!$A$62,$AF$205^A7,IF(A7='Données projet'!$A$62,'Données projet'!$B$62,AI6+AH7-AQ6)))</f>
        <v>2.4293577762312188</v>
      </c>
      <c r="AJ7" s="13">
        <f>AI7*VLOOKUP('Données projet'!$B$10,Paramètres!$A$1:$I$89,3,0)*VLOOKUP('Données projet'!$B$10,Paramètres!$A$1:$I$89,5,0)</f>
        <v>1.1685210903672163</v>
      </c>
      <c r="AK7" s="13">
        <f t="shared" si="35"/>
        <v>0.52882956266481407</v>
      </c>
      <c r="AL7" s="20">
        <f t="shared" si="4"/>
        <v>2.956219054030786</v>
      </c>
      <c r="AM7" s="59">
        <f t="shared" si="5"/>
        <v>296.2895523873641</v>
      </c>
      <c r="AN7" s="59">
        <f ca="1">AVERAGE(OFFSET($AM$3,0,0,'Données projet'!$E$10+1,1))-AVERAGE(OFFSET($H$3,0,0,'Données projet'!$E$10+1,1))</f>
        <v>234.10156575337737</v>
      </c>
      <c r="AO7" s="59">
        <f t="shared" si="36"/>
        <v>285.68635263076646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278.5296012747549</v>
      </c>
      <c r="T8" s="59">
        <f t="shared" si="34"/>
        <v>370.55343097937077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10.26553846153846</v>
      </c>
      <c r="AI8" s="13">
        <f>IF('Données projet'!$A$62&gt;35,AI7+AH8-AQ7,IF(A8&lt;'Données projet'!$A$62,$AF$205^A8,IF(A8='Données projet'!$A$62,'Données projet'!$B$62,AI7+AH8-AQ7)))</f>
        <v>3.0329436998529276</v>
      </c>
      <c r="AJ8" s="13">
        <f>AI8*VLOOKUP('Données projet'!$B$10,Paramètres!$A$1:$I$89,3,0)*VLOOKUP('Données projet'!$B$10,Paramètres!$A$1:$I$89,5,0)</f>
        <v>1.4588459196292582</v>
      </c>
      <c r="AK8" s="13">
        <f t="shared" si="35"/>
        <v>0.64338479458985642</v>
      </c>
      <c r="AL8" s="20">
        <f t="shared" si="4"/>
        <v>3.6613851605982912</v>
      </c>
      <c r="AM8" s="59">
        <f t="shared" si="5"/>
        <v>296.9947184939316</v>
      </c>
      <c r="AN8" s="59">
        <f ca="1">AVERAGE(OFFSET($AM$3,0,0,'Données projet'!$E$10+1,1))-AVERAGE(OFFSET($H$3,0,0,'Données projet'!$E$10+1,1))</f>
        <v>234.10156575337737</v>
      </c>
      <c r="AO8" s="59">
        <f t="shared" si="36"/>
        <v>285.68635263076646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278.5296012747549</v>
      </c>
      <c r="T9" s="59">
        <f t="shared" si="34"/>
        <v>370.55343097937077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10.26553846153846</v>
      </c>
      <c r="AI9" s="13">
        <f>IF('Données projet'!$A$62&gt;35,AI8+AH9-AQ8,IF(A9&lt;'Données projet'!$A$62,$AF$205^A9,IF(A9='Données projet'!$A$62,'Données projet'!$B$62,AI8+AH9-AQ8)))</f>
        <v>3.7864935237114521</v>
      </c>
      <c r="AJ9" s="13">
        <f>AI9*VLOOKUP('Données projet'!$B$10,Paramètres!$A$1:$I$89,3,0)*VLOOKUP('Données projet'!$B$10,Paramètres!$A$1:$I$89,5,0)</f>
        <v>1.8213033849052085</v>
      </c>
      <c r="AK9" s="13">
        <f t="shared" si="35"/>
        <v>0.78275501812632242</v>
      </c>
      <c r="AL9" s="20">
        <f t="shared" si="4"/>
        <v>4.5354017186132491</v>
      </c>
      <c r="AM9" s="59">
        <f t="shared" si="5"/>
        <v>297.86873505194654</v>
      </c>
      <c r="AN9" s="59">
        <f ca="1">AVERAGE(OFFSET($AM$3,0,0,'Données projet'!$E$10+1,1))-AVERAGE(OFFSET($H$3,0,0,'Données projet'!$E$10+1,1))</f>
        <v>234.10156575337737</v>
      </c>
      <c r="AO9" s="59">
        <f t="shared" si="36"/>
        <v>285.68635263076646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278.5296012747549</v>
      </c>
      <c r="T10" s="59">
        <f t="shared" si="34"/>
        <v>370.55343097937077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10.26553846153846</v>
      </c>
      <c r="AI10" s="13">
        <f>IF('Données projet'!$A$62&gt;35,AI9+AH10-AQ9,IF(A10&lt;'Données projet'!$A$62,$AF$205^A10,IF(A10='Données projet'!$A$62,'Données projet'!$B$62,AI9+AH10-AQ9)))</f>
        <v>4.7272665185984222</v>
      </c>
      <c r="AJ10" s="13">
        <f>AI10*VLOOKUP('Données projet'!$B$10,Paramètres!$A$1:$I$89,3,0)*VLOOKUP('Données projet'!$B$10,Paramètres!$A$1:$I$89,5,0)</f>
        <v>2.2738151954458412</v>
      </c>
      <c r="AK10" s="13">
        <f t="shared" si="35"/>
        <v>0.95231566483091268</v>
      </c>
      <c r="AL10" s="20">
        <f t="shared" si="4"/>
        <v>5.6188445816486796</v>
      </c>
      <c r="AM10" s="59">
        <f t="shared" si="5"/>
        <v>298.95217791498197</v>
      </c>
      <c r="AN10" s="59">
        <f ca="1">AVERAGE(OFFSET($AM$3,0,0,'Données projet'!$E$10+1,1))-AVERAGE(OFFSET($H$3,0,0,'Données projet'!$E$10+1,1))</f>
        <v>234.10156575337737</v>
      </c>
      <c r="AO10" s="59">
        <f t="shared" si="36"/>
        <v>285.68635263076646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278.5296012747549</v>
      </c>
      <c r="T11" s="59">
        <f t="shared" si="34"/>
        <v>370.55343097937077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10.26553846153846</v>
      </c>
      <c r="AI11" s="13">
        <f>IF('Données projet'!$A$62&gt;35,AI10+AH11-AQ10,IF(A11&lt;'Données projet'!$A$62,$AF$205^A11,IF(A11='Données projet'!$A$62,'Données projet'!$B$62,AI10+AH11-AQ10)))</f>
        <v>5.9017792049350923</v>
      </c>
      <c r="AJ11" s="13">
        <f>AI11*VLOOKUP('Données projet'!$B$10,Paramètres!$A$1:$I$89,3,0)*VLOOKUP('Données projet'!$B$10,Paramètres!$A$1:$I$89,5,0)</f>
        <v>2.8387557975737794</v>
      </c>
      <c r="AK11" s="13">
        <f t="shared" si="35"/>
        <v>1.158606593993097</v>
      </c>
      <c r="AL11" s="20">
        <f t="shared" si="4"/>
        <v>6.9620728319789764</v>
      </c>
      <c r="AM11" s="59">
        <f t="shared" si="5"/>
        <v>300.29540616531227</v>
      </c>
      <c r="AN11" s="59">
        <f ca="1">AVERAGE(OFFSET($AM$3,0,0,'Données projet'!$E$10+1,1))-AVERAGE(OFFSET($H$3,0,0,'Données projet'!$E$10+1,1))</f>
        <v>234.10156575337737</v>
      </c>
      <c r="AO11" s="59">
        <f t="shared" si="36"/>
        <v>285.68635263076646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278.5296012747549</v>
      </c>
      <c r="T12" s="59">
        <f t="shared" si="34"/>
        <v>370.55343097937077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10.26553846153846</v>
      </c>
      <c r="AI12" s="13">
        <f>IF('Données projet'!$A$62&gt;35,AI11+AH12-AQ11,IF(A12&lt;'Données projet'!$A$62,$AF$205^A12,IF(A12='Données projet'!$A$62,'Données projet'!$B$62,AI11+AH12-AQ11)))</f>
        <v>7.3681053621091932</v>
      </c>
      <c r="AJ12" s="13">
        <f>AI12*VLOOKUP('Données projet'!$B$10,Paramètres!$A$1:$I$89,3,0)*VLOOKUP('Données projet'!$B$10,Paramètres!$A$1:$I$89,5,0)</f>
        <v>3.5440586791745217</v>
      </c>
      <c r="AK12" s="13">
        <f t="shared" si="35"/>
        <v>1.4095843313494461</v>
      </c>
      <c r="AL12" s="20">
        <f t="shared" si="4"/>
        <v>8.6275949099959099</v>
      </c>
      <c r="AM12" s="59">
        <f t="shared" si="5"/>
        <v>301.96092824332925</v>
      </c>
      <c r="AN12" s="59">
        <f ca="1">AVERAGE(OFFSET($AM$3,0,0,'Données projet'!$E$10+1,1))-AVERAGE(OFFSET($H$3,0,0,'Données projet'!$E$10+1,1))</f>
        <v>234.10156575337737</v>
      </c>
      <c r="AO12" s="59">
        <f t="shared" si="36"/>
        <v>285.68635263076646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278.5296012747549</v>
      </c>
      <c r="T13" s="59">
        <f t="shared" si="34"/>
        <v>370.55343097937077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10.26553846153846</v>
      </c>
      <c r="AI13" s="13">
        <f>IF('Données projet'!$A$62&gt;35,AI12+AH13-AQ12,IF(A13&lt;'Données projet'!$A$62,$AF$205^A13,IF(A13='Données projet'!$A$62,'Données projet'!$B$62,AI12+AH13-AQ12)))</f>
        <v>9.1987474864775631</v>
      </c>
      <c r="AJ13" s="13">
        <f>AI13*VLOOKUP('Données projet'!$B$10,Paramètres!$A$1:$I$89,3,0)*VLOOKUP('Données projet'!$B$10,Paramètres!$A$1:$I$89,5,0)</f>
        <v>4.4245975409957081</v>
      </c>
      <c r="AK13" s="13">
        <f t="shared" si="35"/>
        <v>1.7149289478303307</v>
      </c>
      <c r="AL13" s="20">
        <f t="shared" si="4"/>
        <v>10.693008634705352</v>
      </c>
      <c r="AM13" s="59">
        <f t="shared" si="5"/>
        <v>304.02634196803865</v>
      </c>
      <c r="AN13" s="59">
        <f ca="1">AVERAGE(OFFSET($AM$3,0,0,'Données projet'!$E$10+1,1))-AVERAGE(OFFSET($H$3,0,0,'Données projet'!$E$10+1,1))</f>
        <v>234.10156575337737</v>
      </c>
      <c r="AO13" s="59">
        <f t="shared" si="36"/>
        <v>285.68635263076646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278.5296012747549</v>
      </c>
      <c r="T14" s="59">
        <f t="shared" si="34"/>
        <v>370.55343097937077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10.26553846153846</v>
      </c>
      <c r="AI14" s="13">
        <f>IF('Données projet'!$A$62&gt;35,AI13+AH14-AQ13,IF(A14&lt;'Données projet'!$A$62,$AF$205^A14,IF(A14='Données projet'!$A$62,'Données projet'!$B$62,AI13+AH14-AQ13)))</f>
        <v>11.484221677274558</v>
      </c>
      <c r="AJ14" s="13">
        <f>AI14*VLOOKUP('Données projet'!$B$10,Paramètres!$A$1:$I$89,3,0)*VLOOKUP('Données projet'!$B$10,Paramètres!$A$1:$I$89,5,0)</f>
        <v>5.5239106267690623</v>
      </c>
      <c r="AK14" s="13">
        <f t="shared" si="35"/>
        <v>2.0864174144805774</v>
      </c>
      <c r="AL14" s="20">
        <f t="shared" si="4"/>
        <v>13.254654671843122</v>
      </c>
      <c r="AM14" s="59">
        <f t="shared" si="5"/>
        <v>306.58798800517644</v>
      </c>
      <c r="AN14" s="59">
        <f ca="1">AVERAGE(OFFSET($AM$3,0,0,'Données projet'!$E$10+1,1))-AVERAGE(OFFSET($H$3,0,0,'Données projet'!$E$10+1,1))</f>
        <v>234.10156575337737</v>
      </c>
      <c r="AO14" s="59">
        <f t="shared" si="36"/>
        <v>285.68635263076646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278.5296012747549</v>
      </c>
      <c r="T15" s="59">
        <f t="shared" si="34"/>
        <v>370.55343097937077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10.26553846153846</v>
      </c>
      <c r="AI15" s="13">
        <f>IF('Données projet'!$A$62&gt;35,AI14+AH15-AQ14,IF(A15&lt;'Données projet'!$A$62,$AF$205^A15,IF(A15='Données projet'!$A$62,'Données projet'!$B$62,AI14+AH15-AQ14)))</f>
        <v>14.337533205108766</v>
      </c>
      <c r="AJ15" s="13">
        <f>AI15*VLOOKUP('Données projet'!$B$10,Paramètres!$A$1:$I$89,3,0)*VLOOKUP('Données projet'!$B$10,Paramètres!$A$1:$I$89,5,0)</f>
        <v>6.8963534716573163</v>
      </c>
      <c r="AK15" s="13">
        <f t="shared" si="35"/>
        <v>2.5383778336445117</v>
      </c>
      <c r="AL15" s="20">
        <f t="shared" si="4"/>
        <v>16.432157023400681</v>
      </c>
      <c r="AM15" s="59">
        <f t="shared" si="5"/>
        <v>309.76549035673401</v>
      </c>
      <c r="AN15" s="59">
        <f ca="1">AVERAGE(OFFSET($AM$3,0,0,'Données projet'!$E$10+1,1))-AVERAGE(OFFSET($H$3,0,0,'Données projet'!$E$10+1,1))</f>
        <v>234.10156575337737</v>
      </c>
      <c r="AO15" s="59">
        <f t="shared" si="36"/>
        <v>285.68635263076646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278.5296012747549</v>
      </c>
      <c r="T16" s="59">
        <f t="shared" si="34"/>
        <v>370.55343097937077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10.26553846153846</v>
      </c>
      <c r="AI16" s="13">
        <f>IF('Données projet'!$A$62&gt;35,AI15+AH16-AQ15,IF(A16&lt;'Données projet'!$A$62,$AF$205^A16,IF(A16='Données projet'!$A$62,'Données projet'!$B$62,AI15+AH16-AQ15)))</f>
        <v>17.899764057530909</v>
      </c>
      <c r="AJ16" s="13">
        <f>AI16*VLOOKUP('Données projet'!$B$10,Paramètres!$A$1:$I$89,3,0)*VLOOKUP('Données projet'!$B$10,Paramètres!$A$1:$I$89,5,0)</f>
        <v>8.6097865116723682</v>
      </c>
      <c r="AK16" s="13">
        <f t="shared" si="35"/>
        <v>3.0882420658580965</v>
      </c>
      <c r="AL16" s="20">
        <f t="shared" si="4"/>
        <v>20.374066439198891</v>
      </c>
      <c r="AM16" s="59">
        <f t="shared" si="5"/>
        <v>313.7073997725322</v>
      </c>
      <c r="AN16" s="59">
        <f ca="1">AVERAGE(OFFSET($AM$3,0,0,'Données projet'!$E$10+1,1))-AVERAGE(OFFSET($H$3,0,0,'Données projet'!$E$10+1,1))</f>
        <v>234.10156575337737</v>
      </c>
      <c r="AO16" s="59">
        <f t="shared" si="36"/>
        <v>285.68635263076646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278.5296012747549</v>
      </c>
      <c r="T17" s="59">
        <f t="shared" si="34"/>
        <v>370.55343097937077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10.26553846153846</v>
      </c>
      <c r="AI17" s="13">
        <f>IF('Données projet'!$A$62&gt;35,AI16+AH17-AQ16,IF(A17&lt;'Données projet'!$A$62,$AF$205^A17,IF(A17='Données projet'!$A$62,'Données projet'!$B$62,AI16+AH17-AQ16)))</f>
        <v>22.347048737861648</v>
      </c>
      <c r="AJ17" s="13">
        <f>AI17*VLOOKUP('Données projet'!$B$10,Paramètres!$A$1:$I$89,3,0)*VLOOKUP('Données projet'!$B$10,Paramètres!$A$1:$I$89,5,0)</f>
        <v>10.748930442911453</v>
      </c>
      <c r="AK17" s="13">
        <f t="shared" si="35"/>
        <v>3.7572180669582416</v>
      </c>
      <c r="AL17" s="20">
        <f t="shared" si="4"/>
        <v>25.264875321356385</v>
      </c>
      <c r="AM17" s="59">
        <f t="shared" si="5"/>
        <v>318.5982086546897</v>
      </c>
      <c r="AN17" s="59">
        <f ca="1">AVERAGE(OFFSET($AM$3,0,0,'Données projet'!$E$10+1,1))-AVERAGE(OFFSET($H$3,0,0,'Données projet'!$E$10+1,1))</f>
        <v>234.10156575337737</v>
      </c>
      <c r="AO17" s="59">
        <f t="shared" si="36"/>
        <v>285.68635263076646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278.5296012747549</v>
      </c>
      <c r="T18" s="59">
        <f t="shared" si="34"/>
        <v>370.55343097937077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10.26553846153846</v>
      </c>
      <c r="AI18" s="13">
        <f>IF('Données projet'!$A$62&gt;35,AI17+AH18-AQ17,IF(A18&lt;'Données projet'!$A$62,$AF$205^A18,IF(A18='Données projet'!$A$62,'Données projet'!$B$62,AI17+AH18-AQ17)))</f>
        <v>27.899283235650078</v>
      </c>
      <c r="AJ18" s="13">
        <f>AI18*VLOOKUP('Données projet'!$B$10,Paramètres!$A$1:$I$89,3,0)*VLOOKUP('Données projet'!$B$10,Paramètres!$A$1:$I$89,5,0)</f>
        <v>13.419555236347689</v>
      </c>
      <c r="AK18" s="13">
        <f t="shared" si="35"/>
        <v>4.5711078670754972</v>
      </c>
      <c r="AL18" s="20">
        <f t="shared" si="4"/>
        <v>31.33373823846205</v>
      </c>
      <c r="AM18" s="59">
        <f t="shared" si="5"/>
        <v>324.66707157179536</v>
      </c>
      <c r="AN18" s="59">
        <f ca="1">AVERAGE(OFFSET($AM$3,0,0,'Données projet'!$E$10+1,1))-AVERAGE(OFFSET($H$3,0,0,'Données projet'!$E$10+1,1))</f>
        <v>234.10156575337737</v>
      </c>
      <c r="AO18" s="59">
        <f t="shared" si="36"/>
        <v>285.68635263076646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278.5296012747549</v>
      </c>
      <c r="T19" s="59">
        <f t="shared" si="34"/>
        <v>370.55343097937077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10.26553846153846</v>
      </c>
      <c r="AI19" s="13">
        <f>IF('Données projet'!$A$62&gt;35,AI18+AH19-AQ18,IF(A19&lt;'Données projet'!$A$62,$AF$205^A19,IF(A19='Données projet'!$A$62,'Données projet'!$B$62,AI18+AH19-AQ18)))</f>
        <v>34.830997783804293</v>
      </c>
      <c r="AJ19" s="13">
        <f>AI19*VLOOKUP('Données projet'!$B$10,Paramètres!$A$1:$I$89,3,0)*VLOOKUP('Données projet'!$B$10,Paramètres!$A$1:$I$89,5,0)</f>
        <v>16.753709934009866</v>
      </c>
      <c r="AK19" s="13">
        <f t="shared" si="35"/>
        <v>5.5613027405022661</v>
      </c>
      <c r="AL19" s="20">
        <f t="shared" si="4"/>
        <v>38.865313741441959</v>
      </c>
      <c r="AM19" s="59">
        <f t="shared" si="5"/>
        <v>332.19864707477529</v>
      </c>
      <c r="AN19" s="59">
        <f ca="1">AVERAGE(OFFSET($AM$3,0,0,'Données projet'!$E$10+1,1))-AVERAGE(OFFSET($H$3,0,0,'Données projet'!$E$10+1,1))</f>
        <v>234.10156575337737</v>
      </c>
      <c r="AO19" s="59">
        <f t="shared" si="36"/>
        <v>285.68635263076646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278.5296012747549</v>
      </c>
      <c r="T20" s="59">
        <f t="shared" si="34"/>
        <v>370.55343097937077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10.26553846153846</v>
      </c>
      <c r="AI20" s="13">
        <f>IF('Données projet'!$A$62&gt;35,AI19+AH20-AQ19,IF(A20&lt;'Données projet'!$A$62,$AF$205^A20,IF(A20='Données projet'!$A$62,'Données projet'!$B$62,AI19+AH20-AQ19)))</f>
        <v>43.484931005866784</v>
      </c>
      <c r="AJ20" s="13">
        <f>AI20*VLOOKUP('Données projet'!$B$10,Paramètres!$A$1:$I$89,3,0)*VLOOKUP('Données projet'!$B$10,Paramètres!$A$1:$I$89,5,0)</f>
        <v>20.916251813821923</v>
      </c>
      <c r="AK20" s="13">
        <f t="shared" si="35"/>
        <v>6.7659939495816754</v>
      </c>
      <c r="AL20" s="20">
        <f t="shared" si="4"/>
        <v>48.213244704594594</v>
      </c>
      <c r="AM20" s="59">
        <f t="shared" si="5"/>
        <v>341.54657803792793</v>
      </c>
      <c r="AN20" s="59">
        <f ca="1">AVERAGE(OFFSET($AM$3,0,0,'Données projet'!$E$10+1,1))-AVERAGE(OFFSET($H$3,0,0,'Données projet'!$E$10+1,1))</f>
        <v>234.10156575337737</v>
      </c>
      <c r="AO20" s="59">
        <f t="shared" si="36"/>
        <v>285.68635263076646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278.5296012747549</v>
      </c>
      <c r="T21" s="59">
        <f t="shared" si="34"/>
        <v>370.55343097937077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10.26553846153846</v>
      </c>
      <c r="AI21" s="13">
        <f>IF('Données projet'!$A$62&gt;35,AI20+AH21-AQ20,IF(A21&lt;'Données projet'!$A$62,$AF$205^A21,IF(A21='Données projet'!$A$62,'Données projet'!$B$62,AI20+AH21-AQ20)))</f>
        <v>54.28897662714224</v>
      </c>
      <c r="AJ21" s="13">
        <f>AI21*VLOOKUP('Données projet'!$B$10,Paramètres!$A$1:$I$89,3,0)*VLOOKUP('Données projet'!$B$10,Paramètres!$A$1:$I$89,5,0)</f>
        <v>26.112997757655421</v>
      </c>
      <c r="AK21" s="13">
        <f t="shared" si="35"/>
        <v>8.2316457603315722</v>
      </c>
      <c r="AL21" s="20">
        <f t="shared" si="4"/>
        <v>59.816920793827343</v>
      </c>
      <c r="AM21" s="59">
        <f t="shared" si="5"/>
        <v>353.15025412716068</v>
      </c>
      <c r="AN21" s="59">
        <f ca="1">AVERAGE(OFFSET($AM$3,0,0,'Données projet'!$E$10+1,1))-AVERAGE(OFFSET($H$3,0,0,'Données projet'!$E$10+1,1))</f>
        <v>234.10156575337737</v>
      </c>
      <c r="AO21" s="59">
        <f t="shared" si="36"/>
        <v>285.68635263076646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278.5296012747549</v>
      </c>
      <c r="T22" s="59">
        <f t="shared" si="34"/>
        <v>370.55343097937077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10.26553846153846</v>
      </c>
      <c r="AI22" s="13">
        <f>IF('Données projet'!$A$62&gt;35,AI21+AH22-AQ21,IF(A22&lt;'Données projet'!$A$62,$AF$205^A22,IF(A22='Données projet'!$A$62,'Données projet'!$B$62,AI21+AH22-AQ21)))</f>
        <v>67.7773406798038</v>
      </c>
      <c r="AJ22" s="13">
        <f>AI22*VLOOKUP('Données projet'!$B$10,Paramètres!$A$1:$I$89,3,0)*VLOOKUP('Données projet'!$B$10,Paramètres!$A$1:$I$89,5,0)</f>
        <v>32.600900866985633</v>
      </c>
      <c r="AK22" s="13">
        <f t="shared" si="35"/>
        <v>10.014787543192263</v>
      </c>
      <c r="AL22" s="20">
        <f t="shared" si="4"/>
        <v>74.22232398105983</v>
      </c>
      <c r="AM22" s="59">
        <f t="shared" si="5"/>
        <v>367.55565731439316</v>
      </c>
      <c r="AN22" s="59">
        <f ca="1">AVERAGE(OFFSET($AM$3,0,0,'Données projet'!$E$10+1,1))-AVERAGE(OFFSET($H$3,0,0,'Données projet'!$E$10+1,1))</f>
        <v>234.10156575337737</v>
      </c>
      <c r="AO22" s="59">
        <f t="shared" si="36"/>
        <v>285.68635263076646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278.5296012747549</v>
      </c>
      <c r="T23" s="59">
        <f t="shared" si="34"/>
        <v>370.55343097937077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10.26553846153846</v>
      </c>
      <c r="AI23" s="13">
        <f>IF('Données projet'!$A$62&gt;35,AI22+AH23-AQ22,IF(A23&lt;'Données projet'!$A$62,$AF$205^A23,IF(A23='Données projet'!$A$62,'Données projet'!$B$62,AI22+AH23-AQ22)))</f>
        <v>84.616955319977308</v>
      </c>
      <c r="AJ23" s="13">
        <f>AI23*VLOOKUP('Données projet'!$B$10,Paramètres!$A$1:$I$89,3,0)*VLOOKUP('Données projet'!$B$10,Paramètres!$A$1:$I$89,5,0)</f>
        <v>40.70075550890909</v>
      </c>
      <c r="AK23" s="13">
        <f t="shared" si="35"/>
        <v>12.18419407922128</v>
      </c>
      <c r="AL23" s="20">
        <f t="shared" si="4"/>
        <v>92.107953865993707</v>
      </c>
      <c r="AM23" s="59">
        <f t="shared" si="5"/>
        <v>385.44128719932701</v>
      </c>
      <c r="AN23" s="59">
        <f ca="1">AVERAGE(OFFSET($AM$3,0,0,'Données projet'!$E$10+1,1))-AVERAGE(OFFSET($H$3,0,0,'Données projet'!$E$10+1,1))</f>
        <v>234.10156575337737</v>
      </c>
      <c r="AO23" s="59">
        <f t="shared" si="36"/>
        <v>285.68635263076646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278.5296012747549</v>
      </c>
      <c r="T24" s="59">
        <f t="shared" si="34"/>
        <v>370.55343097937077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10.26553846153846</v>
      </c>
      <c r="AI24" s="13">
        <f>IF('Données projet'!$A$62&gt;35,AI23+AH24-AQ23,IF(A24&lt;'Données projet'!$A$62,$AF$205^A24,IF(A24='Données projet'!$A$62,'Données projet'!$B$62,AI23+AH24-AQ23)))</f>
        <v>105.64045528798052</v>
      </c>
      <c r="AJ24" s="13">
        <f>AI24*VLOOKUP('Données projet'!$B$10,Paramètres!$A$1:$I$89,3,0)*VLOOKUP('Données projet'!$B$10,Paramètres!$A$1:$I$89,5,0)</f>
        <v>50.813058993518631</v>
      </c>
      <c r="AK24" s="13">
        <f t="shared" si="35"/>
        <v>14.823538164925489</v>
      </c>
      <c r="AL24" s="20">
        <f t="shared" si="4"/>
        <v>114.31707338429015</v>
      </c>
      <c r="AM24" s="59">
        <f t="shared" si="5"/>
        <v>407.65040671762347</v>
      </c>
      <c r="AN24" s="59">
        <f ca="1">AVERAGE(OFFSET($AM$3,0,0,'Données projet'!$E$10+1,1))-AVERAGE(OFFSET($H$3,0,0,'Données projet'!$E$10+1,1))</f>
        <v>234.10156575337737</v>
      </c>
      <c r="AO24" s="59">
        <f t="shared" si="36"/>
        <v>285.68635263076646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278.5296012747549</v>
      </c>
      <c r="T25" s="59">
        <f t="shared" si="34"/>
        <v>370.55343097937077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10.26553846153846</v>
      </c>
      <c r="AI25" s="13">
        <f>IF('Données projet'!$A$62&gt;35,AI24+AH25-AQ24,IF(A25&lt;'Données projet'!$A$62,$AF$205^A25,IF(A25='Données projet'!$A$62,'Données projet'!$B$62,AI24+AH25-AQ24)))</f>
        <v>131.88734753278288</v>
      </c>
      <c r="AJ25" s="13">
        <f>AI25*VLOOKUP('Données projet'!$B$10,Paramètres!$A$1:$I$89,3,0)*VLOOKUP('Données projet'!$B$10,Paramètres!$A$1:$I$89,5,0)</f>
        <v>63.437814163268563</v>
      </c>
      <c r="AK25" s="13">
        <f t="shared" si="35"/>
        <v>18.034617825214958</v>
      </c>
      <c r="AL25" s="20">
        <f t="shared" si="4"/>
        <v>141.89781904660879</v>
      </c>
      <c r="AM25" s="59">
        <f t="shared" si="5"/>
        <v>435.2311523799421</v>
      </c>
      <c r="AN25" s="59">
        <f ca="1">AVERAGE(OFFSET($AM$3,0,0,'Données projet'!$E$10+1,1))-AVERAGE(OFFSET($H$3,0,0,'Données projet'!$E$10+1,1))</f>
        <v>234.10156575337737</v>
      </c>
      <c r="AO25" s="59">
        <f t="shared" si="36"/>
        <v>285.68635263076646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278.5296012747549</v>
      </c>
      <c r="T26" s="59">
        <f t="shared" si="34"/>
        <v>370.55343097937077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10.26553846153846</v>
      </c>
      <c r="AI26" s="13">
        <f>IF('Données projet'!$A$62&gt;35,AI25+AH26-AQ25,IF(A26&lt;'Données projet'!$A$62,$AF$205^A26,IF(A26='Données projet'!$A$62,'Données projet'!$B$62,AI25+AH26-AQ25)))</f>
        <v>164.65540963275387</v>
      </c>
      <c r="AJ26" s="13">
        <f>AI26*VLOOKUP('Données projet'!$B$10,Paramètres!$A$1:$I$89,3,0)*VLOOKUP('Données projet'!$B$10,Paramètres!$A$1:$I$89,5,0)</f>
        <v>79.199252033354611</v>
      </c>
      <c r="AK26" s="13">
        <f t="shared" si="35"/>
        <v>21.941282606276857</v>
      </c>
      <c r="AL26" s="20">
        <f t="shared" si="4"/>
        <v>176.15309783069145</v>
      </c>
      <c r="AM26" s="59">
        <f t="shared" si="5"/>
        <v>469.48643116402479</v>
      </c>
      <c r="AN26" s="59">
        <f ca="1">AVERAGE(OFFSET($AM$3,0,0,'Données projet'!$E$10+1,1))-AVERAGE(OFFSET($H$3,0,0,'Données projet'!$E$10+1,1))</f>
        <v>234.10156575337737</v>
      </c>
      <c r="AO26" s="59">
        <f t="shared" si="36"/>
        <v>285.68635263076646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278.5296012747549</v>
      </c>
      <c r="T27" s="59">
        <f t="shared" si="34"/>
        <v>370.55343097937077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10.26553846153846</v>
      </c>
      <c r="AI27" s="13">
        <f>IF('Données projet'!$A$62&gt;35,AI26+AH27-AQ26,IF(A27&lt;'Données projet'!$A$62,$AF$205^A27,IF(A27='Données projet'!$A$62,'Données projet'!$B$62,AI26+AH27-AQ26)))</f>
        <v>205.56485840759646</v>
      </c>
      <c r="AJ27" s="13">
        <f>AI27*VLOOKUP('Données projet'!$B$10,Paramètres!$A$1:$I$89,3,0)*VLOOKUP('Données projet'!$B$10,Paramètres!$A$1:$I$89,5,0)</f>
        <v>98.876696894053907</v>
      </c>
      <c r="AK27" s="13">
        <f t="shared" si="35"/>
        <v>26.694210383289317</v>
      </c>
      <c r="AL27" s="20">
        <f t="shared" si="4"/>
        <v>218.70266350803945</v>
      </c>
      <c r="AM27" s="59">
        <f t="shared" si="5"/>
        <v>512.03599684137271</v>
      </c>
      <c r="AN27" s="59">
        <f ca="1">AVERAGE(OFFSET($AM$3,0,0,'Données projet'!$E$10+1,1))-AVERAGE(OFFSET($H$3,0,0,'Données projet'!$E$10+1,1))</f>
        <v>234.10156575337737</v>
      </c>
      <c r="AO27" s="59">
        <f t="shared" si="36"/>
        <v>285.68635263076646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278.5296012747549</v>
      </c>
      <c r="T28" s="59">
        <f t="shared" si="34"/>
        <v>370.55343097937077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256.63846153846151</v>
      </c>
      <c r="AG28" s="12">
        <f>VLOOKUP(A28,'Données projet'!$A$61:$I$81,9,0)</f>
        <v>10.26553846153846</v>
      </c>
      <c r="AH28" s="12">
        <f t="array" ref="AH28">INDEX(AG:AG,MIN(IF(ISNUMBER(AG28:AG224),ROW(AG28:AG224),"")))</f>
        <v>10.26553846153846</v>
      </c>
      <c r="AI28" s="13">
        <f>IF('Données projet'!$A$62&gt;35,AI27+AH28-AQ27,IF(A28&lt;'Données projet'!$A$62,$AF$205^A28,IF(A28='Données projet'!$A$62,'Données projet'!$B$62,AI27+AH28-AQ27)))</f>
        <v>256.63846153846151</v>
      </c>
      <c r="AJ28" s="13">
        <f>AI28*VLOOKUP('Données projet'!$B$10,Paramètres!$A$1:$I$89,3,0)*VLOOKUP('Données projet'!$B$10,Paramètres!$A$1:$I$89,5,0)</f>
        <v>123.44309999999999</v>
      </c>
      <c r="AK28" s="13">
        <f t="shared" si="35"/>
        <v>32.476718921776182</v>
      </c>
      <c r="AL28" s="20">
        <f t="shared" si="4"/>
        <v>271.56035128876016</v>
      </c>
      <c r="AM28" s="59">
        <f t="shared" si="5"/>
        <v>564.89368462209347</v>
      </c>
      <c r="AN28" s="59">
        <f ca="1">AVERAGE(OFFSET($AM$3,0,0,'Données projet'!$E$10+1,1))-AVERAGE(OFFSET($H$3,0,0,'Données projet'!$E$10+1,1))</f>
        <v>234.10156575337737</v>
      </c>
      <c r="AO28" s="59">
        <f t="shared" si="36"/>
        <v>285.68635263076646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67.207692307692312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0.44000000000000006</v>
      </c>
      <c r="AT28" s="16">
        <f>IF(ISNA(VLOOKUP(A28,'Données projet'!$A$61:$I$81,7,0)),0%,VLOOKUP(A28,'Données projet'!$A$61:$I$81,7,0))</f>
        <v>0.2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18.794541463602268</v>
      </c>
      <c r="AW28" s="21">
        <f>EXP(-LN(2)/2)*AW27+(1-EXP(-LN(2)/2))/(LN(2)/2)*AQ28*AT28*VLOOKUP('Données projet'!$B$10,Paramètres!$A$1:$I$89,3,0)*0.475*44/12</f>
        <v>7.3203120517816629</v>
      </c>
      <c r="AX28" s="21">
        <f t="shared" si="6"/>
        <v>26.114853515383931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278.5296012747549</v>
      </c>
      <c r="T29" s="59">
        <f t="shared" si="34"/>
        <v>370.55343097937077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22.707692307692298</v>
      </c>
      <c r="AI29" s="13">
        <f>IF('Données projet'!$A$62&gt;35,AI28+AH29-AQ28,IF(A29&lt;'Données projet'!$A$62,$AF$205^A29,IF(A29='Données projet'!$A$62,'Données projet'!$B$62,AI28+AH29-AQ28)))</f>
        <v>212.13846153846151</v>
      </c>
      <c r="AJ29" s="13">
        <f>AI29*VLOOKUP('Données projet'!$B$10,Paramètres!$A$1:$I$89,3,0)*VLOOKUP('Données projet'!$B$10,Paramètres!$A$1:$I$89,5,0)</f>
        <v>102.03859999999999</v>
      </c>
      <c r="AK29" s="13">
        <f t="shared" si="35"/>
        <v>27.447093983050333</v>
      </c>
      <c r="AL29" s="20">
        <f t="shared" si="4"/>
        <v>225.52091702047929</v>
      </c>
      <c r="AM29" s="59">
        <f t="shared" si="5"/>
        <v>518.85425035381263</v>
      </c>
      <c r="AN29" s="59">
        <f ca="1">AVERAGE(OFFSET($AM$3,0,0,'Données projet'!$E$10+1,1))-AVERAGE(OFFSET($H$3,0,0,'Données projet'!$E$10+1,1))</f>
        <v>234.10156575337737</v>
      </c>
      <c r="AO29" s="59">
        <f t="shared" si="36"/>
        <v>285.68635263076646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18.280603738918085</v>
      </c>
      <c r="AW29" s="21">
        <f>EXP(-LN(2)/2)*AW28+(1-EXP(-LN(2)/2))/(LN(2)/2)*AQ29*AT29*VLOOKUP('Données projet'!$B$10,Paramètres!$A$1:$I$89,3,0)*0.475*44/12</f>
        <v>5.1762422922164237</v>
      </c>
      <c r="AX29" s="21">
        <f t="shared" si="6"/>
        <v>23.456846031134511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278.5296012747549</v>
      </c>
      <c r="T30" s="59">
        <f t="shared" si="34"/>
        <v>370.55343097937077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22.707692307692298</v>
      </c>
      <c r="AI30" s="13">
        <f>IF('Données projet'!$A$62&gt;35,AI29+AH30-AQ29,IF(A30&lt;'Données projet'!$A$62,$AF$205^A30,IF(A30='Données projet'!$A$62,'Données projet'!$B$62,AI29+AH30-AQ29)))</f>
        <v>234.84615384615381</v>
      </c>
      <c r="AJ30" s="13">
        <f>AI30*VLOOKUP('Données projet'!$B$10,Paramètres!$A$1:$I$89,3,0)*VLOOKUP('Données projet'!$B$10,Paramètres!$A$1:$I$89,5,0)</f>
        <v>112.96099999999998</v>
      </c>
      <c r="AK30" s="13">
        <f t="shared" si="35"/>
        <v>30.027537121155003</v>
      </c>
      <c r="AL30" s="20">
        <f t="shared" si="4"/>
        <v>249.03836881934498</v>
      </c>
      <c r="AM30" s="59">
        <f t="shared" si="5"/>
        <v>542.37170215267827</v>
      </c>
      <c r="AN30" s="59">
        <f ca="1">AVERAGE(OFFSET($AM$3,0,0,'Données projet'!$E$10+1,1))-AVERAGE(OFFSET($H$3,0,0,'Données projet'!$E$10+1,1))</f>
        <v>234.10156575337737</v>
      </c>
      <c r="AO30" s="59">
        <f t="shared" si="36"/>
        <v>285.68635263076646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17.780719668342201</v>
      </c>
      <c r="AW30" s="21">
        <f>EXP(-LN(2)/2)*AW29+(1-EXP(-LN(2)/2))/(LN(2)/2)*AQ30*AT30*VLOOKUP('Données projet'!$B$10,Paramètres!$A$1:$I$89,3,0)*0.475*44/12</f>
        <v>3.6601560258908323</v>
      </c>
      <c r="AX30" s="21">
        <f t="shared" si="6"/>
        <v>21.440875694233032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278.5296012747549</v>
      </c>
      <c r="T31" s="59">
        <f t="shared" si="34"/>
        <v>370.55343097937077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22.707692307692298</v>
      </c>
      <c r="AI31" s="13">
        <f>IF('Données projet'!$A$62&gt;35,AI30+AH31-AQ30,IF(A31&lt;'Données projet'!$A$62,$AF$205^A31,IF(A31='Données projet'!$A$62,'Données projet'!$B$62,AI30+AH31-AQ30)))</f>
        <v>257.55384615384611</v>
      </c>
      <c r="AJ31" s="13">
        <f>AI31*VLOOKUP('Données projet'!$B$10,Paramètres!$A$1:$I$89,3,0)*VLOOKUP('Données projet'!$B$10,Paramètres!$A$1:$I$89,5,0)</f>
        <v>123.88339999999998</v>
      </c>
      <c r="AK31" s="13">
        <f t="shared" si="35"/>
        <v>32.579052856965049</v>
      </c>
      <c r="AL31" s="20">
        <f t="shared" si="4"/>
        <v>272.50543872588077</v>
      </c>
      <c r="AM31" s="59">
        <f t="shared" si="5"/>
        <v>565.83877205921408</v>
      </c>
      <c r="AN31" s="59">
        <f ca="1">AVERAGE(OFFSET($AM$3,0,0,'Données projet'!$E$10+1,1))-AVERAGE(OFFSET($H$3,0,0,'Données projet'!$E$10+1,1))</f>
        <v>234.10156575337737</v>
      </c>
      <c r="AO31" s="59">
        <f t="shared" si="36"/>
        <v>285.68635263076646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17.294504953963973</v>
      </c>
      <c r="AW31" s="21">
        <f>EXP(-LN(2)/2)*AW30+(1-EXP(-LN(2)/2))/(LN(2)/2)*AQ31*AT31*VLOOKUP('Données projet'!$B$10,Paramètres!$A$1:$I$89,3,0)*0.475*44/12</f>
        <v>2.5881211461082123</v>
      </c>
      <c r="AX31" s="21">
        <f t="shared" si="6"/>
        <v>19.882626100072184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278.5296012747549</v>
      </c>
      <c r="T32" s="59">
        <f t="shared" si="34"/>
        <v>370.55343097937077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22.707692307692298</v>
      </c>
      <c r="AI32" s="13">
        <f>IF('Données projet'!$A$62&gt;35,AI31+AH32-AQ31,IF(A32&lt;'Données projet'!$A$62,$AF$205^A32,IF(A32='Données projet'!$A$62,'Données projet'!$B$62,AI31+AH32-AQ31)))</f>
        <v>280.26153846153841</v>
      </c>
      <c r="AJ32" s="13">
        <f>AI32*VLOOKUP('Données projet'!$B$10,Paramètres!$A$1:$I$89,3,0)*VLOOKUP('Données projet'!$B$10,Paramètres!$A$1:$I$89,5,0)</f>
        <v>134.80579999999998</v>
      </c>
      <c r="AK32" s="13">
        <f t="shared" si="35"/>
        <v>35.104481632369925</v>
      </c>
      <c r="AL32" s="20">
        <f t="shared" si="4"/>
        <v>295.92707384304424</v>
      </c>
      <c r="AM32" s="59">
        <f t="shared" si="5"/>
        <v>589.26040717637761</v>
      </c>
      <c r="AN32" s="59">
        <f ca="1">AVERAGE(OFFSET($AM$3,0,0,'Données projet'!$E$10+1,1))-AVERAGE(OFFSET($H$3,0,0,'Données projet'!$E$10+1,1))</f>
        <v>234.10156575337737</v>
      </c>
      <c r="AO32" s="59">
        <f t="shared" si="36"/>
        <v>285.68635263076646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16.821585806519341</v>
      </c>
      <c r="AW32" s="21">
        <f>EXP(-LN(2)/2)*AW31+(1-EXP(-LN(2)/2))/(LN(2)/2)*AQ32*AT32*VLOOKUP('Données projet'!$B$10,Paramètres!$A$1:$I$89,3,0)*0.475*44/12</f>
        <v>1.8300780129454164</v>
      </c>
      <c r="AX32" s="21">
        <f t="shared" si="6"/>
        <v>18.651663819464758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278.5296012747549</v>
      </c>
      <c r="T33" s="59">
        <f t="shared" si="34"/>
        <v>370.55343097937077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302.96923076923071</v>
      </c>
      <c r="AG33" s="12">
        <f>VLOOKUP(A33,'Données projet'!$A$61:$I$81,9,0)</f>
        <v>22.707692307692298</v>
      </c>
      <c r="AH33" s="12">
        <f t="array" ref="AH33">INDEX(AG:AG,MIN(IF(ISNUMBER(AG33:AG229),ROW(AG33:AG229),"")))</f>
        <v>22.707692307692298</v>
      </c>
      <c r="AI33" s="13">
        <f>IF('Données projet'!$A$62&gt;35,AI32+AH33-AQ32,IF(A33&lt;'Données projet'!$A$62,$AF$205^A33,IF(A33='Données projet'!$A$62,'Données projet'!$B$62,AI32+AH33-AQ32)))</f>
        <v>302.96923076923071</v>
      </c>
      <c r="AJ33" s="13">
        <f>AI33*VLOOKUP('Données projet'!$B$10,Paramètres!$A$1:$I$89,3,0)*VLOOKUP('Données projet'!$B$10,Paramètres!$A$1:$I$89,5,0)</f>
        <v>145.72819999999996</v>
      </c>
      <c r="AK33" s="13">
        <f t="shared" si="35"/>
        <v>37.606177397621849</v>
      </c>
      <c r="AL33" s="20">
        <f t="shared" si="4"/>
        <v>319.30737396752465</v>
      </c>
      <c r="AM33" s="59">
        <f t="shared" si="5"/>
        <v>612.64070730085791</v>
      </c>
      <c r="AN33" s="59">
        <f ca="1">AVERAGE(OFFSET($AM$3,0,0,'Données projet'!$E$10+1,1))-AVERAGE(OFFSET($H$3,0,0,'Données projet'!$E$10+1,1))</f>
        <v>234.10156575337737</v>
      </c>
      <c r="AO33" s="59">
        <f t="shared" si="36"/>
        <v>285.68635263076646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90.015384615384605</v>
      </c>
      <c r="AR33" s="16">
        <f>IF(ISNA(VLOOKUP(A33,'Données projet'!$A$61:$I$81,5,0)),0%,VLOOKUP(A33,'Données projet'!$A$61:$I$81,5,0)*VLOOKUP('Données projet'!$B$10,Paramètres!$A$1:$I$89,7,0))</f>
        <v>0.16500000000000001</v>
      </c>
      <c r="AS33" s="16">
        <f>IF(ISNA(VLOOKUP(A33,'Données projet'!$A$61:$I$81,6,0)),0%,VLOOKUP(A33,'Données projet'!$A$61:$I$81,6,0)*VLOOKUP('Données projet'!$B$10,Paramètres!$A$1:$I$89,7,0))</f>
        <v>0.33</v>
      </c>
      <c r="AT33" s="16">
        <f>IF(ISNA(VLOOKUP(A33,'Données projet'!$A$61:$I$81,7,0)),0%,VLOOKUP(A33,'Données projet'!$A$61:$I$81,7,0))</f>
        <v>0.1</v>
      </c>
      <c r="AU33" s="21">
        <f>EXP(-LN(2)/35)*AU32+(1-EXP(-LN(2)/35))/(LN(2)/35)*AQ33*AR33*VLOOKUP('Données projet'!$B$10,Paramètres!$A$1:$I$89,3,0)*0.475*44/12</f>
        <v>9.4770706557364104</v>
      </c>
      <c r="AV33" s="21">
        <f>EXP(-LN(2)/25)*AV32+(1-EXP(-LN(2)/25))/(LN(2)/25)*Calculateur!AQ33*Calculateur!AS33*VLOOKUP('Données projet'!$B$10,Paramètres!$A$1:$I$89,3,0)*0.475*44/12</f>
        <v>35.241110293066832</v>
      </c>
      <c r="AW33" s="21">
        <f>EXP(-LN(2)/2)*AW32+(1-EXP(-LN(2)/2))/(LN(2)/2)*AQ33*AT33*VLOOKUP('Données projet'!$B$10,Paramètres!$A$1:$I$89,3,0)*0.475*44/12</f>
        <v>6.1963320409463467</v>
      </c>
      <c r="AX33" s="21">
        <f t="shared" si="6"/>
        <v>50.914512989749589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278.5296012747549</v>
      </c>
      <c r="T34" s="59">
        <f t="shared" si="34"/>
        <v>370.55343097937077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21.615384615384631</v>
      </c>
      <c r="AI34" s="13">
        <f>IF('Données projet'!$A$62&gt;35,AI33+AH34-AQ33,IF(A34&lt;'Données projet'!$A$62,$AF$205^A34,IF(A34='Données projet'!$A$62,'Données projet'!$B$62,AI33+AH34-AQ33)))</f>
        <v>234.56923076923073</v>
      </c>
      <c r="AJ34" s="13">
        <f>AI34*VLOOKUP('Données projet'!$B$10,Paramètres!$A$1:$I$89,3,0)*VLOOKUP('Données projet'!$B$10,Paramètres!$A$1:$I$89,5,0)</f>
        <v>112.82779999999998</v>
      </c>
      <c r="AK34" s="13">
        <f t="shared" si="35"/>
        <v>29.996248895665939</v>
      </c>
      <c r="AL34" s="20">
        <f t="shared" si="4"/>
        <v>248.75188515995148</v>
      </c>
      <c r="AM34" s="59">
        <f t="shared" si="5"/>
        <v>542.08521849328486</v>
      </c>
      <c r="AN34" s="59">
        <f ca="1">AVERAGE(OFFSET($AM$3,0,0,'Données projet'!$E$10+1,1))-AVERAGE(OFFSET($H$3,0,0,'Données projet'!$E$10+1,1))</f>
        <v>234.10156575337737</v>
      </c>
      <c r="AO34" s="59">
        <f t="shared" si="36"/>
        <v>285.68635263076646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9.2912310806197489</v>
      </c>
      <c r="AV34" s="21">
        <f>EXP(-LN(2)/25)*AV33+(1-EXP(-LN(2)/25))/(LN(2)/25)*Calculateur!AQ34*Calculateur!AS34*VLOOKUP('Données projet'!$B$10,Paramètres!$A$1:$I$89,3,0)*0.475*44/12</f>
        <v>34.277440278853476</v>
      </c>
      <c r="AW34" s="21">
        <f>EXP(-LN(2)/2)*AW33+(1-EXP(-LN(2)/2))/(LN(2)/2)*AQ34*AT34*VLOOKUP('Données projet'!$B$10,Paramètres!$A$1:$I$89,3,0)*0.475*44/12</f>
        <v>4.3814684046366423</v>
      </c>
      <c r="AX34" s="21">
        <f t="shared" si="6"/>
        <v>47.950139764109871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278.5296012747549</v>
      </c>
      <c r="T35" s="59">
        <f t="shared" si="34"/>
        <v>370.55343097937077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21.615384615384631</v>
      </c>
      <c r="AI35" s="13">
        <f>IF('Données projet'!$A$62&gt;35,AI34+AH35-AQ34,IF(A35&lt;'Données projet'!$A$62,$AF$205^A35,IF(A35='Données projet'!$A$62,'Données projet'!$B$62,AI34+AH35-AQ34)))</f>
        <v>256.18461538461537</v>
      </c>
      <c r="AJ35" s="13">
        <f>AI35*VLOOKUP('Données projet'!$B$10,Paramètres!$A$1:$I$89,3,0)*VLOOKUP('Données projet'!$B$10,Paramètres!$A$1:$I$89,5,0)</f>
        <v>123.22479999999999</v>
      </c>
      <c r="AK35" s="13">
        <f t="shared" si="35"/>
        <v>32.425966181521574</v>
      </c>
      <c r="AL35" s="20">
        <f t="shared" si="4"/>
        <v>271.09175109948336</v>
      </c>
      <c r="AM35" s="59">
        <f t="shared" si="5"/>
        <v>564.42508443281667</v>
      </c>
      <c r="AN35" s="59">
        <f ca="1">AVERAGE(OFFSET($AM$3,0,0,'Données projet'!$E$10+1,1))-AVERAGE(OFFSET($H$3,0,0,'Données projet'!$E$10+1,1))</f>
        <v>234.10156575337737</v>
      </c>
      <c r="AO35" s="59">
        <f t="shared" si="36"/>
        <v>285.68635263076646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9.1090357062201761</v>
      </c>
      <c r="AV35" s="21">
        <f>EXP(-LN(2)/25)*AV34+(1-EXP(-LN(2)/25))/(LN(2)/25)*Calculateur!AQ35*Calculateur!AS35*VLOOKUP('Données projet'!$B$10,Paramètres!$A$1:$I$89,3,0)*0.475*44/12</f>
        <v>33.340121871855985</v>
      </c>
      <c r="AW35" s="21">
        <f>EXP(-LN(2)/2)*AW34+(1-EXP(-LN(2)/2))/(LN(2)/2)*AQ35*AT35*VLOOKUP('Données projet'!$B$10,Paramètres!$A$1:$I$89,3,0)*0.475*44/12</f>
        <v>3.0981660204731738</v>
      </c>
      <c r="AX35" s="21">
        <f t="shared" si="6"/>
        <v>45.547323598549333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278.5296012747549</v>
      </c>
      <c r="T36" s="59">
        <f t="shared" si="34"/>
        <v>370.55343097937077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21.615384615384631</v>
      </c>
      <c r="AI36" s="13">
        <f>IF('Données projet'!$A$62&gt;35,AI35+AH36-AQ35,IF(A36&lt;'Données projet'!$A$62,$AF$205^A36,IF(A36='Données projet'!$A$62,'Données projet'!$B$62,AI35+AH36-AQ35)))</f>
        <v>277.8</v>
      </c>
      <c r="AJ36" s="13">
        <f>AI36*VLOOKUP('Données projet'!$B$10,Paramètres!$A$1:$I$89,3,0)*VLOOKUP('Données projet'!$B$10,Paramètres!$A$1:$I$89,5,0)</f>
        <v>133.62180000000001</v>
      </c>
      <c r="AK36" s="13">
        <f t="shared" si="35"/>
        <v>34.831907858879354</v>
      </c>
      <c r="AL36" s="20">
        <f t="shared" si="4"/>
        <v>293.39020785421491</v>
      </c>
      <c r="AM36" s="59">
        <f t="shared" si="5"/>
        <v>586.72354118754822</v>
      </c>
      <c r="AN36" s="59">
        <f ca="1">AVERAGE(OFFSET($AM$3,0,0,'Données projet'!$E$10+1,1))-AVERAGE(OFFSET($H$3,0,0,'Données projet'!$E$10+1,1))</f>
        <v>234.10156575337737</v>
      </c>
      <c r="AO36" s="59">
        <f t="shared" si="36"/>
        <v>285.68635263076646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8.9304130719843737</v>
      </c>
      <c r="AV36" s="21">
        <f>EXP(-LN(2)/25)*AV35+(1-EXP(-LN(2)/25))/(LN(2)/25)*Calculateur!AQ36*Calculateur!AS36*VLOOKUP('Données projet'!$B$10,Paramètres!$A$1:$I$89,3,0)*0.475*44/12</f>
        <v>32.428434485989271</v>
      </c>
      <c r="AW36" s="21">
        <f>EXP(-LN(2)/2)*AW35+(1-EXP(-LN(2)/2))/(LN(2)/2)*AQ36*AT36*VLOOKUP('Données projet'!$B$10,Paramètres!$A$1:$I$89,3,0)*0.475*44/12</f>
        <v>2.1907342023183212</v>
      </c>
      <c r="AX36" s="21">
        <f t="shared" si="6"/>
        <v>43.549581760291971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278.5296012747549</v>
      </c>
      <c r="T37" s="59">
        <f t="shared" si="34"/>
        <v>370.55343097937077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21.615384615384631</v>
      </c>
      <c r="AI37" s="13">
        <f>IF('Données projet'!$A$62&gt;35,AI36+AH37-AQ36,IF(A37&lt;'Données projet'!$A$62,$AF$205^A37,IF(A37='Données projet'!$A$62,'Données projet'!$B$62,AI36+AH37-AQ36)))</f>
        <v>299.41538461538465</v>
      </c>
      <c r="AJ37" s="13">
        <f>AI37*VLOOKUP('Données projet'!$B$10,Paramètres!$A$1:$I$89,3,0)*VLOOKUP('Données projet'!$B$10,Paramètres!$A$1:$I$89,5,0)</f>
        <v>144.01880000000003</v>
      </c>
      <c r="AK37" s="13">
        <f t="shared" si="35"/>
        <v>37.216134220798253</v>
      </c>
      <c r="AL37" s="20">
        <f t="shared" si="4"/>
        <v>315.65084376789031</v>
      </c>
      <c r="AM37" s="59">
        <f t="shared" si="5"/>
        <v>608.98417710122362</v>
      </c>
      <c r="AN37" s="59">
        <f ca="1">AVERAGE(OFFSET($AM$3,0,0,'Données projet'!$E$10+1,1))-AVERAGE(OFFSET($H$3,0,0,'Données projet'!$E$10+1,1))</f>
        <v>234.10156575337737</v>
      </c>
      <c r="AO37" s="59">
        <f t="shared" si="36"/>
        <v>285.68635263076646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8.755293118656887</v>
      </c>
      <c r="AV37" s="21">
        <f>EXP(-LN(2)/25)*AV36+(1-EXP(-LN(2)/25))/(LN(2)/25)*Calculateur!AQ37*Calculateur!AS37*VLOOKUP('Données projet'!$B$10,Paramètres!$A$1:$I$89,3,0)*0.475*44/12</f>
        <v>31.541677239632641</v>
      </c>
      <c r="AW37" s="21">
        <f>EXP(-LN(2)/2)*AW36+(1-EXP(-LN(2)/2))/(LN(2)/2)*AQ37*AT37*VLOOKUP('Données projet'!$B$10,Paramètres!$A$1:$I$89,3,0)*0.475*44/12</f>
        <v>1.5490830102365869</v>
      </c>
      <c r="AX37" s="21">
        <f t="shared" si="6"/>
        <v>41.846053368526114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278.5296012747549</v>
      </c>
      <c r="T38" s="59">
        <f t="shared" si="34"/>
        <v>370.55343097937077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21.615384615384631</v>
      </c>
      <c r="AI38" s="13">
        <f>IF('Données projet'!$A$62&gt;35,AI37+AH38-AQ37,IF(A38&lt;'Données projet'!$A$62,$AF$205^A38,IF(A38='Données projet'!$A$62,'Données projet'!$B$62,AI37+AH38-AQ37)))</f>
        <v>321.03076923076929</v>
      </c>
      <c r="AJ38" s="13">
        <f>AI38*VLOOKUP('Données projet'!$B$10,Paramètres!$A$1:$I$89,3,0)*VLOOKUP('Données projet'!$B$10,Paramètres!$A$1:$I$89,5,0)</f>
        <v>154.41580000000005</v>
      </c>
      <c r="AK38" s="13">
        <f t="shared" si="35"/>
        <v>39.580391225767066</v>
      </c>
      <c r="AL38" s="20">
        <f t="shared" si="4"/>
        <v>337.87669971821106</v>
      </c>
      <c r="AM38" s="59">
        <f t="shared" si="5"/>
        <v>631.21003305154431</v>
      </c>
      <c r="AN38" s="59">
        <f ca="1">AVERAGE(OFFSET($AM$3,0,0,'Données projet'!$E$10+1,1))-AVERAGE(OFFSET($H$3,0,0,'Données projet'!$E$10+1,1))</f>
        <v>234.10156575337737</v>
      </c>
      <c r="AO38" s="59">
        <f t="shared" si="36"/>
        <v>285.68635263076646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8.5836071608015274</v>
      </c>
      <c r="AV38" s="21">
        <f>EXP(-LN(2)/25)*AV37+(1-EXP(-LN(2)/25))/(LN(2)/25)*Calculateur!AQ38*Calculateur!AS38*VLOOKUP('Données projet'!$B$10,Paramètres!$A$1:$I$89,3,0)*0.475*44/12</f>
        <v>30.679168416810171</v>
      </c>
      <c r="AW38" s="21">
        <f>EXP(-LN(2)/2)*AW37+(1-EXP(-LN(2)/2))/(LN(2)/2)*AQ38*AT38*VLOOKUP('Données projet'!$B$10,Paramètres!$A$1:$I$89,3,0)*0.475*44/12</f>
        <v>1.0953671011591606</v>
      </c>
      <c r="AX38" s="21">
        <f t="shared" si="6"/>
        <v>40.358142678770861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278.5296012747549</v>
      </c>
      <c r="T39" s="59">
        <f t="shared" si="34"/>
        <v>370.55343097937077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342.64615384615388</v>
      </c>
      <c r="AG39" s="12">
        <f>VLOOKUP(A39,'Données projet'!$A$61:$I$81,9,0)</f>
        <v>21.615384615384631</v>
      </c>
      <c r="AH39" s="12">
        <f t="array" ref="AH39">INDEX(AG:AG,MIN(IF(ISNUMBER(AG39:AG235),ROW(AG39:AG235),"")))</f>
        <v>21.615384615384631</v>
      </c>
      <c r="AI39" s="13">
        <f>IF('Données projet'!$A$62&gt;35,AI38+AH39-AQ38,IF(A39&lt;'Données projet'!$A$62,$AF$205^A39,IF(A39='Données projet'!$A$62,'Données projet'!$B$62,AI38+AH39-AQ38)))</f>
        <v>342.64615384615394</v>
      </c>
      <c r="AJ39" s="13">
        <f>AI39*VLOOKUP('Données projet'!$B$10,Paramètres!$A$1:$I$89,3,0)*VLOOKUP('Données projet'!$B$10,Paramètres!$A$1:$I$89,5,0)</f>
        <v>164.81280000000004</v>
      </c>
      <c r="AK39" s="13">
        <f t="shared" si="35"/>
        <v>41.926176413268813</v>
      </c>
      <c r="AL39" s="20">
        <f t="shared" si="4"/>
        <v>360.07038391977659</v>
      </c>
      <c r="AM39" s="59">
        <f t="shared" si="5"/>
        <v>653.4037172531099</v>
      </c>
      <c r="AN39" s="59">
        <f ca="1">AVERAGE(OFFSET($AM$3,0,0,'Données projet'!$E$10+1,1))-AVERAGE(OFFSET($H$3,0,0,'Données projet'!$E$10+1,1))</f>
        <v>234.10156575337737</v>
      </c>
      <c r="AO39" s="59">
        <f t="shared" si="36"/>
        <v>285.68635263076646</v>
      </c>
      <c r="AP39" s="15">
        <f>IF(ISNA(VLOOKUP(A39,'Données projet'!$A$61:$I$81,3,0)),0,VLOOKUP(A39,'Données projet'!$A$61:$I$81,3,0))</f>
        <v>3</v>
      </c>
      <c r="AQ39" s="15">
        <f>IF(ISNA(VLOOKUP(A39,'Données projet'!$A$61:$I$81,4,0)),0,VLOOKUP(A39,'Données projet'!$A$61:$I$81,4,0))</f>
        <v>85.407692307692301</v>
      </c>
      <c r="AR39" s="16">
        <f>IF(ISNA(VLOOKUP(A39,'Données projet'!$A$61:$I$81,5,0)),0%,VLOOKUP(A39,'Données projet'!$A$61:$I$81,5,0)*VLOOKUP('Données projet'!$B$10,Paramètres!$A$1:$I$89,7,0))</f>
        <v>0.16500000000000001</v>
      </c>
      <c r="AS39" s="16">
        <f>IF(ISNA(VLOOKUP(A39,'Données projet'!$A$61:$I$81,6,0)),0%,VLOOKUP(A39,'Données projet'!$A$61:$I$81,6,0)*VLOOKUP('Données projet'!$B$10,Paramètres!$A$1:$I$89,7,0))</f>
        <v>0.33</v>
      </c>
      <c r="AT39" s="16">
        <f>IF(ISNA(VLOOKUP(A39,'Données projet'!$A$61:$I$81,7,0)),0%,VLOOKUP(A39,'Données projet'!$A$61:$I$81,7,0))</f>
        <v>0.1</v>
      </c>
      <c r="AU39" s="21">
        <f>EXP(-LN(2)/35)*AU38+(1-EXP(-LN(2)/35))/(LN(2)/35)*AQ39*AR39*VLOOKUP('Données projet'!$B$10,Paramètres!$A$1:$I$89,3,0)*0.475*44/12</f>
        <v>17.407247823170572</v>
      </c>
      <c r="AV39" s="21">
        <f>EXP(-LN(2)/25)*AV38+(1-EXP(-LN(2)/25))/(LN(2)/25)*Calculateur!AQ39*Calculateur!AS39*VLOOKUP('Données projet'!$B$10,Paramètres!$A$1:$I$89,3,0)*0.475*44/12</f>
        <v>47.753355324561248</v>
      </c>
      <c r="AW39" s="21">
        <f>EXP(-LN(2)/2)*AW38+(1-EXP(-LN(2)/2))/(LN(2)/2)*AQ39*AT39*VLOOKUP('Données projet'!$B$10,Paramètres!$A$1:$I$89,3,0)*0.475*44/12</f>
        <v>5.4258763289097418</v>
      </c>
      <c r="AX39" s="21">
        <f t="shared" si="6"/>
        <v>70.586479476641557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278.5296012747549</v>
      </c>
      <c r="T40" s="59">
        <f t="shared" si="34"/>
        <v>370.55343097937077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20.323076923076911</v>
      </c>
      <c r="AI40" s="13">
        <f>IF('Données projet'!$A$62&gt;35,AI39+AH40-AQ39,IF(A40&lt;'Données projet'!$A$62,$AF$205^A40,IF(A40='Données projet'!$A$62,'Données projet'!$B$62,AI39+AH40-AQ39)))</f>
        <v>277.56153846153859</v>
      </c>
      <c r="AJ40" s="13">
        <f>AI40*VLOOKUP('Données projet'!$B$10,Paramètres!$A$1:$I$89,3,0)*VLOOKUP('Données projet'!$B$10,Paramètres!$A$1:$I$89,5,0)</f>
        <v>133.50710000000007</v>
      </c>
      <c r="AK40" s="13">
        <f t="shared" si="35"/>
        <v>34.805487374635142</v>
      </c>
      <c r="AL40" s="20">
        <f t="shared" si="4"/>
        <v>293.14442301082295</v>
      </c>
      <c r="AM40" s="59">
        <f t="shared" si="5"/>
        <v>586.47775634415621</v>
      </c>
      <c r="AN40" s="59">
        <f ca="1">AVERAGE(OFFSET($AM$3,0,0,'Données projet'!$E$10+1,1))-AVERAGE(OFFSET($H$3,0,0,'Données projet'!$E$10+1,1))</f>
        <v>234.10156575337737</v>
      </c>
      <c r="AO40" s="59">
        <f t="shared" si="36"/>
        <v>285.68635263076646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17.065902310730991</v>
      </c>
      <c r="AV40" s="21">
        <f>EXP(-LN(2)/25)*AV39+(1-EXP(-LN(2)/25))/(LN(2)/25)*Calculateur!AQ40*Calculateur!AS40*VLOOKUP('Données projet'!$B$10,Paramètres!$A$1:$I$89,3,0)*0.475*44/12</f>
        <v>46.447537311971303</v>
      </c>
      <c r="AW40" s="21">
        <f>EXP(-LN(2)/2)*AW39+(1-EXP(-LN(2)/2))/(LN(2)/2)*AQ40*AT40*VLOOKUP('Données projet'!$B$10,Paramètres!$A$1:$I$89,3,0)*0.475*44/12</f>
        <v>3.8366739460516488</v>
      </c>
      <c r="AX40" s="21">
        <f t="shared" si="6"/>
        <v>67.35011356875394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278.5296012747549</v>
      </c>
      <c r="T41" s="59">
        <f t="shared" si="34"/>
        <v>370.55343097937077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20.323076923076911</v>
      </c>
      <c r="AI41" s="13">
        <f>IF('Données projet'!$A$62&gt;35,AI40+AH41-AQ40,IF(A41&lt;'Données projet'!$A$62,$AF$205^A41,IF(A41='Données projet'!$A$62,'Données projet'!$B$62,AI40+AH41-AQ40)))</f>
        <v>297.88461538461547</v>
      </c>
      <c r="AJ41" s="13">
        <f>AI41*VLOOKUP('Données projet'!$B$10,Paramètres!$A$1:$I$89,3,0)*VLOOKUP('Données projet'!$B$10,Paramètres!$A$1:$I$89,5,0)</f>
        <v>143.28250000000006</v>
      </c>
      <c r="AK41" s="13">
        <f t="shared" si="35"/>
        <v>37.047962863167086</v>
      </c>
      <c r="AL41" s="20">
        <f t="shared" si="4"/>
        <v>314.07555615334945</v>
      </c>
      <c r="AM41" s="59">
        <f t="shared" si="5"/>
        <v>607.40888948668271</v>
      </c>
      <c r="AN41" s="59">
        <f ca="1">AVERAGE(OFFSET($AM$3,0,0,'Données projet'!$E$10+1,1))-AVERAGE(OFFSET($H$3,0,0,'Données projet'!$E$10+1,1))</f>
        <v>234.10156575337737</v>
      </c>
      <c r="AO41" s="59">
        <f t="shared" si="36"/>
        <v>285.68635263076646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16.731250375590147</v>
      </c>
      <c r="AV41" s="21">
        <f>EXP(-LN(2)/25)*AV40+(1-EXP(-LN(2)/25))/(LN(2)/25)*Calculateur!AQ41*Calculateur!AS41*VLOOKUP('Données projet'!$B$10,Paramètres!$A$1:$I$89,3,0)*0.475*44/12</f>
        <v>45.177426961605619</v>
      </c>
      <c r="AW41" s="21">
        <f>EXP(-LN(2)/2)*AW40+(1-EXP(-LN(2)/2))/(LN(2)/2)*AQ41*AT41*VLOOKUP('Données projet'!$B$10,Paramètres!$A$1:$I$89,3,0)*0.475*44/12</f>
        <v>2.7129381644548713</v>
      </c>
      <c r="AX41" s="21">
        <f t="shared" si="6"/>
        <v>64.621615501650638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278.5296012747549</v>
      </c>
      <c r="T42" s="59">
        <f t="shared" si="34"/>
        <v>370.55343097937077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20.323076923076911</v>
      </c>
      <c r="AI42" s="13">
        <f>IF('Données projet'!$A$62&gt;35,AI41+AH42-AQ41,IF(A42&lt;'Données projet'!$A$62,$AF$205^A42,IF(A42='Données projet'!$A$62,'Données projet'!$B$62,AI41+AH42-AQ41)))</f>
        <v>318.20769230769235</v>
      </c>
      <c r="AJ42" s="13">
        <f>AI42*VLOOKUP('Données projet'!$B$10,Paramètres!$A$1:$I$89,3,0)*VLOOKUP('Données projet'!$B$10,Paramètres!$A$1:$I$89,5,0)</f>
        <v>153.05790000000002</v>
      </c>
      <c r="AK42" s="13">
        <f t="shared" si="35"/>
        <v>39.272686060068523</v>
      </c>
      <c r="AL42" s="20">
        <f t="shared" si="4"/>
        <v>334.97577072128598</v>
      </c>
      <c r="AM42" s="59">
        <f t="shared" si="5"/>
        <v>628.3091040546193</v>
      </c>
      <c r="AN42" s="59">
        <f ca="1">AVERAGE(OFFSET($AM$3,0,0,'Données projet'!$E$10+1,1))-AVERAGE(OFFSET($H$3,0,0,'Données projet'!$E$10+1,1))</f>
        <v>234.10156575337737</v>
      </c>
      <c r="AO42" s="59">
        <f t="shared" si="36"/>
        <v>285.68635263076646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16.403160760779887</v>
      </c>
      <c r="AV42" s="21">
        <f>EXP(-LN(2)/25)*AV41+(1-EXP(-LN(2)/25))/(LN(2)/25)*Calculateur!AQ42*Calculateur!AS42*VLOOKUP('Données projet'!$B$10,Paramètres!$A$1:$I$89,3,0)*0.475*44/12</f>
        <v>43.942047845562882</v>
      </c>
      <c r="AW42" s="21">
        <f>EXP(-LN(2)/2)*AW41+(1-EXP(-LN(2)/2))/(LN(2)/2)*AQ42*AT42*VLOOKUP('Données projet'!$B$10,Paramètres!$A$1:$I$89,3,0)*0.475*44/12</f>
        <v>1.9183369730258246</v>
      </c>
      <c r="AX42" s="21">
        <f t="shared" si="6"/>
        <v>62.263545579368589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278.5296012747549</v>
      </c>
      <c r="T43" s="59">
        <f t="shared" si="34"/>
        <v>370.55343097937077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20.323076923076911</v>
      </c>
      <c r="AI43" s="13">
        <f>IF('Données projet'!$A$62&gt;35,AI42+AH43-AQ42,IF(A43&lt;'Données projet'!$A$62,$AF$205^A43,IF(A43='Données projet'!$A$62,'Données projet'!$B$62,AI42+AH43-AQ42)))</f>
        <v>338.53076923076924</v>
      </c>
      <c r="AJ43" s="13">
        <f>AI43*VLOOKUP('Données projet'!$B$10,Paramètres!$A$1:$I$89,3,0)*VLOOKUP('Données projet'!$B$10,Paramètres!$A$1:$I$89,5,0)</f>
        <v>162.83330000000001</v>
      </c>
      <c r="AK43" s="13">
        <f t="shared" si="35"/>
        <v>41.480919808188595</v>
      </c>
      <c r="AL43" s="20">
        <f t="shared" si="4"/>
        <v>355.84726616592843</v>
      </c>
      <c r="AM43" s="59">
        <f t="shared" si="5"/>
        <v>649.18059949926169</v>
      </c>
      <c r="AN43" s="59">
        <f ca="1">AVERAGE(OFFSET($AM$3,0,0,'Données projet'!$E$10+1,1))-AVERAGE(OFFSET($H$3,0,0,'Données projet'!$E$10+1,1))</f>
        <v>234.10156575337737</v>
      </c>
      <c r="AO43" s="59">
        <f t="shared" si="36"/>
        <v>285.68635263076646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16.081504783201151</v>
      </c>
      <c r="AV43" s="21">
        <f>EXP(-LN(2)/25)*AV42+(1-EXP(-LN(2)/25))/(LN(2)/25)*Calculateur!AQ43*Calculateur!AS43*VLOOKUP('Données projet'!$B$10,Paramètres!$A$1:$I$89,3,0)*0.475*44/12</f>
        <v>42.740450236414098</v>
      </c>
      <c r="AW43" s="21">
        <f>EXP(-LN(2)/2)*AW42+(1-EXP(-LN(2)/2))/(LN(2)/2)*AQ43*AT43*VLOOKUP('Données projet'!$B$10,Paramètres!$A$1:$I$89,3,0)*0.475*44/12</f>
        <v>1.3564690822274357</v>
      </c>
      <c r="AX43" s="21">
        <f t="shared" si="6"/>
        <v>60.17842410184268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278.5296012747549</v>
      </c>
      <c r="T44" s="59">
        <f t="shared" si="34"/>
        <v>370.55343097937077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20.323076923076911</v>
      </c>
      <c r="AI44" s="13">
        <f>IF('Données projet'!$A$62&gt;35,AI43+AH44-AQ43,IF(A44&lt;'Données projet'!$A$62,$AF$205^A44,IF(A44='Données projet'!$A$62,'Données projet'!$B$62,AI43+AH44-AQ43)))</f>
        <v>358.85384615384612</v>
      </c>
      <c r="AJ44" s="13">
        <f>AI44*VLOOKUP('Données projet'!$B$10,Paramètres!$A$1:$I$89,3,0)*VLOOKUP('Données projet'!$B$10,Paramètres!$A$1:$I$89,5,0)</f>
        <v>172.60869999999997</v>
      </c>
      <c r="AK44" s="13">
        <f t="shared" si="35"/>
        <v>43.673766758861269</v>
      </c>
      <c r="AL44" s="20">
        <f t="shared" si="4"/>
        <v>376.69196293834995</v>
      </c>
      <c r="AM44" s="59">
        <f t="shared" si="5"/>
        <v>670.02529627168326</v>
      </c>
      <c r="AN44" s="59">
        <f ca="1">AVERAGE(OFFSET($AM$3,0,0,'Données projet'!$E$10+1,1))-AVERAGE(OFFSET($H$3,0,0,'Données projet'!$E$10+1,1))</f>
        <v>234.10156575337737</v>
      </c>
      <c r="AO44" s="59">
        <f t="shared" si="36"/>
        <v>285.68635263076646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15.766156283151961</v>
      </c>
      <c r="AV44" s="21">
        <f>EXP(-LN(2)/25)*AV43+(1-EXP(-LN(2)/25))/(LN(2)/25)*Calculateur!AQ44*Calculateur!AS44*VLOOKUP('Données projet'!$B$10,Paramètres!$A$1:$I$89,3,0)*0.475*44/12</f>
        <v>41.571710377076762</v>
      </c>
      <c r="AW44" s="21">
        <f>EXP(-LN(2)/2)*AW43+(1-EXP(-LN(2)/2))/(LN(2)/2)*AQ44*AT44*VLOOKUP('Données projet'!$B$10,Paramètres!$A$1:$I$89,3,0)*0.475*44/12</f>
        <v>0.95916848651291231</v>
      </c>
      <c r="AX44" s="21">
        <f t="shared" si="6"/>
        <v>58.297035146741642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278.5296012747549</v>
      </c>
      <c r="T45" s="59">
        <f t="shared" si="34"/>
        <v>370.55343097937077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379.17692307692306</v>
      </c>
      <c r="AG45" s="12">
        <f>VLOOKUP(A45,'Données projet'!$A$61:$I$81,9,0)</f>
        <v>20.323076923076911</v>
      </c>
      <c r="AH45" s="12">
        <f t="array" ref="AH45">INDEX(AG:AG,MIN(IF(ISNUMBER(AG45:AG241),ROW(AG45:AG241),"")))</f>
        <v>20.323076923076911</v>
      </c>
      <c r="AI45" s="13">
        <f>IF('Données projet'!$A$62&gt;35,AI44+AH45-AQ44,IF(A45&lt;'Données projet'!$A$62,$AF$205^A45,IF(A45='Données projet'!$A$62,'Données projet'!$B$62,AI44+AH45-AQ44)))</f>
        <v>379.176923076923</v>
      </c>
      <c r="AJ45" s="13">
        <f>AI45*VLOOKUP('Données projet'!$B$10,Paramètres!$A$1:$I$89,3,0)*VLOOKUP('Données projet'!$B$10,Paramètres!$A$1:$I$89,5,0)</f>
        <v>182.38409999999999</v>
      </c>
      <c r="AK45" s="13">
        <f t="shared" si="35"/>
        <v>45.852197615700078</v>
      </c>
      <c r="AL45" s="20">
        <f t="shared" si="4"/>
        <v>397.51155168067754</v>
      </c>
      <c r="AM45" s="59">
        <f t="shared" si="5"/>
        <v>690.84488501401086</v>
      </c>
      <c r="AN45" s="59">
        <f ca="1">AVERAGE(OFFSET($AM$3,0,0,'Données projet'!$E$10+1,1))-AVERAGE(OFFSET($H$3,0,0,'Données projet'!$E$10+1,1))</f>
        <v>234.10156575337737</v>
      </c>
      <c r="AO45" s="59">
        <f t="shared" si="36"/>
        <v>285.68635263076646</v>
      </c>
      <c r="AP45" s="15">
        <f>IF(ISNA(VLOOKUP(A45,'Données projet'!$A$61:$I$81,3,0)),0,VLOOKUP(A45,'Données projet'!$A$61:$I$81,3,0))</f>
        <v>4</v>
      </c>
      <c r="AQ45" s="15">
        <f>IF(ISNA(VLOOKUP(A45,'Données projet'!$A$61:$I$81,4,0)),0,VLOOKUP(A45,'Données projet'!$A$61:$I$81,4,0))</f>
        <v>78.223076923076917</v>
      </c>
      <c r="AR45" s="16">
        <f>IF(ISNA(VLOOKUP(A45,'Données projet'!$A$61:$I$81,5,0)),0%,VLOOKUP(A45,'Données projet'!$A$61:$I$81,5,0)*VLOOKUP('Données projet'!$B$10,Paramètres!$A$1:$I$89,7,0))</f>
        <v>0.22000000000000003</v>
      </c>
      <c r="AS45" s="16">
        <f>IF(ISNA(VLOOKUP(A45,'Données projet'!$A$61:$I$81,6,0)),0%,VLOOKUP(A45,'Données projet'!$A$61:$I$81,6,0)*VLOOKUP('Données projet'!$B$10,Paramètres!$A$1:$I$89,7,0))</f>
        <v>0.33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26.437716407999996</v>
      </c>
      <c r="AV45" s="21">
        <f>EXP(-LN(2)/25)*AV44+(1-EXP(-LN(2)/25))/(LN(2)/25)*Calculateur!AQ45*Calculateur!AS45*VLOOKUP('Données projet'!$B$10,Paramètres!$A$1:$I$89,3,0)*0.475*44/12</f>
        <v>56.841164073908175</v>
      </c>
      <c r="AW45" s="21">
        <f>EXP(-LN(2)/2)*AW44+(1-EXP(-LN(2)/2))/(LN(2)/2)*AQ45*AT45*VLOOKUP('Données projet'!$B$10,Paramètres!$A$1:$I$89,3,0)*0.475*44/12</f>
        <v>0.67823454111371784</v>
      </c>
      <c r="AX45" s="21">
        <f t="shared" si="6"/>
        <v>83.957115023021899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278.5296012747549</v>
      </c>
      <c r="T46" s="59">
        <f t="shared" si="34"/>
        <v>370.55343097937077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18.898717948717945</v>
      </c>
      <c r="AI46" s="13">
        <f>IF('Données projet'!$A$62&gt;35,AI45+AH46-AQ45,IF(A46&lt;'Données projet'!$A$62,$AF$205^A46,IF(A46='Données projet'!$A$62,'Données projet'!$B$62,AI45+AH46-AQ45)))</f>
        <v>319.85256410256403</v>
      </c>
      <c r="AJ46" s="13">
        <f>AI46*VLOOKUP('Données projet'!$B$10,Paramètres!$A$1:$I$89,3,0)*VLOOKUP('Données projet'!$B$10,Paramètres!$A$1:$I$89,5,0)</f>
        <v>153.84908333333328</v>
      </c>
      <c r="AK46" s="13">
        <f t="shared" si="35"/>
        <v>39.45200958538144</v>
      </c>
      <c r="AL46" s="20">
        <f t="shared" si="4"/>
        <v>336.66607016676141</v>
      </c>
      <c r="AM46" s="59">
        <f t="shared" si="5"/>
        <v>629.99940350009479</v>
      </c>
      <c r="AN46" s="59">
        <f ca="1">AVERAGE(OFFSET($AM$3,0,0,'Données projet'!$E$10+1,1))-AVERAGE(OFFSET($H$3,0,0,'Données projet'!$E$10+1,1))</f>
        <v>234.10156575337737</v>
      </c>
      <c r="AO46" s="59">
        <f t="shared" si="36"/>
        <v>285.68635263076646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25.919288914653873</v>
      </c>
      <c r="AV46" s="21">
        <f>EXP(-LN(2)/25)*AV45+(1-EXP(-LN(2)/25))/(LN(2)/25)*Calculateur!AQ46*Calculateur!AS46*VLOOKUP('Données projet'!$B$10,Paramètres!$A$1:$I$89,3,0)*0.475*44/12</f>
        <v>55.286839453160248</v>
      </c>
      <c r="AW46" s="21">
        <f>EXP(-LN(2)/2)*AW45+(1-EXP(-LN(2)/2))/(LN(2)/2)*AQ46*AT46*VLOOKUP('Données projet'!$B$10,Paramètres!$A$1:$I$89,3,0)*0.475*44/12</f>
        <v>0.47958424325645616</v>
      </c>
      <c r="AX46" s="21">
        <f t="shared" si="6"/>
        <v>81.685712611070571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278.5296012747549</v>
      </c>
      <c r="T47" s="59">
        <f t="shared" si="34"/>
        <v>370.55343097937077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18.898717948717945</v>
      </c>
      <c r="AI47" s="13">
        <f>IF('Données projet'!$A$62&gt;35,AI46+AH47-AQ46,IF(A47&lt;'Données projet'!$A$62,$AF$205^A47,IF(A47='Données projet'!$A$62,'Données projet'!$B$62,AI46+AH47-AQ46)))</f>
        <v>338.75128205128198</v>
      </c>
      <c r="AJ47" s="13">
        <f>AI47*VLOOKUP('Données projet'!$B$10,Paramètres!$A$1:$I$89,3,0)*VLOOKUP('Données projet'!$B$10,Paramètres!$A$1:$I$89,5,0)</f>
        <v>162.93936666666664</v>
      </c>
      <c r="AK47" s="13">
        <f t="shared" si="35"/>
        <v>41.50479370545699</v>
      </c>
      <c r="AL47" s="20">
        <f t="shared" si="4"/>
        <v>356.07357931478197</v>
      </c>
      <c r="AM47" s="59">
        <f t="shared" si="5"/>
        <v>649.40691264811528</v>
      </c>
      <c r="AN47" s="59">
        <f ca="1">AVERAGE(OFFSET($AM$3,0,0,'Données projet'!$E$10+1,1))-AVERAGE(OFFSET($H$3,0,0,'Données projet'!$E$10+1,1))</f>
        <v>234.10156575337737</v>
      </c>
      <c r="AO47" s="59">
        <f t="shared" si="36"/>
        <v>285.68635263076646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25.411027468242718</v>
      </c>
      <c r="AV47" s="21">
        <f>EXP(-LN(2)/25)*AV46+(1-EXP(-LN(2)/25))/(LN(2)/25)*Calculateur!AQ47*Calculateur!AS47*VLOOKUP('Données projet'!$B$10,Paramètres!$A$1:$I$89,3,0)*0.475*44/12</f>
        <v>53.77501792090505</v>
      </c>
      <c r="AW47" s="21">
        <f>EXP(-LN(2)/2)*AW46+(1-EXP(-LN(2)/2))/(LN(2)/2)*AQ47*AT47*VLOOKUP('Données projet'!$B$10,Paramètres!$A$1:$I$89,3,0)*0.475*44/12</f>
        <v>0.33911727055685892</v>
      </c>
      <c r="AX47" s="21">
        <f t="shared" si="6"/>
        <v>79.52516265970462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278.5296012747549</v>
      </c>
      <c r="T48" s="59">
        <f t="shared" si="34"/>
        <v>370.55343097937077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18.898717948717945</v>
      </c>
      <c r="AI48" s="13">
        <f>IF('Données projet'!$A$62&gt;35,AI47+AH48-AQ47,IF(A48&lt;'Données projet'!$A$62,$AF$205^A48,IF(A48='Données projet'!$A$62,'Données projet'!$B$62,AI47+AH48-AQ47)))</f>
        <v>357.64999999999992</v>
      </c>
      <c r="AJ48" s="13">
        <f>AI48*VLOOKUP('Données projet'!$B$10,Paramètres!$A$1:$I$89,3,0)*VLOOKUP('Données projet'!$B$10,Paramètres!$A$1:$I$89,5,0)</f>
        <v>172.02964999999998</v>
      </c>
      <c r="AK48" s="13">
        <f t="shared" si="35"/>
        <v>43.544283198434186</v>
      </c>
      <c r="AL48" s="20">
        <f t="shared" si="4"/>
        <v>375.45793365393951</v>
      </c>
      <c r="AM48" s="59">
        <f t="shared" si="5"/>
        <v>668.79126698727282</v>
      </c>
      <c r="AN48" s="59">
        <f ca="1">AVERAGE(OFFSET($AM$3,0,0,'Données projet'!$E$10+1,1))-AVERAGE(OFFSET($H$3,0,0,'Données projet'!$E$10+1,1))</f>
        <v>234.10156575337737</v>
      </c>
      <c r="AO48" s="59">
        <f t="shared" si="36"/>
        <v>285.68635263076646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24.912732718786817</v>
      </c>
      <c r="AV48" s="21">
        <f>EXP(-LN(2)/25)*AV47+(1-EXP(-LN(2)/25))/(LN(2)/25)*Calculateur!AQ48*Calculateur!AS48*VLOOKUP('Données projet'!$B$10,Paramètres!$A$1:$I$89,3,0)*0.475*44/12</f>
        <v>52.304537227952615</v>
      </c>
      <c r="AW48" s="21">
        <f>EXP(-LN(2)/2)*AW47+(1-EXP(-LN(2)/2))/(LN(2)/2)*AQ48*AT48*VLOOKUP('Données projet'!$B$10,Paramètres!$A$1:$I$89,3,0)*0.475*44/12</f>
        <v>0.23979212162822808</v>
      </c>
      <c r="AX48" s="21">
        <f t="shared" si="6"/>
        <v>77.457062068367662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278.5296012747549</v>
      </c>
      <c r="T49" s="59">
        <f t="shared" si="34"/>
        <v>370.55343097937077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18.898717948717945</v>
      </c>
      <c r="AI49" s="13">
        <f>IF('Données projet'!$A$62&gt;35,AI48+AH49-AQ48,IF(A49&lt;'Données projet'!$A$62,$AF$205^A49,IF(A49='Données projet'!$A$62,'Données projet'!$B$62,AI48+AH49-AQ48)))</f>
        <v>376.54871794871787</v>
      </c>
      <c r="AJ49" s="13">
        <f>AI49*VLOOKUP('Données projet'!$B$10,Paramètres!$A$1:$I$89,3,0)*VLOOKUP('Données projet'!$B$10,Paramètres!$A$1:$I$89,5,0)</f>
        <v>181.11993333333328</v>
      </c>
      <c r="AK49" s="13">
        <f t="shared" si="35"/>
        <v>45.571260682490362</v>
      </c>
      <c r="AL49" s="20">
        <f t="shared" si="4"/>
        <v>394.82049624422615</v>
      </c>
      <c r="AM49" s="59">
        <f t="shared" si="5"/>
        <v>688.15382957755946</v>
      </c>
      <c r="AN49" s="59">
        <f ca="1">AVERAGE(OFFSET($AM$3,0,0,'Données projet'!$E$10+1,1))-AVERAGE(OFFSET($H$3,0,0,'Données projet'!$E$10+1,1))</f>
        <v>234.10156575337737</v>
      </c>
      <c r="AO49" s="59">
        <f t="shared" si="36"/>
        <v>285.68635263076646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24.424209225437959</v>
      </c>
      <c r="AV49" s="21">
        <f>EXP(-LN(2)/25)*AV48+(1-EXP(-LN(2)/25))/(LN(2)/25)*Calculateur!AQ49*Calculateur!AS49*VLOOKUP('Données projet'!$B$10,Paramètres!$A$1:$I$89,3,0)*0.475*44/12</f>
        <v>50.874266906878184</v>
      </c>
      <c r="AW49" s="21">
        <f>EXP(-LN(2)/2)*AW48+(1-EXP(-LN(2)/2))/(LN(2)/2)*AQ49*AT49*VLOOKUP('Données projet'!$B$10,Paramètres!$A$1:$I$89,3,0)*0.475*44/12</f>
        <v>0.16955863527842946</v>
      </c>
      <c r="AX49" s="21">
        <f t="shared" si="6"/>
        <v>75.468034767594574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278.5296012747549</v>
      </c>
      <c r="T50" s="59">
        <f t="shared" si="34"/>
        <v>370.55343097937077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18.898717948717945</v>
      </c>
      <c r="AI50" s="13">
        <f>IF('Données projet'!$A$62&gt;35,AI49+AH50-AQ49,IF(A50&lt;'Données projet'!$A$62,$AF$205^A50,IF(A50='Données projet'!$A$62,'Données projet'!$B$62,AI49+AH50-AQ49)))</f>
        <v>395.44743589743581</v>
      </c>
      <c r="AJ50" s="13">
        <f>AI50*VLOOKUP('Données projet'!$B$10,Paramètres!$A$1:$I$89,3,0)*VLOOKUP('Données projet'!$B$10,Paramètres!$A$1:$I$89,5,0)</f>
        <v>190.21021666666664</v>
      </c>
      <c r="AK50" s="13">
        <f t="shared" si="35"/>
        <v>47.586425780049048</v>
      </c>
      <c r="AL50" s="20">
        <f t="shared" si="4"/>
        <v>414.16248559469642</v>
      </c>
      <c r="AM50" s="59">
        <f t="shared" si="5"/>
        <v>707.49581892802973</v>
      </c>
      <c r="AN50" s="59">
        <f ca="1">AVERAGE(OFFSET($AM$3,0,0,'Données projet'!$E$10+1,1))-AVERAGE(OFFSET($H$3,0,0,'Données projet'!$E$10+1,1))</f>
        <v>234.10156575337737</v>
      </c>
      <c r="AO50" s="59">
        <f t="shared" si="36"/>
        <v>285.68635263076646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23.945265379823763</v>
      </c>
      <c r="AV50" s="21">
        <f>EXP(-LN(2)/25)*AV49+(1-EXP(-LN(2)/25))/(LN(2)/25)*Calculateur!AQ50*Calculateur!AS50*VLOOKUP('Données projet'!$B$10,Paramètres!$A$1:$I$89,3,0)*0.475*44/12</f>
        <v>49.483107402948178</v>
      </c>
      <c r="AW50" s="21">
        <f>EXP(-LN(2)/2)*AW49+(1-EXP(-LN(2)/2))/(LN(2)/2)*AQ50*AT50*VLOOKUP('Données projet'!$B$10,Paramètres!$A$1:$I$89,3,0)*0.475*44/12</f>
        <v>0.11989606081411404</v>
      </c>
      <c r="AX50" s="21">
        <f t="shared" si="6"/>
        <v>73.548268843586058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278.5296012747549</v>
      </c>
      <c r="T51" s="59">
        <f t="shared" si="34"/>
        <v>370.55343097937077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414.34615384615381</v>
      </c>
      <c r="AG51" s="12">
        <f>VLOOKUP(A51,'Données projet'!$A$61:$I$81,9,0)</f>
        <v>18.898717948717945</v>
      </c>
      <c r="AH51" s="12">
        <f t="array" ref="AH51">INDEX(AG:AG,MIN(IF(ISNUMBER(AG51:AG247),ROW(AG51:AG247),"")))</f>
        <v>18.898717948717945</v>
      </c>
      <c r="AI51" s="13">
        <f>IF('Données projet'!$A$62&gt;35,AI50+AH51-AQ50,IF(A51&lt;'Données projet'!$A$62,$AF$205^A51,IF(A51='Données projet'!$A$62,'Données projet'!$B$62,AI50+AH51-AQ50)))</f>
        <v>414.34615384615375</v>
      </c>
      <c r="AJ51" s="13">
        <f>AI51*VLOOKUP('Données projet'!$B$10,Paramètres!$A$1:$I$89,3,0)*VLOOKUP('Données projet'!$B$10,Paramètres!$A$1:$I$89,5,0)</f>
        <v>199.30049999999997</v>
      </c>
      <c r="AK51" s="13">
        <f t="shared" si="35"/>
        <v>49.59040746412353</v>
      </c>
      <c r="AL51" s="20">
        <f t="shared" si="4"/>
        <v>433.48499716668175</v>
      </c>
      <c r="AM51" s="59">
        <f t="shared" si="5"/>
        <v>726.81833050001501</v>
      </c>
      <c r="AN51" s="59">
        <f ca="1">AVERAGE(OFFSET($AM$3,0,0,'Données projet'!$E$10+1,1))-AVERAGE(OFFSET($H$3,0,0,'Données projet'!$E$10+1,1))</f>
        <v>234.10156575337737</v>
      </c>
      <c r="AO51" s="59">
        <f t="shared" si="36"/>
        <v>285.68635263076646</v>
      </c>
      <c r="AP51" s="15">
        <f>IF(ISNA(VLOOKUP(A51,'Données projet'!$A$61:$I$81,3,0)),0,VLOOKUP(A51,'Données projet'!$A$61:$I$81,3,0))</f>
        <v>5</v>
      </c>
      <c r="AQ51" s="15">
        <f>IF(ISNA(VLOOKUP(A51,'Données projet'!$A$61:$I$81,4,0)),0,VLOOKUP(A51,'Données projet'!$A$61:$I$81,4,0))</f>
        <v>85.953846153846143</v>
      </c>
      <c r="AR51" s="16">
        <f>IF(ISNA(VLOOKUP(A51,'Données projet'!$A$61:$I$81,5,0)),0%,VLOOKUP(A51,'Données projet'!$A$61:$I$81,5,0)*VLOOKUP('Données projet'!$B$10,Paramètres!$A$1:$I$89,7,0))</f>
        <v>0.22000000000000003</v>
      </c>
      <c r="AS51" s="16">
        <f>IF(ISNA(VLOOKUP(A51,'Données projet'!$A$61:$I$81,6,0)),0%,VLOOKUP(A51,'Données projet'!$A$61:$I$81,6,0)*VLOOKUP('Données projet'!$B$10,Paramètres!$A$1:$I$89,7,0))</f>
        <v>0.33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35.54166074811144</v>
      </c>
      <c r="AV51" s="21">
        <f>EXP(-LN(2)/25)*AV50+(1-EXP(-LN(2)/25))/(LN(2)/25)*Calculateur!AQ51*Calculateur!AS51*VLOOKUP('Données projet'!$B$10,Paramètres!$A$1:$I$89,3,0)*0.475*44/12</f>
        <v>66.157648005933481</v>
      </c>
      <c r="AW51" s="21">
        <f>EXP(-LN(2)/2)*AW50+(1-EXP(-LN(2)/2))/(LN(2)/2)*AQ51*AT51*VLOOKUP('Données projet'!$B$10,Paramètres!$A$1:$I$89,3,0)*0.475*44/12</f>
        <v>8.477931763921473E-2</v>
      </c>
      <c r="AX51" s="21">
        <f t="shared" si="6"/>
        <v>101.78408807168414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278.5296012747549</v>
      </c>
      <c r="T52" s="59">
        <f t="shared" si="34"/>
        <v>370.55343097937077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17.046153846153839</v>
      </c>
      <c r="AI52" s="13">
        <f>IF('Données projet'!$A$62&gt;35,AI51+AH52-AQ51,IF(A52&lt;'Données projet'!$A$62,$AF$205^A52,IF(A52='Données projet'!$A$62,'Données projet'!$B$62,AI51+AH52-AQ51)))</f>
        <v>345.43846153846147</v>
      </c>
      <c r="AJ52" s="13">
        <f>AI52*VLOOKUP('Données projet'!$B$10,Paramètres!$A$1:$I$89,3,0)*VLOOKUP('Données projet'!$B$10,Paramètres!$A$1:$I$89,5,0)</f>
        <v>166.15589999999997</v>
      </c>
      <c r="AK52" s="13">
        <f t="shared" si="35"/>
        <v>42.227930367313284</v>
      </c>
      <c r="AL52" s="20">
        <f t="shared" si="4"/>
        <v>362.93517122307065</v>
      </c>
      <c r="AM52" s="59">
        <f t="shared" si="5"/>
        <v>656.26850455640397</v>
      </c>
      <c r="AN52" s="59">
        <f ca="1">AVERAGE(OFFSET($AM$3,0,0,'Données projet'!$E$10+1,1))-AVERAGE(OFFSET($H$3,0,0,'Données projet'!$E$10+1,1))</f>
        <v>234.10156575337737</v>
      </c>
      <c r="AO52" s="59">
        <f t="shared" si="36"/>
        <v>285.68635263076646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34.844710459113479</v>
      </c>
      <c r="AV52" s="21">
        <f>EXP(-LN(2)/25)*AV51+(1-EXP(-LN(2)/25))/(LN(2)/25)*Calculateur!AQ52*Calculateur!AS52*VLOOKUP('Données projet'!$B$10,Paramètres!$A$1:$I$89,3,0)*0.475*44/12</f>
        <v>64.348563642131722</v>
      </c>
      <c r="AW52" s="21">
        <f>EXP(-LN(2)/2)*AW51+(1-EXP(-LN(2)/2))/(LN(2)/2)*AQ52*AT52*VLOOKUP('Données projet'!$B$10,Paramètres!$A$1:$I$89,3,0)*0.475*44/12</f>
        <v>5.9948030407057019E-2</v>
      </c>
      <c r="AX52" s="21">
        <f t="shared" si="6"/>
        <v>99.253222131652265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278.5296012747549</v>
      </c>
      <c r="T53" s="59">
        <f t="shared" si="34"/>
        <v>370.55343097937077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17.046153846153839</v>
      </c>
      <c r="AI53" s="13">
        <f>IF('Données projet'!$A$62&gt;35,AI52+AH53-AQ52,IF(A53&lt;'Données projet'!$A$62,$AF$205^A53,IF(A53='Données projet'!$A$62,'Données projet'!$B$62,AI52+AH53-AQ52)))</f>
        <v>362.48461538461532</v>
      </c>
      <c r="AJ53" s="13">
        <f>AI53*VLOOKUP('Données projet'!$B$10,Paramètres!$A$1:$I$89,3,0)*VLOOKUP('Données projet'!$B$10,Paramètres!$A$1:$I$89,5,0)</f>
        <v>174.35509999999999</v>
      </c>
      <c r="AK53" s="13">
        <f t="shared" si="35"/>
        <v>44.06398049006804</v>
      </c>
      <c r="AL53" s="20">
        <f t="shared" si="4"/>
        <v>380.41323185353514</v>
      </c>
      <c r="AM53" s="59">
        <f t="shared" si="5"/>
        <v>673.74656518686845</v>
      </c>
      <c r="AN53" s="59">
        <f ca="1">AVERAGE(OFFSET($AM$3,0,0,'Données projet'!$E$10+1,1))-AVERAGE(OFFSET($H$3,0,0,'Données projet'!$E$10+1,1))</f>
        <v>234.10156575337737</v>
      </c>
      <c r="AO53" s="59">
        <f t="shared" si="36"/>
        <v>285.68635263076646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34.161426940185066</v>
      </c>
      <c r="AV53" s="21">
        <f>EXP(-LN(2)/25)*AV52+(1-EXP(-LN(2)/25))/(LN(2)/25)*Calculateur!AQ53*Calculateur!AS53*VLOOKUP('Données projet'!$B$10,Paramètres!$A$1:$I$89,3,0)*0.475*44/12</f>
        <v>62.58894878539374</v>
      </c>
      <c r="AW53" s="21">
        <f>EXP(-LN(2)/2)*AW52+(1-EXP(-LN(2)/2))/(LN(2)/2)*AQ53*AT53*VLOOKUP('Données projet'!$B$10,Paramètres!$A$1:$I$89,3,0)*0.475*44/12</f>
        <v>4.2389658819607365E-2</v>
      </c>
      <c r="AX53" s="21">
        <f t="shared" si="6"/>
        <v>96.792765384398407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278.5296012747549</v>
      </c>
      <c r="T54" s="59">
        <f t="shared" si="34"/>
        <v>370.55343097937077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17.046153846153839</v>
      </c>
      <c r="AI54" s="13">
        <f>IF('Données projet'!$A$62&gt;35,AI53+AH54-AQ53,IF(A54&lt;'Données projet'!$A$62,$AF$205^A54,IF(A54='Données projet'!$A$62,'Données projet'!$B$62,AI53+AH54-AQ53)))</f>
        <v>379.53076923076918</v>
      </c>
      <c r="AJ54" s="13">
        <f>AI54*VLOOKUP('Données projet'!$B$10,Paramètres!$A$1:$I$89,3,0)*VLOOKUP('Données projet'!$B$10,Paramètres!$A$1:$I$89,5,0)</f>
        <v>182.55429999999998</v>
      </c>
      <c r="AK54" s="13">
        <f t="shared" si="35"/>
        <v>45.890003975586062</v>
      </c>
      <c r="AL54" s="20">
        <f t="shared" si="4"/>
        <v>397.8738294241457</v>
      </c>
      <c r="AM54" s="59">
        <f t="shared" si="5"/>
        <v>691.20716275747895</v>
      </c>
      <c r="AN54" s="59">
        <f ca="1">AVERAGE(OFFSET($AM$3,0,0,'Données projet'!$E$10+1,1))-AVERAGE(OFFSET($H$3,0,0,'Données projet'!$E$10+1,1))</f>
        <v>234.10156575337737</v>
      </c>
      <c r="AO54" s="59">
        <f t="shared" si="36"/>
        <v>285.68635263076646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33.491542194301047</v>
      </c>
      <c r="AV54" s="21">
        <f>EXP(-LN(2)/25)*AV53+(1-EXP(-LN(2)/25))/(LN(2)/25)*Calculateur!AQ54*Calculateur!AS54*VLOOKUP('Données projet'!$B$10,Paramètres!$A$1:$I$89,3,0)*0.475*44/12</f>
        <v>60.877450689447379</v>
      </c>
      <c r="AW54" s="21">
        <f>EXP(-LN(2)/2)*AW53+(1-EXP(-LN(2)/2))/(LN(2)/2)*AQ54*AT54*VLOOKUP('Données projet'!$B$10,Paramètres!$A$1:$I$89,3,0)*0.475*44/12</f>
        <v>2.997401520352851E-2</v>
      </c>
      <c r="AX54" s="21">
        <f t="shared" si="6"/>
        <v>94.398966898951969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278.5296012747549</v>
      </c>
      <c r="T55" s="59">
        <f t="shared" si="34"/>
        <v>370.55343097937077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17.046153846153839</v>
      </c>
      <c r="AI55" s="13">
        <f>IF('Données projet'!$A$62&gt;35,AI54+AH55-AQ54,IF(A55&lt;'Données projet'!$A$62,$AF$205^A55,IF(A55='Données projet'!$A$62,'Données projet'!$B$62,AI54+AH55-AQ54)))</f>
        <v>396.57692307692304</v>
      </c>
      <c r="AJ55" s="13">
        <f>AI55*VLOOKUP('Données projet'!$B$10,Paramètres!$A$1:$I$89,3,0)*VLOOKUP('Données projet'!$B$10,Paramètres!$A$1:$I$89,5,0)</f>
        <v>190.75349999999997</v>
      </c>
      <c r="AK55" s="13">
        <f t="shared" si="35"/>
        <v>47.70650260946374</v>
      </c>
      <c r="AL55" s="20">
        <f t="shared" si="4"/>
        <v>415.31783787814931</v>
      </c>
      <c r="AM55" s="59">
        <f t="shared" si="5"/>
        <v>708.65117121148262</v>
      </c>
      <c r="AN55" s="59">
        <f ca="1">AVERAGE(OFFSET($AM$3,0,0,'Données projet'!$E$10+1,1))-AVERAGE(OFFSET($H$3,0,0,'Données projet'!$E$10+1,1))</f>
        <v>234.10156575337737</v>
      </c>
      <c r="AO55" s="59">
        <f t="shared" si="36"/>
        <v>285.68635263076646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32.834793479694461</v>
      </c>
      <c r="AV55" s="21">
        <f>EXP(-LN(2)/25)*AV54+(1-EXP(-LN(2)/25))/(LN(2)/25)*Calculateur!AQ55*Calculateur!AS55*VLOOKUP('Données projet'!$B$10,Paramètres!$A$1:$I$89,3,0)*0.475*44/12</f>
        <v>59.212753598938448</v>
      </c>
      <c r="AW55" s="21">
        <f>EXP(-LN(2)/2)*AW54+(1-EXP(-LN(2)/2))/(LN(2)/2)*AQ55*AT55*VLOOKUP('Données projet'!$B$10,Paramètres!$A$1:$I$89,3,0)*0.475*44/12</f>
        <v>2.1194829409803682E-2</v>
      </c>
      <c r="AX55" s="21">
        <f t="shared" si="6"/>
        <v>92.068741908042711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278.5296012747549</v>
      </c>
      <c r="T56" s="59">
        <f t="shared" si="34"/>
        <v>370.55343097937077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17.046153846153839</v>
      </c>
      <c r="AI56" s="13">
        <f>IF('Données projet'!$A$62&gt;35,AI55+AH56-AQ55,IF(A56&lt;'Données projet'!$A$62,$AF$205^A56,IF(A56='Données projet'!$A$62,'Données projet'!$B$62,AI55+AH56-AQ55)))</f>
        <v>413.62307692307689</v>
      </c>
      <c r="AJ56" s="13">
        <f>AI56*VLOOKUP('Données projet'!$B$10,Paramètres!$A$1:$I$89,3,0)*VLOOKUP('Données projet'!$B$10,Paramètres!$A$1:$I$89,5,0)</f>
        <v>198.95269999999999</v>
      </c>
      <c r="AK56" s="13">
        <f t="shared" si="35"/>
        <v>49.513932600902386</v>
      </c>
      <c r="AL56" s="20">
        <f t="shared" si="4"/>
        <v>432.74605177990497</v>
      </c>
      <c r="AM56" s="59">
        <f t="shared" si="5"/>
        <v>726.07938511323823</v>
      </c>
      <c r="AN56" s="59">
        <f ca="1">AVERAGE(OFFSET($AM$3,0,0,'Données projet'!$E$10+1,1))-AVERAGE(OFFSET($H$3,0,0,'Données projet'!$E$10+1,1))</f>
        <v>234.10156575337737</v>
      </c>
      <c r="AO56" s="59">
        <f t="shared" si="36"/>
        <v>285.68635263076646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32.19092320680415</v>
      </c>
      <c r="AV56" s="21">
        <f>EXP(-LN(2)/25)*AV55+(1-EXP(-LN(2)/25))/(LN(2)/25)*Calculateur!AQ56*Calculateur!AS56*VLOOKUP('Données projet'!$B$10,Paramètres!$A$1:$I$89,3,0)*0.475*44/12</f>
        <v>57.593577737912099</v>
      </c>
      <c r="AW56" s="21">
        <f>EXP(-LN(2)/2)*AW55+(1-EXP(-LN(2)/2))/(LN(2)/2)*AQ56*AT56*VLOOKUP('Données projet'!$B$10,Paramètres!$A$1:$I$89,3,0)*0.475*44/12</f>
        <v>1.4987007601764255E-2</v>
      </c>
      <c r="AX56" s="21">
        <f t="shared" si="6"/>
        <v>89.799487952318017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278.5296012747549</v>
      </c>
      <c r="T57" s="59">
        <f t="shared" si="34"/>
        <v>370.55343097937077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17.046153846153839</v>
      </c>
      <c r="AI57" s="13">
        <f>IF('Données projet'!$A$62&gt;35,AI56+AH57-AQ56,IF(A57&lt;'Données projet'!$A$62,$AF$205^A57,IF(A57='Données projet'!$A$62,'Données projet'!$B$62,AI56+AH57-AQ56)))</f>
        <v>430.66923076923075</v>
      </c>
      <c r="AJ57" s="13">
        <f>AI57*VLOOKUP('Données projet'!$B$10,Paramètres!$A$1:$I$89,3,0)*VLOOKUP('Données projet'!$B$10,Paramètres!$A$1:$I$89,5,0)</f>
        <v>207.15190000000001</v>
      </c>
      <c r="AK57" s="13">
        <f t="shared" si="35"/>
        <v>51.31271042903446</v>
      </c>
      <c r="AL57" s="20">
        <f t="shared" si="4"/>
        <v>450.15919649723497</v>
      </c>
      <c r="AM57" s="59">
        <f t="shared" si="5"/>
        <v>743.49252983056829</v>
      </c>
      <c r="AN57" s="59">
        <f ca="1">AVERAGE(OFFSET($AM$3,0,0,'Données projet'!$E$10+1,1))-AVERAGE(OFFSET($H$3,0,0,'Données projet'!$E$10+1,1))</f>
        <v>234.10156575337737</v>
      </c>
      <c r="AO57" s="59">
        <f t="shared" si="36"/>
        <v>285.68635263076646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31.55967883724313</v>
      </c>
      <c r="AV57" s="21">
        <f>EXP(-LN(2)/25)*AV56+(1-EXP(-LN(2)/25))/(LN(2)/25)*Calculateur!AQ57*Calculateur!AS57*VLOOKUP('Données projet'!$B$10,Paramètres!$A$1:$I$89,3,0)*0.475*44/12</f>
        <v>56.018678325954269</v>
      </c>
      <c r="AW57" s="21">
        <f>EXP(-LN(2)/2)*AW56+(1-EXP(-LN(2)/2))/(LN(2)/2)*AQ57*AT57*VLOOKUP('Données projet'!$B$10,Paramètres!$A$1:$I$89,3,0)*0.475*44/12</f>
        <v>1.0597414704901841E-2</v>
      </c>
      <c r="AX57" s="21">
        <f t="shared" si="6"/>
        <v>87.5889545779023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278.5296012747549</v>
      </c>
      <c r="T58" s="59">
        <f t="shared" si="34"/>
        <v>370.55343097937077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447.71538461538455</v>
      </c>
      <c r="AG58" s="12">
        <f>VLOOKUP(A58,'Données projet'!$A$61:$I$81,9,0)</f>
        <v>17.046153846153839</v>
      </c>
      <c r="AH58" s="12">
        <f t="array" ref="AH58">INDEX(AG:AG,MIN(IF(ISNUMBER(AG58:AG254),ROW(AG58:AG254),"")))</f>
        <v>17.046153846153839</v>
      </c>
      <c r="AI58" s="13">
        <f>IF('Données projet'!$A$62&gt;35,AI57+AH58-AQ57,IF(A58&lt;'Données projet'!$A$62,$AF$205^A58,IF(A58='Données projet'!$A$62,'Données projet'!$B$62,AI57+AH58-AQ57)))</f>
        <v>447.71538461538461</v>
      </c>
      <c r="AJ58" s="13">
        <f>AI58*VLOOKUP('Données projet'!$B$10,Paramètres!$A$1:$I$89,3,0)*VLOOKUP('Données projet'!$B$10,Paramètres!$A$1:$I$89,5,0)</f>
        <v>215.3511</v>
      </c>
      <c r="AK58" s="13">
        <f t="shared" si="35"/>
        <v>53.10321773759641</v>
      </c>
      <c r="AL58" s="20">
        <f t="shared" si="4"/>
        <v>467.5579367263137</v>
      </c>
      <c r="AM58" s="59">
        <f t="shared" si="5"/>
        <v>760.89127005964701</v>
      </c>
      <c r="AN58" s="59">
        <f ca="1">AVERAGE(OFFSET($AM$3,0,0,'Données projet'!$E$10+1,1))-AVERAGE(OFFSET($H$3,0,0,'Données projet'!$E$10+1,1))</f>
        <v>234.10156575337737</v>
      </c>
      <c r="AO58" s="59">
        <f t="shared" si="36"/>
        <v>285.68635263076646</v>
      </c>
      <c r="AP58" s="15">
        <f>IF(ISNA(VLOOKUP(A58,'Données projet'!$A$61:$I$81,3,0)),0,VLOOKUP(A58,'Données projet'!$A$61:$I$81,3,0))</f>
        <v>6</v>
      </c>
      <c r="AQ58" s="15">
        <f>IF(ISNA(VLOOKUP(A58,'Données projet'!$A$61:$I$81,4,0)),0,VLOOKUP(A58,'Données projet'!$A$61:$I$81,4,0))</f>
        <v>83.638461538461542</v>
      </c>
      <c r="AR58" s="16">
        <f>IF(ISNA(VLOOKUP(A58,'Données projet'!$A$61:$I$81,5,0)),0%,VLOOKUP(A58,'Données projet'!$A$61:$I$81,5,0)*VLOOKUP('Données projet'!$B$10,Paramètres!$A$1:$I$89,7,0))</f>
        <v>0.33</v>
      </c>
      <c r="AS58" s="16">
        <f>IF(ISNA(VLOOKUP(A58,'Données projet'!$A$61:$I$81,6,0)),0%,VLOOKUP(A58,'Données projet'!$A$61:$I$81,6,0)*VLOOKUP('Données projet'!$B$10,Paramètres!$A$1:$I$89,7,0))</f>
        <v>0.22000000000000003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48.552193615344976</v>
      </c>
      <c r="AV58" s="21">
        <f>EXP(-LN(2)/25)*AV57+(1-EXP(-LN(2)/25))/(LN(2)/25)*Calculateur!AQ58*Calculateur!AS58*VLOOKUP('Données projet'!$B$10,Paramètres!$A$1:$I$89,3,0)*0.475*44/12</f>
        <v>66.181536697106509</v>
      </c>
      <c r="AW58" s="21">
        <f>EXP(-LN(2)/2)*AW57+(1-EXP(-LN(2)/2))/(LN(2)/2)*AQ58*AT58*VLOOKUP('Données projet'!$B$10,Paramètres!$A$1:$I$89,3,0)*0.475*44/12</f>
        <v>7.4935038008821274E-3</v>
      </c>
      <c r="AX58" s="21">
        <f t="shared" si="6"/>
        <v>114.74122381625237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278.5296012747549</v>
      </c>
      <c r="T59" s="59">
        <f t="shared" si="34"/>
        <v>370.55343097937077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15.286813186813204</v>
      </c>
      <c r="AI59" s="13">
        <f>IF('Données projet'!$A$62&gt;35,AI58+AH59-AQ58,IF(A59&lt;'Données projet'!$A$62,$AF$205^A59,IF(A59='Données projet'!$A$62,'Données projet'!$B$62,AI58+AH59-AQ58)))</f>
        <v>379.36373626373631</v>
      </c>
      <c r="AJ59" s="13">
        <f>AI59*VLOOKUP('Données projet'!$B$10,Paramètres!$A$1:$I$89,3,0)*VLOOKUP('Données projet'!$B$10,Paramètres!$A$1:$I$89,5,0)</f>
        <v>182.47395714285716</v>
      </c>
      <c r="AK59" s="13">
        <f t="shared" si="35"/>
        <v>45.872158006629768</v>
      </c>
      <c r="AL59" s="20">
        <f t="shared" si="4"/>
        <v>397.70281721868969</v>
      </c>
      <c r="AM59" s="59">
        <f t="shared" si="5"/>
        <v>691.03615055202295</v>
      </c>
      <c r="AN59" s="59">
        <f ca="1">AVERAGE(OFFSET($AM$3,0,0,'Données projet'!$E$10+1,1))-AVERAGE(OFFSET($H$3,0,0,'Données projet'!$E$10+1,1))</f>
        <v>234.10156575337737</v>
      </c>
      <c r="AO59" s="59">
        <f t="shared" si="36"/>
        <v>285.68635263076646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47.600114712462037</v>
      </c>
      <c r="AV59" s="21">
        <f>EXP(-LN(2)/25)*AV58+(1-EXP(-LN(2)/25))/(LN(2)/25)*Calculateur!AQ59*Calculateur!AS59*VLOOKUP('Données projet'!$B$10,Paramètres!$A$1:$I$89,3,0)*0.475*44/12</f>
        <v>64.371799095788376</v>
      </c>
      <c r="AW59" s="21">
        <f>EXP(-LN(2)/2)*AW58+(1-EXP(-LN(2)/2))/(LN(2)/2)*AQ59*AT59*VLOOKUP('Données projet'!$B$10,Paramètres!$A$1:$I$89,3,0)*0.475*44/12</f>
        <v>5.2987073524509206E-3</v>
      </c>
      <c r="AX59" s="21">
        <f t="shared" si="6"/>
        <v>111.97721251560286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278.5296012747549</v>
      </c>
      <c r="T60" s="59">
        <f t="shared" si="34"/>
        <v>370.55343097937077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15.286813186813204</v>
      </c>
      <c r="AI60" s="13">
        <f>IF('Données projet'!$A$62&gt;35,AI59+AH60-AQ59,IF(A60&lt;'Données projet'!$A$62,$AF$205^A60,IF(A60='Données projet'!$A$62,'Données projet'!$B$62,AI59+AH60-AQ59)))</f>
        <v>394.65054945054953</v>
      </c>
      <c r="AJ60" s="13">
        <f>AI60*VLOOKUP('Données projet'!$B$10,Paramètres!$A$1:$I$89,3,0)*VLOOKUP('Données projet'!$B$10,Paramètres!$A$1:$I$89,5,0)</f>
        <v>189.82691428571431</v>
      </c>
      <c r="AK60" s="13">
        <f t="shared" si="35"/>
        <v>47.501684027756518</v>
      </c>
      <c r="AL60" s="20">
        <f t="shared" si="4"/>
        <v>413.34730872929498</v>
      </c>
      <c r="AM60" s="59">
        <f t="shared" si="5"/>
        <v>706.68064206262829</v>
      </c>
      <c r="AN60" s="59">
        <f ca="1">AVERAGE(OFFSET($AM$3,0,0,'Données projet'!$E$10+1,1))-AVERAGE(OFFSET($H$3,0,0,'Données projet'!$E$10+1,1))</f>
        <v>234.10156575337737</v>
      </c>
      <c r="AO60" s="59">
        <f t="shared" si="36"/>
        <v>285.68635263076646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46.666705496153838</v>
      </c>
      <c r="AV60" s="21">
        <f>EXP(-LN(2)/25)*AV59+(1-EXP(-LN(2)/25))/(LN(2)/25)*Calculateur!AQ60*Calculateur!AS60*VLOOKUP('Données projet'!$B$10,Paramètres!$A$1:$I$89,3,0)*0.475*44/12</f>
        <v>62.611548864348251</v>
      </c>
      <c r="AW60" s="21">
        <f>EXP(-LN(2)/2)*AW59+(1-EXP(-LN(2)/2))/(LN(2)/2)*AQ60*AT60*VLOOKUP('Données projet'!$B$10,Paramètres!$A$1:$I$89,3,0)*0.475*44/12</f>
        <v>3.7467519004410637E-3</v>
      </c>
      <c r="AX60" s="21">
        <f t="shared" si="6"/>
        <v>109.28200111240253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278.5296012747549</v>
      </c>
      <c r="T61" s="59">
        <f t="shared" si="34"/>
        <v>370.55343097937077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15.286813186813204</v>
      </c>
      <c r="AI61" s="13">
        <f>IF('Données projet'!$A$62&gt;35,AI60+AH61-AQ60,IF(A61&lt;'Données projet'!$A$62,$AF$205^A61,IF(A61='Données projet'!$A$62,'Données projet'!$B$62,AI60+AH61-AQ60)))</f>
        <v>409.93736263736275</v>
      </c>
      <c r="AJ61" s="13">
        <f>AI61*VLOOKUP('Données projet'!$B$10,Paramètres!$A$1:$I$89,3,0)*VLOOKUP('Données projet'!$B$10,Paramètres!$A$1:$I$89,5,0)</f>
        <v>197.17987142857149</v>
      </c>
      <c r="AK61" s="13">
        <f t="shared" si="35"/>
        <v>49.123877507019834</v>
      </c>
      <c r="AL61" s="20">
        <f t="shared" si="4"/>
        <v>428.97902939615483</v>
      </c>
      <c r="AM61" s="59">
        <f t="shared" si="5"/>
        <v>722.31236272948809</v>
      </c>
      <c r="AN61" s="59">
        <f ca="1">AVERAGE(OFFSET($AM$3,0,0,'Données projet'!$E$10+1,1))-AVERAGE(OFFSET($H$3,0,0,'Données projet'!$E$10+1,1))</f>
        <v>234.10156575337737</v>
      </c>
      <c r="AO61" s="59">
        <f t="shared" si="36"/>
        <v>285.68635263076646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45.751599865254036</v>
      </c>
      <c r="AV61" s="21">
        <f>EXP(-LN(2)/25)*AV60+(1-EXP(-LN(2)/25))/(LN(2)/25)*Calculateur!AQ61*Calculateur!AS61*VLOOKUP('Données projet'!$B$10,Paramètres!$A$1:$I$89,3,0)*0.475*44/12</f>
        <v>60.899432768054396</v>
      </c>
      <c r="AW61" s="21">
        <f>EXP(-LN(2)/2)*AW60+(1-EXP(-LN(2)/2))/(LN(2)/2)*AQ61*AT61*VLOOKUP('Données projet'!$B$10,Paramètres!$A$1:$I$89,3,0)*0.475*44/12</f>
        <v>2.6493536762254603E-3</v>
      </c>
      <c r="AX61" s="21">
        <f t="shared" si="6"/>
        <v>106.65368198698465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278.5296012747549</v>
      </c>
      <c r="T62" s="59">
        <f t="shared" si="34"/>
        <v>370.55343097937077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15.286813186813204</v>
      </c>
      <c r="AI62" s="13">
        <f>IF('Données projet'!$A$62&gt;35,AI61+AH62-AQ61,IF(A62&lt;'Données projet'!$A$62,$AF$205^A62,IF(A62='Données projet'!$A$62,'Données projet'!$B$62,AI61+AH62-AQ61)))</f>
        <v>425.22417582417597</v>
      </c>
      <c r="AJ62" s="13">
        <f>AI62*VLOOKUP('Données projet'!$B$10,Paramètres!$A$1:$I$89,3,0)*VLOOKUP('Données projet'!$B$10,Paramètres!$A$1:$I$89,5,0)</f>
        <v>204.53282857142864</v>
      </c>
      <c r="AK62" s="13">
        <f t="shared" si="35"/>
        <v>50.739043189365226</v>
      </c>
      <c r="AL62" s="20">
        <f t="shared" si="4"/>
        <v>444.59850998338266</v>
      </c>
      <c r="AM62" s="59">
        <f t="shared" si="5"/>
        <v>737.93184331671591</v>
      </c>
      <c r="AN62" s="59">
        <f ca="1">AVERAGE(OFFSET($AM$3,0,0,'Données projet'!$E$10+1,1))-AVERAGE(OFFSET($H$3,0,0,'Données projet'!$E$10+1,1))</f>
        <v>234.10156575337737</v>
      </c>
      <c r="AO62" s="59">
        <f t="shared" si="36"/>
        <v>285.68635263076646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44.854438897616859</v>
      </c>
      <c r="AV62" s="21">
        <f>EXP(-LN(2)/25)*AV61+(1-EXP(-LN(2)/25))/(LN(2)/25)*Calculateur!AQ62*Calculateur!AS62*VLOOKUP('Données projet'!$B$10,Paramètres!$A$1:$I$89,3,0)*0.475*44/12</f>
        <v>59.234134576449968</v>
      </c>
      <c r="AW62" s="21">
        <f>EXP(-LN(2)/2)*AW61+(1-EXP(-LN(2)/2))/(LN(2)/2)*AQ62*AT62*VLOOKUP('Données projet'!$B$10,Paramètres!$A$1:$I$89,3,0)*0.475*44/12</f>
        <v>1.8733759502205319E-3</v>
      </c>
      <c r="AX62" s="21">
        <f t="shared" si="6"/>
        <v>104.09044685001706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278.5296012747549</v>
      </c>
      <c r="T63" s="59">
        <f t="shared" si="34"/>
        <v>370.55343097937077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15.286813186813204</v>
      </c>
      <c r="AI63" s="13">
        <f>IF('Données projet'!$A$62&gt;35,AI62+AH63-AQ62,IF(A63&lt;'Données projet'!$A$62,$AF$205^A63,IF(A63='Données projet'!$A$62,'Données projet'!$B$62,AI62+AH63-AQ62)))</f>
        <v>440.51098901098919</v>
      </c>
      <c r="AJ63" s="13">
        <f>AI63*VLOOKUP('Données projet'!$B$10,Paramètres!$A$1:$I$89,3,0)*VLOOKUP('Données projet'!$B$10,Paramètres!$A$1:$I$89,5,0)</f>
        <v>211.88578571428579</v>
      </c>
      <c r="AK63" s="13">
        <f t="shared" si="35"/>
        <v>52.347462666578998</v>
      </c>
      <c r="AL63" s="20">
        <f t="shared" si="4"/>
        <v>460.20624093000612</v>
      </c>
      <c r="AM63" s="59">
        <f t="shared" si="5"/>
        <v>753.53957426333943</v>
      </c>
      <c r="AN63" s="59">
        <f ca="1">AVERAGE(OFFSET($AM$3,0,0,'Données projet'!$E$10+1,1))-AVERAGE(OFFSET($H$3,0,0,'Données projet'!$E$10+1,1))</f>
        <v>234.10156575337737</v>
      </c>
      <c r="AO63" s="59">
        <f t="shared" si="36"/>
        <v>285.68635263076646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43.974870709340891</v>
      </c>
      <c r="AV63" s="21">
        <f>EXP(-LN(2)/25)*AV62+(1-EXP(-LN(2)/25))/(LN(2)/25)*Calculateur!AQ63*Calculateur!AS63*VLOOKUP('Données projet'!$B$10,Paramètres!$A$1:$I$89,3,0)*0.475*44/12</f>
        <v>57.614374051469184</v>
      </c>
      <c r="AW63" s="21">
        <f>EXP(-LN(2)/2)*AW62+(1-EXP(-LN(2)/2))/(LN(2)/2)*AQ63*AT63*VLOOKUP('Données projet'!$B$10,Paramètres!$A$1:$I$89,3,0)*0.475*44/12</f>
        <v>1.3246768381127302E-3</v>
      </c>
      <c r="AX63" s="21">
        <f t="shared" si="6"/>
        <v>101.59056943764818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278.5296012747549</v>
      </c>
      <c r="T64" s="59">
        <f t="shared" si="34"/>
        <v>370.55343097937077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15.286813186813204</v>
      </c>
      <c r="AI64" s="13">
        <f>IF('Données projet'!$A$62&gt;35,AI63+AH64-AQ63,IF(A64&lt;'Données projet'!$A$62,$AF$205^A64,IF(A64='Données projet'!$A$62,'Données projet'!$B$62,AI63+AH64-AQ63)))</f>
        <v>455.79780219780241</v>
      </c>
      <c r="AJ64" s="13">
        <f>AI64*VLOOKUP('Données projet'!$B$10,Paramètres!$A$1:$I$89,3,0)*VLOOKUP('Données projet'!$B$10,Paramètres!$A$1:$I$89,5,0)</f>
        <v>219.23874285714297</v>
      </c>
      <c r="AK64" s="13">
        <f t="shared" si="35"/>
        <v>53.949396878232989</v>
      </c>
      <c r="AL64" s="20">
        <f t="shared" si="4"/>
        <v>475.80267670577973</v>
      </c>
      <c r="AM64" s="59">
        <f t="shared" si="5"/>
        <v>769.13601003911299</v>
      </c>
      <c r="AN64" s="59">
        <f ca="1">AVERAGE(OFFSET($AM$3,0,0,'Données projet'!$E$10+1,1))-AVERAGE(OFFSET($H$3,0,0,'Données projet'!$E$10+1,1))</f>
        <v>234.10156575337737</v>
      </c>
      <c r="AO64" s="59">
        <f t="shared" si="36"/>
        <v>285.68635263076646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43.112550316753392</v>
      </c>
      <c r="AV64" s="21">
        <f>EXP(-LN(2)/25)*AV63+(1-EXP(-LN(2)/25))/(LN(2)/25)*Calculateur!AQ64*Calculateur!AS64*VLOOKUP('Données projet'!$B$10,Paramètres!$A$1:$I$89,3,0)*0.475*44/12</f>
        <v>56.038905963223506</v>
      </c>
      <c r="AW64" s="21">
        <f>EXP(-LN(2)/2)*AW63+(1-EXP(-LN(2)/2))/(LN(2)/2)*AQ64*AT64*VLOOKUP('Données projet'!$B$10,Paramètres!$A$1:$I$89,3,0)*0.475*44/12</f>
        <v>9.3668797511026593E-4</v>
      </c>
      <c r="AX64" s="21">
        <f t="shared" si="6"/>
        <v>99.152392967952011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278.5296012747549</v>
      </c>
      <c r="T65" s="59">
        <f t="shared" si="34"/>
        <v>370.55343097937077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471.0846153846154</v>
      </c>
      <c r="AG65" s="12">
        <f>VLOOKUP(A65,'Données projet'!$A$61:$I$81,9,0)</f>
        <v>15.286813186813204</v>
      </c>
      <c r="AH65" s="12">
        <f t="array" ref="AH65">INDEX(AG:AG,MIN(IF(ISNUMBER(AG65:AG261),ROW(AG65:AG261),"")))</f>
        <v>15.286813186813204</v>
      </c>
      <c r="AI65" s="13">
        <f>IF('Données projet'!$A$62&gt;35,AI64+AH65-AQ64,IF(A65&lt;'Données projet'!$A$62,$AF$205^A65,IF(A65='Données projet'!$A$62,'Données projet'!$B$62,AI64+AH65-AQ64)))</f>
        <v>471.08461538461563</v>
      </c>
      <c r="AJ65" s="13">
        <f>AI65*VLOOKUP('Données projet'!$B$10,Paramètres!$A$1:$I$89,3,0)*VLOOKUP('Données projet'!$B$10,Paramètres!$A$1:$I$89,5,0)</f>
        <v>226.59170000000012</v>
      </c>
      <c r="AK65" s="13">
        <f t="shared" si="35"/>
        <v>55.54508826769149</v>
      </c>
      <c r="AL65" s="20">
        <f t="shared" si="4"/>
        <v>491.38823956622952</v>
      </c>
      <c r="AM65" s="59">
        <f t="shared" si="5"/>
        <v>784.72157289956283</v>
      </c>
      <c r="AN65" s="59">
        <f ca="1">AVERAGE(OFFSET($AM$3,0,0,'Données projet'!$E$10+1,1))-AVERAGE(OFFSET($H$3,0,0,'Données projet'!$E$10+1,1))</f>
        <v>234.10156575337737</v>
      </c>
      <c r="AO65" s="59">
        <f t="shared" si="36"/>
        <v>285.68635263076646</v>
      </c>
      <c r="AP65" s="15">
        <f>IF(ISNA(VLOOKUP(A65,'Données projet'!$A$61:$I$81,3,0)),0,VLOOKUP(A65,'Données projet'!$A$61:$I$81,3,0))</f>
        <v>7</v>
      </c>
      <c r="AQ65" s="15">
        <f>IF(ISNA(VLOOKUP(A65,'Données projet'!$A$61:$I$81,4,0)),0,VLOOKUP(A65,'Données projet'!$A$61:$I$81,4,0))</f>
        <v>101.43076923076924</v>
      </c>
      <c r="AR65" s="16">
        <f>IF(ISNA(VLOOKUP(A65,'Données projet'!$A$61:$I$81,5,0)),0%,VLOOKUP(A65,'Données projet'!$A$61:$I$81,5,0)*VLOOKUP('Données projet'!$B$10,Paramètres!$A$1:$I$89,7,0))</f>
        <v>0.33</v>
      </c>
      <c r="AS65" s="16">
        <f>IF(ISNA(VLOOKUP(A65,'Données projet'!$A$61:$I$81,6,0)),0%,VLOOKUP(A65,'Données projet'!$A$61:$I$81,6,0)*VLOOKUP('Données projet'!$B$10,Paramètres!$A$1:$I$89,7,0))</f>
        <v>0.22000000000000003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63.6249678495099</v>
      </c>
      <c r="AV65" s="21">
        <f>EXP(-LN(2)/25)*AV64+(1-EXP(-LN(2)/25))/(LN(2)/25)*Calculateur!AQ65*Calculateur!AS65*VLOOKUP('Données projet'!$B$10,Paramètres!$A$1:$I$89,3,0)*0.475*44/12</f>
        <v>68.689008759521556</v>
      </c>
      <c r="AW65" s="21">
        <f>EXP(-LN(2)/2)*AW64+(1-EXP(-LN(2)/2))/(LN(2)/2)*AQ65*AT65*VLOOKUP('Données projet'!$B$10,Paramètres!$A$1:$I$89,3,0)*0.475*44/12</f>
        <v>6.6233841905636508E-4</v>
      </c>
      <c r="AX65" s="21">
        <f t="shared" si="6"/>
        <v>132.3146389474505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278.5296012747549</v>
      </c>
      <c r="T66" s="59">
        <f t="shared" si="34"/>
        <v>370.55343097937077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13.179120879120871</v>
      </c>
      <c r="AI66" s="13">
        <f>IF('Données projet'!$A$62&gt;35,AI65+AH66-AQ65,IF(A66&lt;'Données projet'!$A$62,$AF$205^A66,IF(A66='Données projet'!$A$62,'Données projet'!$B$62,AI65+AH66-AQ65)))</f>
        <v>382.8329670329673</v>
      </c>
      <c r="AJ66" s="13">
        <f>AI66*VLOOKUP('Données projet'!$B$10,Paramètres!$A$1:$I$89,3,0)*VLOOKUP('Données projet'!$B$10,Paramètres!$A$1:$I$89,5,0)</f>
        <v>184.14265714285727</v>
      </c>
      <c r="AK66" s="13">
        <f t="shared" si="35"/>
        <v>46.242626970750891</v>
      </c>
      <c r="AL66" s="20">
        <f t="shared" si="4"/>
        <v>401.25436983120085</v>
      </c>
      <c r="AM66" s="59">
        <f t="shared" si="5"/>
        <v>694.5877031645341</v>
      </c>
      <c r="AN66" s="59">
        <f ca="1">AVERAGE(OFFSET($AM$3,0,0,'Données projet'!$E$10+1,1))-AVERAGE(OFFSET($H$3,0,0,'Données projet'!$E$10+1,1))</f>
        <v>234.10156575337737</v>
      </c>
      <c r="AO66" s="59">
        <f t="shared" si="36"/>
        <v>285.68635263076646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62.377321037379488</v>
      </c>
      <c r="AV66" s="21">
        <f>EXP(-LN(2)/25)*AV65+(1-EXP(-LN(2)/25))/(LN(2)/25)*Calculateur!AQ66*Calculateur!AS66*VLOOKUP('Données projet'!$B$10,Paramètres!$A$1:$I$89,3,0)*0.475*44/12</f>
        <v>66.810704202794454</v>
      </c>
      <c r="AW66" s="21">
        <f>EXP(-LN(2)/2)*AW65+(1-EXP(-LN(2)/2))/(LN(2)/2)*AQ66*AT66*VLOOKUP('Données projet'!$B$10,Paramètres!$A$1:$I$89,3,0)*0.475*44/12</f>
        <v>4.6834398755513296E-4</v>
      </c>
      <c r="AX66" s="21">
        <f t="shared" si="6"/>
        <v>129.18849358416151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278.5296012747549</v>
      </c>
      <c r="T67" s="59">
        <f t="shared" si="34"/>
        <v>370.55343097937077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13.179120879120871</v>
      </c>
      <c r="AI67" s="13">
        <f>IF('Données projet'!$A$62&gt;35,AI66+AH67-AQ66,IF(A67&lt;'Données projet'!$A$62,$AF$205^A67,IF(A67='Données projet'!$A$62,'Données projet'!$B$62,AI66+AH67-AQ66)))</f>
        <v>396.01208791208819</v>
      </c>
      <c r="AJ67" s="13">
        <f>AI67*VLOOKUP('Données projet'!$B$10,Paramètres!$A$1:$I$89,3,0)*VLOOKUP('Données projet'!$B$10,Paramètres!$A$1:$I$89,5,0)</f>
        <v>190.48181428571442</v>
      </c>
      <c r="AK67" s="13">
        <f t="shared" si="35"/>
        <v>47.646459442372418</v>
      </c>
      <c r="AL67" s="20">
        <f t="shared" si="4"/>
        <v>414.7400767430845</v>
      </c>
      <c r="AM67" s="59">
        <f t="shared" si="5"/>
        <v>708.07341007641776</v>
      </c>
      <c r="AN67" s="59">
        <f ca="1">AVERAGE(OFFSET($AM$3,0,0,'Données projet'!$E$10+1,1))-AVERAGE(OFFSET($H$3,0,0,'Données projet'!$E$10+1,1))</f>
        <v>234.10156575337737</v>
      </c>
      <c r="AO67" s="59">
        <f t="shared" si="36"/>
        <v>285.68635263076646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61.15413981824554</v>
      </c>
      <c r="AV67" s="21">
        <f>EXP(-LN(2)/25)*AV66+(1-EXP(-LN(2)/25))/(LN(2)/25)*Calculateur!AQ67*Calculateur!AS67*VLOOKUP('Données projet'!$B$10,Paramètres!$A$1:$I$89,3,0)*0.475*44/12</f>
        <v>64.983761982946803</v>
      </c>
      <c r="AW67" s="21">
        <f>EXP(-LN(2)/2)*AW66+(1-EXP(-LN(2)/2))/(LN(2)/2)*AQ67*AT67*VLOOKUP('Données projet'!$B$10,Paramètres!$A$1:$I$89,3,0)*0.475*44/12</f>
        <v>3.3116920952818254E-4</v>
      </c>
      <c r="AX67" s="21">
        <f t="shared" si="6"/>
        <v>126.13823297040187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278.5296012747549</v>
      </c>
      <c r="T68" s="59">
        <f t="shared" si="34"/>
        <v>370.55343097937077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13.179120879120871</v>
      </c>
      <c r="AI68" s="13">
        <f>IF('Données projet'!$A$62&gt;35,AI67+AH68-AQ67,IF(A68&lt;'Données projet'!$A$62,$AF$205^A68,IF(A68='Données projet'!$A$62,'Données projet'!$B$62,AI67+AH68-AQ67)))</f>
        <v>409.19120879120908</v>
      </c>
      <c r="AJ68" s="13">
        <f>AI68*VLOOKUP('Données projet'!$B$10,Paramètres!$A$1:$I$89,3,0)*VLOOKUP('Données projet'!$B$10,Paramètres!$A$1:$I$89,5,0)</f>
        <v>196.82097142857157</v>
      </c>
      <c r="AK68" s="13">
        <f t="shared" si="35"/>
        <v>49.044863286278073</v>
      </c>
      <c r="AL68" s="20">
        <f t="shared" ref="AL68:AL131" si="58">(AJ68+AK68)*0.475*44/12</f>
        <v>428.21632879502982</v>
      </c>
      <c r="AM68" s="59">
        <f t="shared" ref="AM68:AM131" si="59">AL68+(AD68+AE68)*44/12</f>
        <v>721.54966212836314</v>
      </c>
      <c r="AN68" s="59">
        <f ca="1">AVERAGE(OFFSET($AM$3,0,0,'Données projet'!$E$10+1,1))-AVERAGE(OFFSET($H$3,0,0,'Données projet'!$E$10+1,1))</f>
        <v>234.10156575337737</v>
      </c>
      <c r="AO68" s="59">
        <f t="shared" si="36"/>
        <v>285.68635263076646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59.95494443675193</v>
      </c>
      <c r="AV68" s="21">
        <f>EXP(-LN(2)/25)*AV67+(1-EXP(-LN(2)/25))/(LN(2)/25)*Calculateur!AQ68*Calculateur!AS68*VLOOKUP('Données projet'!$B$10,Paramètres!$A$1:$I$89,3,0)*0.475*44/12</f>
        <v>63.206777594175605</v>
      </c>
      <c r="AW68" s="21">
        <f>EXP(-LN(2)/2)*AW67+(1-EXP(-LN(2)/2))/(LN(2)/2)*AQ68*AT68*VLOOKUP('Données projet'!$B$10,Paramètres!$A$1:$I$89,3,0)*0.475*44/12</f>
        <v>2.3417199377756648E-4</v>
      </c>
      <c r="AX68" s="21">
        <f t="shared" ref="AX68:AX131" si="60">SUM(AU68:AW68)</f>
        <v>123.16195620292132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278.5296012747549</v>
      </c>
      <c r="T69" s="59">
        <f t="shared" ref="T69:T132" si="88">$T$3</f>
        <v>370.55343097937077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13.179120879120871</v>
      </c>
      <c r="AI69" s="13">
        <f>IF('Données projet'!$A$62&gt;35,AI68+AH69-AQ68,IF(A69&lt;'Données projet'!$A$62,$AF$205^A69,IF(A69='Données projet'!$A$62,'Données projet'!$B$62,AI68+AH69-AQ68)))</f>
        <v>422.37032967032997</v>
      </c>
      <c r="AJ69" s="13">
        <f>AI69*VLOOKUP('Données projet'!$B$10,Paramètres!$A$1:$I$89,3,0)*VLOOKUP('Données projet'!$B$10,Paramètres!$A$1:$I$89,5,0)</f>
        <v>203.16012857142871</v>
      </c>
      <c r="AK69" s="13">
        <f t="shared" ref="AK69:AK132" si="89">EXP(-1.0587+0.8836*LN(AJ69)+0.284)</f>
        <v>50.438033401041395</v>
      </c>
      <c r="AL69" s="20">
        <f t="shared" si="58"/>
        <v>441.68346543538541</v>
      </c>
      <c r="AM69" s="59">
        <f t="shared" si="59"/>
        <v>735.01679876871867</v>
      </c>
      <c r="AN69" s="59">
        <f ca="1">AVERAGE(OFFSET($AM$3,0,0,'Données projet'!$E$10+1,1))-AVERAGE(OFFSET($H$3,0,0,'Données projet'!$E$10+1,1))</f>
        <v>234.10156575337737</v>
      </c>
      <c r="AO69" s="59">
        <f t="shared" ref="AO69:AO132" si="90">$AO$3</f>
        <v>285.68635263076646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58.779264545252452</v>
      </c>
      <c r="AV69" s="21">
        <f>EXP(-LN(2)/25)*AV68+(1-EXP(-LN(2)/25))/(LN(2)/25)*Calculateur!AQ69*Calculateur!AS69*VLOOKUP('Données projet'!$B$10,Paramètres!$A$1:$I$89,3,0)*0.475*44/12</f>
        <v>61.478384936962904</v>
      </c>
      <c r="AW69" s="21">
        <f>EXP(-LN(2)/2)*AW68+(1-EXP(-LN(2)/2))/(LN(2)/2)*AQ69*AT69*VLOOKUP('Données projet'!$B$10,Paramètres!$A$1:$I$89,3,0)*0.475*44/12</f>
        <v>1.6558460476409127E-4</v>
      </c>
      <c r="AX69" s="21">
        <f t="shared" si="60"/>
        <v>120.25781506682011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278.5296012747549</v>
      </c>
      <c r="T70" s="59">
        <f t="shared" si="88"/>
        <v>370.55343097937077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13.179120879120871</v>
      </c>
      <c r="AI70" s="13">
        <f>IF('Données projet'!$A$62&gt;35,AI69+AH70-AQ69,IF(A70&lt;'Données projet'!$A$62,$AF$205^A70,IF(A70='Données projet'!$A$62,'Données projet'!$B$62,AI69+AH70-AQ69)))</f>
        <v>435.54945054945085</v>
      </c>
      <c r="AJ70" s="13">
        <f>AI70*VLOOKUP('Données projet'!$B$10,Paramètres!$A$1:$I$89,3,0)*VLOOKUP('Données projet'!$B$10,Paramètres!$A$1:$I$89,5,0)</f>
        <v>209.49928571428586</v>
      </c>
      <c r="AK70" s="13">
        <f t="shared" si="89"/>
        <v>51.826151831633076</v>
      </c>
      <c r="AL70" s="20">
        <f t="shared" si="58"/>
        <v>455.14180372580881</v>
      </c>
      <c r="AM70" s="59">
        <f t="shared" si="59"/>
        <v>748.47513705914207</v>
      </c>
      <c r="AN70" s="59">
        <f ca="1">AVERAGE(OFFSET($AM$3,0,0,'Données projet'!$E$10+1,1))-AVERAGE(OFFSET($H$3,0,0,'Données projet'!$E$10+1,1))</f>
        <v>234.10156575337737</v>
      </c>
      <c r="AO70" s="59">
        <f t="shared" si="90"/>
        <v>285.68635263076646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57.62663901933135</v>
      </c>
      <c r="AV70" s="21">
        <f>EXP(-LN(2)/25)*AV69+(1-EXP(-LN(2)/25))/(LN(2)/25)*Calculateur!AQ70*Calculateur!AS70*VLOOKUP('Données projet'!$B$10,Paramètres!$A$1:$I$89,3,0)*0.475*44/12</f>
        <v>59.797255267853899</v>
      </c>
      <c r="AW70" s="21">
        <f>EXP(-LN(2)/2)*AW69+(1-EXP(-LN(2)/2))/(LN(2)/2)*AQ70*AT70*VLOOKUP('Données projet'!$B$10,Paramètres!$A$1:$I$89,3,0)*0.475*44/12</f>
        <v>1.1708599688878324E-4</v>
      </c>
      <c r="AX70" s="21">
        <f t="shared" si="60"/>
        <v>117.42401137318214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278.5296012747549</v>
      </c>
      <c r="T71" s="59">
        <f t="shared" si="88"/>
        <v>370.55343097937077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13.179120879120871</v>
      </c>
      <c r="AI71" s="13">
        <f>IF('Données projet'!$A$62&gt;35,AI70+AH71-AQ70,IF(A71&lt;'Données projet'!$A$62,$AF$205^A71,IF(A71='Données projet'!$A$62,'Données projet'!$B$62,AI70+AH71-AQ70)))</f>
        <v>448.72857142857174</v>
      </c>
      <c r="AJ71" s="13">
        <f>AI71*VLOOKUP('Données projet'!$B$10,Paramètres!$A$1:$I$89,3,0)*VLOOKUP('Données projet'!$B$10,Paramètres!$A$1:$I$89,5,0)</f>
        <v>215.83844285714301</v>
      </c>
      <c r="AK71" s="13">
        <f t="shared" si="89"/>
        <v>53.209388980108393</v>
      </c>
      <c r="AL71" s="20">
        <f t="shared" si="58"/>
        <v>468.59164044987955</v>
      </c>
      <c r="AM71" s="59">
        <f t="shared" si="59"/>
        <v>761.92497378321286</v>
      </c>
      <c r="AN71" s="59">
        <f ca="1">AVERAGE(OFFSET($AM$3,0,0,'Données projet'!$E$10+1,1))-AVERAGE(OFFSET($H$3,0,0,'Données projet'!$E$10+1,1))</f>
        <v>234.10156575337737</v>
      </c>
      <c r="AO71" s="59">
        <f t="shared" si="90"/>
        <v>285.68635263076646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56.496615776941411</v>
      </c>
      <c r="AV71" s="21">
        <f>EXP(-LN(2)/25)*AV70+(1-EXP(-LN(2)/25))/(LN(2)/25)*Calculateur!AQ71*Calculateur!AS71*VLOOKUP('Données projet'!$B$10,Paramètres!$A$1:$I$89,3,0)*0.475*44/12</f>
        <v>58.162096177953451</v>
      </c>
      <c r="AW71" s="21">
        <f>EXP(-LN(2)/2)*AW70+(1-EXP(-LN(2)/2))/(LN(2)/2)*AQ71*AT71*VLOOKUP('Données projet'!$B$10,Paramètres!$A$1:$I$89,3,0)*0.475*44/12</f>
        <v>8.2792302382045634E-5</v>
      </c>
      <c r="AX71" s="21">
        <f t="shared" si="60"/>
        <v>114.65879474719725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278.5296012747549</v>
      </c>
      <c r="T72" s="59">
        <f t="shared" si="88"/>
        <v>370.55343097937077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>
        <f>VLOOKUP(A72,'Données projet'!$A$61:$I$81,2,0)</f>
        <v>461.90769230769229</v>
      </c>
      <c r="AG72" s="12">
        <f>VLOOKUP(A72,'Données projet'!$A$61:$I$81,9,0)</f>
        <v>13.179120879120871</v>
      </c>
      <c r="AH72" s="12">
        <f t="array" ref="AH72">INDEX(AG:AG,MIN(IF(ISNUMBER(AG72:AG268),ROW(AG72:AG268),"")))</f>
        <v>13.179120879120871</v>
      </c>
      <c r="AI72" s="13">
        <f>IF('Données projet'!$A$62&gt;35,AI71+AH72-AQ71,IF(A72&lt;'Données projet'!$A$62,$AF$205^A72,IF(A72='Données projet'!$A$62,'Données projet'!$B$62,AI71+AH72-AQ71)))</f>
        <v>461.90769230769263</v>
      </c>
      <c r="AJ72" s="13">
        <f>AI72*VLOOKUP('Données projet'!$B$10,Paramètres!$A$1:$I$89,3,0)*VLOOKUP('Données projet'!$B$10,Paramètres!$A$1:$I$89,5,0)</f>
        <v>222.17760000000018</v>
      </c>
      <c r="AK72" s="13">
        <f t="shared" si="89"/>
        <v>54.587904670066862</v>
      </c>
      <c r="AL72" s="20">
        <f t="shared" si="58"/>
        <v>482.03325396703349</v>
      </c>
      <c r="AM72" s="59">
        <f t="shared" si="59"/>
        <v>775.36658730036675</v>
      </c>
      <c r="AN72" s="59">
        <f ca="1">AVERAGE(OFFSET($AM$3,0,0,'Données projet'!$E$10+1,1))-AVERAGE(OFFSET($H$3,0,0,'Données projet'!$E$10+1,1))</f>
        <v>234.10156575337737</v>
      </c>
      <c r="AO72" s="59">
        <f t="shared" si="90"/>
        <v>285.68635263076646</v>
      </c>
      <c r="AP72" s="15">
        <f>IF(ISNA(VLOOKUP(A72,'Données projet'!$A$61:$I$81,3,0)),0,VLOOKUP(A72,'Données projet'!$A$61:$I$81,3,0))</f>
        <v>8</v>
      </c>
      <c r="AQ72" s="15">
        <f>IF(ISNA(VLOOKUP(A72,'Données projet'!$A$61:$I$81,4,0)),0,VLOOKUP(A72,'Données projet'!$A$61:$I$81,4,0))</f>
        <v>93.461538461538453</v>
      </c>
      <c r="AR72" s="16">
        <f>IF(ISNA(VLOOKUP(A72,'Données projet'!$A$61:$I$81,5,0)),0%,VLOOKUP(A72,'Données projet'!$A$61:$I$81,5,0)*VLOOKUP('Données projet'!$B$10,Paramètres!$A$1:$I$89,7,0))</f>
        <v>0.38500000000000001</v>
      </c>
      <c r="AS72" s="16">
        <f>IF(ISNA(VLOOKUP(A72,'Données projet'!$A$61:$I$81,6,0)),0%,VLOOKUP(A72,'Données projet'!$A$61:$I$81,6,0)*VLOOKUP('Données projet'!$B$10,Paramètres!$A$1:$I$89,7,0))</f>
        <v>0.16500000000000001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78.34849806238816</v>
      </c>
      <c r="AV72" s="21">
        <f>EXP(-LN(2)/25)*AV71+(1-EXP(-LN(2)/25))/(LN(2)/25)*Calculateur!AQ72*Calculateur!AS72*VLOOKUP('Données projet'!$B$10,Paramètres!$A$1:$I$89,3,0)*0.475*44/12</f>
        <v>66.372798538412241</v>
      </c>
      <c r="AW72" s="21">
        <f>EXP(-LN(2)/2)*AW71+(1-EXP(-LN(2)/2))/(LN(2)/2)*AQ72*AT72*VLOOKUP('Données projet'!$B$10,Paramètres!$A$1:$I$89,3,0)*0.475*44/12</f>
        <v>5.8542998444391621E-5</v>
      </c>
      <c r="AX72" s="21">
        <f t="shared" si="60"/>
        <v>144.72135514379883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278.5296012747549</v>
      </c>
      <c r="T73" s="59">
        <f t="shared" si="88"/>
        <v>370.55343097937077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11.330769230769235</v>
      </c>
      <c r="AI73" s="13">
        <f>IF('Données projet'!$A$62&gt;35,AI72+AH73-AQ72,IF(A73&lt;'Données projet'!$A$62,$AF$205^A73,IF(A73='Données projet'!$A$62,'Données projet'!$B$62,AI72+AH73-AQ72)))</f>
        <v>379.77692307692342</v>
      </c>
      <c r="AJ73" s="13">
        <f>AI73*VLOOKUP('Données projet'!$B$10,Paramètres!$A$1:$I$89,3,0)*VLOOKUP('Données projet'!$B$10,Paramètres!$A$1:$I$89,5,0)</f>
        <v>182.67270000000019</v>
      </c>
      <c r="AK73" s="13">
        <f t="shared" si="89"/>
        <v>45.916301632077406</v>
      </c>
      <c r="AL73" s="20">
        <f t="shared" si="58"/>
        <v>398.12584450920184</v>
      </c>
      <c r="AM73" s="59">
        <f t="shared" si="59"/>
        <v>691.45917784253515</v>
      </c>
      <c r="AN73" s="59">
        <f ca="1">AVERAGE(OFFSET($AM$3,0,0,'Données projet'!$E$10+1,1))-AVERAGE(OFFSET($H$3,0,0,'Données projet'!$E$10+1,1))</f>
        <v>234.10156575337737</v>
      </c>
      <c r="AO73" s="59">
        <f t="shared" si="90"/>
        <v>285.68635263076646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76.812131803249883</v>
      </c>
      <c r="AV73" s="21">
        <f>EXP(-LN(2)/25)*AV72+(1-EXP(-LN(2)/25))/(LN(2)/25)*Calculateur!AQ73*Calculateur!AS73*VLOOKUP('Données projet'!$B$10,Paramètres!$A$1:$I$89,3,0)*0.475*44/12</f>
        <v>64.557830871985573</v>
      </c>
      <c r="AW73" s="21">
        <f>EXP(-LN(2)/2)*AW72+(1-EXP(-LN(2)/2))/(LN(2)/2)*AQ73*AT73*VLOOKUP('Données projet'!$B$10,Paramètres!$A$1:$I$89,3,0)*0.475*44/12</f>
        <v>4.1396151191022817E-5</v>
      </c>
      <c r="AX73" s="21">
        <f t="shared" si="60"/>
        <v>141.37000407138666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278.5296012747549</v>
      </c>
      <c r="T74" s="59">
        <f t="shared" si="88"/>
        <v>370.55343097937077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11.330769230769235</v>
      </c>
      <c r="AI74" s="13">
        <f>IF('Données projet'!$A$62&gt;35,AI73+AH74-AQ73,IF(A74&lt;'Données projet'!$A$62,$AF$205^A74,IF(A74='Données projet'!$A$62,'Données projet'!$B$62,AI73+AH74-AQ73)))</f>
        <v>391.10769230769267</v>
      </c>
      <c r="AJ74" s="13">
        <f>AI74*VLOOKUP('Données projet'!$B$10,Paramètres!$A$1:$I$89,3,0)*VLOOKUP('Données projet'!$B$10,Paramètres!$A$1:$I$89,5,0)</f>
        <v>188.12280000000018</v>
      </c>
      <c r="AK74" s="13">
        <f t="shared" si="89"/>
        <v>47.124691057637619</v>
      </c>
      <c r="AL74" s="20">
        <f t="shared" si="58"/>
        <v>409.72271359205246</v>
      </c>
      <c r="AM74" s="59">
        <f t="shared" si="59"/>
        <v>703.05604692538577</v>
      </c>
      <c r="AN74" s="59">
        <f ca="1">AVERAGE(OFFSET($AM$3,0,0,'Données projet'!$E$10+1,1))-AVERAGE(OFFSET($H$3,0,0,'Données projet'!$E$10+1,1))</f>
        <v>234.10156575337737</v>
      </c>
      <c r="AO74" s="59">
        <f t="shared" si="90"/>
        <v>285.68635263076646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75.305892749362428</v>
      </c>
      <c r="AV74" s="21">
        <f>EXP(-LN(2)/25)*AV73+(1-EXP(-LN(2)/25))/(LN(2)/25)*Calculateur!AQ74*Calculateur!AS74*VLOOKUP('Données projet'!$B$10,Paramètres!$A$1:$I$89,3,0)*0.475*44/12</f>
        <v>62.792493591842351</v>
      </c>
      <c r="AW74" s="21">
        <f>EXP(-LN(2)/2)*AW73+(1-EXP(-LN(2)/2))/(LN(2)/2)*AQ74*AT74*VLOOKUP('Données projet'!$B$10,Paramètres!$A$1:$I$89,3,0)*0.475*44/12</f>
        <v>2.927149922219581E-5</v>
      </c>
      <c r="AX74" s="21">
        <f t="shared" si="60"/>
        <v>138.098415612704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278.5296012747549</v>
      </c>
      <c r="T75" s="59">
        <f t="shared" si="88"/>
        <v>370.55343097937077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11.330769230769235</v>
      </c>
      <c r="AI75" s="13">
        <f>IF('Données projet'!$A$62&gt;35,AI74+AH75-AQ74,IF(A75&lt;'Données projet'!$A$62,$AF$205^A75,IF(A75='Données projet'!$A$62,'Données projet'!$B$62,AI74+AH75-AQ74)))</f>
        <v>402.43846153846192</v>
      </c>
      <c r="AJ75" s="13">
        <f>AI75*VLOOKUP('Données projet'!$B$10,Paramètres!$A$1:$I$89,3,0)*VLOOKUP('Données projet'!$B$10,Paramètres!$A$1:$I$89,5,0)</f>
        <v>193.57290000000017</v>
      </c>
      <c r="AK75" s="13">
        <f t="shared" si="89"/>
        <v>48.329011788831274</v>
      </c>
      <c r="AL75" s="20">
        <f t="shared" si="58"/>
        <v>421.31249636554816</v>
      </c>
      <c r="AM75" s="59">
        <f t="shared" si="59"/>
        <v>714.64582969888147</v>
      </c>
      <c r="AN75" s="59">
        <f ca="1">AVERAGE(OFFSET($AM$3,0,0,'Données projet'!$E$10+1,1))-AVERAGE(OFFSET($H$3,0,0,'Données projet'!$E$10+1,1))</f>
        <v>234.10156575337737</v>
      </c>
      <c r="AO75" s="59">
        <f t="shared" si="90"/>
        <v>285.68635263076646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73.829190124606598</v>
      </c>
      <c r="AV75" s="21">
        <f>EXP(-LN(2)/25)*AV74+(1-EXP(-LN(2)/25))/(LN(2)/25)*Calculateur!AQ75*Calculateur!AS75*VLOOKUP('Données projet'!$B$10,Paramètres!$A$1:$I$89,3,0)*0.475*44/12</f>
        <v>61.075429552459696</v>
      </c>
      <c r="AW75" s="21">
        <f>EXP(-LN(2)/2)*AW74+(1-EXP(-LN(2)/2))/(LN(2)/2)*AQ75*AT75*VLOOKUP('Données projet'!$B$10,Paramètres!$A$1:$I$89,3,0)*0.475*44/12</f>
        <v>2.0698075595511409E-5</v>
      </c>
      <c r="AX75" s="21">
        <f t="shared" si="60"/>
        <v>134.90464037514189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278.5296012747549</v>
      </c>
      <c r="T76" s="59">
        <f t="shared" si="88"/>
        <v>370.55343097937077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11.330769230769235</v>
      </c>
      <c r="AI76" s="13">
        <f>IF('Données projet'!$A$62&gt;35,AI75+AH76-AQ75,IF(A76&lt;'Données projet'!$A$62,$AF$205^A76,IF(A76='Données projet'!$A$62,'Données projet'!$B$62,AI75+AH76-AQ75)))</f>
        <v>413.76923076923117</v>
      </c>
      <c r="AJ76" s="13">
        <f>AI76*VLOOKUP('Données projet'!$B$10,Paramètres!$A$1:$I$89,3,0)*VLOOKUP('Données projet'!$B$10,Paramètres!$A$1:$I$89,5,0)</f>
        <v>199.0230000000002</v>
      </c>
      <c r="AK76" s="13">
        <f t="shared" si="89"/>
        <v>49.529391539986307</v>
      </c>
      <c r="AL76" s="20">
        <f t="shared" si="58"/>
        <v>432.89541526547646</v>
      </c>
      <c r="AM76" s="59">
        <f t="shared" si="59"/>
        <v>726.22874859880972</v>
      </c>
      <c r="AN76" s="59">
        <f ca="1">AVERAGE(OFFSET($AM$3,0,0,'Données projet'!$E$10+1,1))-AVERAGE(OFFSET($H$3,0,0,'Données projet'!$E$10+1,1))</f>
        <v>234.10156575337737</v>
      </c>
      <c r="AO76" s="59">
        <f t="shared" si="90"/>
        <v>285.68635263076646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72.381444737622559</v>
      </c>
      <c r="AV76" s="21">
        <f>EXP(-LN(2)/25)*AV75+(1-EXP(-LN(2)/25))/(LN(2)/25)*Calculateur!AQ76*Calculateur!AS76*VLOOKUP('Données projet'!$B$10,Paramètres!$A$1:$I$89,3,0)*0.475*44/12</f>
        <v>59.405318719530435</v>
      </c>
      <c r="AW76" s="21">
        <f>EXP(-LN(2)/2)*AW75+(1-EXP(-LN(2)/2))/(LN(2)/2)*AQ76*AT76*VLOOKUP('Données projet'!$B$10,Paramètres!$A$1:$I$89,3,0)*0.475*44/12</f>
        <v>1.4635749611097905E-5</v>
      </c>
      <c r="AX76" s="21">
        <f t="shared" si="60"/>
        <v>131.78677809290261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278.5296012747549</v>
      </c>
      <c r="T77" s="59">
        <f t="shared" si="88"/>
        <v>370.55343097937077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11.330769230769235</v>
      </c>
      <c r="AI77" s="13">
        <f>IF('Données projet'!$A$62&gt;35,AI76+AH77-AQ76,IF(A77&lt;'Données projet'!$A$62,$AF$205^A77,IF(A77='Données projet'!$A$62,'Données projet'!$B$62,AI76+AH77-AQ76)))</f>
        <v>425.10000000000042</v>
      </c>
      <c r="AJ77" s="13">
        <f>AI77*VLOOKUP('Données projet'!$B$10,Paramètres!$A$1:$I$89,3,0)*VLOOKUP('Données projet'!$B$10,Paramètres!$A$1:$I$89,5,0)</f>
        <v>204.47310000000019</v>
      </c>
      <c r="AK77" s="13">
        <f t="shared" si="89"/>
        <v>50.725950632601638</v>
      </c>
      <c r="AL77" s="20">
        <f t="shared" si="58"/>
        <v>444.47167985178152</v>
      </c>
      <c r="AM77" s="59">
        <f t="shared" si="59"/>
        <v>737.80501318511483</v>
      </c>
      <c r="AN77" s="59">
        <f ca="1">AVERAGE(OFFSET($AM$3,0,0,'Données projet'!$E$10+1,1))-AVERAGE(OFFSET($H$3,0,0,'Données projet'!$E$10+1,1))</f>
        <v>234.10156575337737</v>
      </c>
      <c r="AO77" s="59">
        <f t="shared" si="90"/>
        <v>285.68635263076646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70.96208875463978</v>
      </c>
      <c r="AV77" s="21">
        <f>EXP(-LN(2)/25)*AV76+(1-EXP(-LN(2)/25))/(LN(2)/25)*Calculateur!AQ77*Calculateur!AS77*VLOOKUP('Données projet'!$B$10,Paramètres!$A$1:$I$89,3,0)*0.475*44/12</f>
        <v>57.780877155154933</v>
      </c>
      <c r="AW77" s="21">
        <f>EXP(-LN(2)/2)*AW76+(1-EXP(-LN(2)/2))/(LN(2)/2)*AQ77*AT77*VLOOKUP('Données projet'!$B$10,Paramètres!$A$1:$I$89,3,0)*0.475*44/12</f>
        <v>1.0349037797755704E-5</v>
      </c>
      <c r="AX77" s="21">
        <f t="shared" si="60"/>
        <v>128.74297625883253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278.5296012747549</v>
      </c>
      <c r="T78" s="59">
        <f t="shared" si="88"/>
        <v>370.55343097937077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11.330769230769235</v>
      </c>
      <c r="AI78" s="13">
        <f>IF('Données projet'!$A$62&gt;35,AI77+AH78-AQ77,IF(A78&lt;'Données projet'!$A$62,$AF$205^A78,IF(A78='Données projet'!$A$62,'Données projet'!$B$62,AI77+AH78-AQ77)))</f>
        <v>436.43076923076967</v>
      </c>
      <c r="AJ78" s="13">
        <f>AI78*VLOOKUP('Données projet'!$B$10,Paramètres!$A$1:$I$89,3,0)*VLOOKUP('Données projet'!$B$10,Paramètres!$A$1:$I$89,5,0)</f>
        <v>209.92320000000024</v>
      </c>
      <c r="AK78" s="13">
        <f t="shared" si="89"/>
        <v>51.918802608779288</v>
      </c>
      <c r="AL78" s="20">
        <f t="shared" si="58"/>
        <v>456.04148787695766</v>
      </c>
      <c r="AM78" s="59">
        <f t="shared" si="59"/>
        <v>749.37482121029097</v>
      </c>
      <c r="AN78" s="59">
        <f ca="1">AVERAGE(OFFSET($AM$3,0,0,'Données projet'!$E$10+1,1))-AVERAGE(OFFSET($H$3,0,0,'Données projet'!$E$10+1,1))</f>
        <v>234.10156575337737</v>
      </c>
      <c r="AO78" s="59">
        <f t="shared" si="90"/>
        <v>285.68635263076646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69.570565476761629</v>
      </c>
      <c r="AV78" s="21">
        <f>EXP(-LN(2)/25)*AV77+(1-EXP(-LN(2)/25))/(LN(2)/25)*Calculateur!AQ78*Calculateur!AS78*VLOOKUP('Données projet'!$B$10,Paramètres!$A$1:$I$89,3,0)*0.475*44/12</f>
        <v>56.200856030782951</v>
      </c>
      <c r="AW78" s="21">
        <f>EXP(-LN(2)/2)*AW77+(1-EXP(-LN(2)/2))/(LN(2)/2)*AQ78*AT78*VLOOKUP('Données projet'!$B$10,Paramètres!$A$1:$I$89,3,0)*0.475*44/12</f>
        <v>7.3178748055489526E-6</v>
      </c>
      <c r="AX78" s="21">
        <f t="shared" si="60"/>
        <v>125.77142882541938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278.5296012747549</v>
      </c>
      <c r="T79" s="59">
        <f t="shared" si="88"/>
        <v>370.55343097937077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11.330769230769235</v>
      </c>
      <c r="AI79" s="13">
        <f>IF('Données projet'!$A$62&gt;35,AI78+AH79-AQ78,IF(A79&lt;'Données projet'!$A$62,$AF$205^A79,IF(A79='Données projet'!$A$62,'Données projet'!$B$62,AI78+AH79-AQ78)))</f>
        <v>447.76153846153892</v>
      </c>
      <c r="AJ79" s="13">
        <f>AI79*VLOOKUP('Données projet'!$B$10,Paramètres!$A$1:$I$89,3,0)*VLOOKUP('Données projet'!$B$10,Paramètres!$A$1:$I$89,5,0)</f>
        <v>215.37330000000023</v>
      </c>
      <c r="AK79" s="13">
        <f t="shared" si="89"/>
        <v>53.108054779159929</v>
      </c>
      <c r="AL79" s="20">
        <f t="shared" si="58"/>
        <v>467.60502624037053</v>
      </c>
      <c r="AM79" s="59">
        <f t="shared" si="59"/>
        <v>760.93835957370379</v>
      </c>
      <c r="AN79" s="59">
        <f ca="1">AVERAGE(OFFSET($AM$3,0,0,'Données projet'!$E$10+1,1))-AVERAGE(OFFSET($H$3,0,0,'Données projet'!$E$10+1,1))</f>
        <v>234.10156575337737</v>
      </c>
      <c r="AO79" s="59">
        <f t="shared" si="90"/>
        <v>285.68635263076646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68.206329121617273</v>
      </c>
      <c r="AV79" s="21">
        <f>EXP(-LN(2)/25)*AV78+(1-EXP(-LN(2)/25))/(LN(2)/25)*Calculateur!AQ79*Calculateur!AS79*VLOOKUP('Données projet'!$B$10,Paramètres!$A$1:$I$89,3,0)*0.475*44/12</f>
        <v>54.664040667146622</v>
      </c>
      <c r="AW79" s="21">
        <f>EXP(-LN(2)/2)*AW78+(1-EXP(-LN(2)/2))/(LN(2)/2)*AQ79*AT79*VLOOKUP('Données projet'!$B$10,Paramètres!$A$1:$I$89,3,0)*0.475*44/12</f>
        <v>5.1745188988778522E-6</v>
      </c>
      <c r="AX79" s="21">
        <f t="shared" si="60"/>
        <v>122.8703749632828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278.5296012747549</v>
      </c>
      <c r="T80" s="59">
        <f t="shared" si="88"/>
        <v>370.55343097937077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>
        <f>VLOOKUP(A80,'Données projet'!$A$61:$I$81,2,0)</f>
        <v>459.09230769230771</v>
      </c>
      <c r="AG80" s="12">
        <f>VLOOKUP(A80,'Données projet'!$A$61:$I$81,9,0)</f>
        <v>11.330769230769235</v>
      </c>
      <c r="AH80" s="12">
        <f t="array" ref="AH80">INDEX(AG:AG,MIN(IF(ISNUMBER(AG80:AG276),ROW(AG80:AG276),"")))</f>
        <v>11.330769230769235</v>
      </c>
      <c r="AI80" s="13">
        <f>IF('Données projet'!$A$62&gt;35,AI79+AH80-AQ79,IF(A80&lt;'Données projet'!$A$62,$AF$205^A80,IF(A80='Données projet'!$A$62,'Données projet'!$B$62,AI79+AH80-AQ79)))</f>
        <v>459.09230769230817</v>
      </c>
      <c r="AJ80" s="13">
        <f>AI80*VLOOKUP('Données projet'!$B$10,Paramètres!$A$1:$I$89,3,0)*VLOOKUP('Données projet'!$B$10,Paramètres!$A$1:$I$89,5,0)</f>
        <v>220.82340000000022</v>
      </c>
      <c r="AK80" s="13">
        <f t="shared" si="89"/>
        <v>54.293808713834402</v>
      </c>
      <c r="AL80" s="20">
        <f t="shared" si="58"/>
        <v>479.16247184326198</v>
      </c>
      <c r="AM80" s="59">
        <f t="shared" si="59"/>
        <v>772.49580517659524</v>
      </c>
      <c r="AN80" s="59">
        <f ca="1">AVERAGE(OFFSET($AM$3,0,0,'Données projet'!$E$10+1,1))-AVERAGE(OFFSET($H$3,0,0,'Données projet'!$E$10+1,1))</f>
        <v>234.10156575337737</v>
      </c>
      <c r="AO80" s="59">
        <f t="shared" si="90"/>
        <v>285.68635263076646</v>
      </c>
      <c r="AP80" s="15">
        <f>IF(ISNA(VLOOKUP(A80,'Données projet'!$A$61:$I$81,3,0)),0,VLOOKUP(A80,'Données projet'!$A$61:$I$81,3,0))</f>
        <v>9</v>
      </c>
      <c r="AQ80" s="15">
        <f>IF(ISNA(VLOOKUP(A80,'Données projet'!$A$61:$I$81,4,0)),0,VLOOKUP(A80,'Données projet'!$A$61:$I$81,4,0))</f>
        <v>459.09230769230771</v>
      </c>
      <c r="AR80" s="16">
        <f>IF(ISNA(VLOOKUP(A80,'Données projet'!$A$61:$I$81,5,0)),0%,VLOOKUP(A80,'Données projet'!$A$61:$I$81,5,0)*VLOOKUP('Données projet'!$B$10,Paramètres!$A$1:$I$89,7,0))</f>
        <v>0.38500000000000001</v>
      </c>
      <c r="AS80" s="16">
        <f>IF(ISNA(VLOOKUP(A80,'Données projet'!$A$61:$I$81,6,0)),0%,VLOOKUP(A80,'Données projet'!$A$61:$I$81,6,0)*VLOOKUP('Données projet'!$B$10,Paramètres!$A$1:$I$89,7,0))</f>
        <v>0.16500000000000001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179.64938685647877</v>
      </c>
      <c r="AV80" s="21">
        <f>EXP(-LN(2)/25)*AV79+(1-EXP(-LN(2)/25))/(LN(2)/25)*Calculateur!AQ80*Calculateur!AS80*VLOOKUP('Données projet'!$B$10,Paramètres!$A$1:$I$89,3,0)*0.475*44/12</f>
        <v>101.313456291704</v>
      </c>
      <c r="AW80" s="21">
        <f>EXP(-LN(2)/2)*AW79+(1-EXP(-LN(2)/2))/(LN(2)/2)*AQ80*AT80*VLOOKUP('Données projet'!$B$10,Paramètres!$A$1:$I$89,3,0)*0.475*44/12</f>
        <v>3.6589374027744763E-6</v>
      </c>
      <c r="AX80" s="21">
        <f t="shared" si="60"/>
        <v>280.96284680712017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278.5296012747549</v>
      </c>
      <c r="T81" s="59">
        <f t="shared" si="88"/>
        <v>370.55343097937077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4.5474735088646412E-13</v>
      </c>
      <c r="AJ81" s="13">
        <f>AI81*VLOOKUP('Données projet'!$B$10,Paramètres!$A$1:$I$89,3,0)*VLOOKUP('Données projet'!$B$10,Paramètres!$A$1:$I$89,5,0)</f>
        <v>2.1873347577638923E-13</v>
      </c>
      <c r="AK81" s="13">
        <f t="shared" si="89"/>
        <v>2.999861355695181E-12</v>
      </c>
      <c r="AL81" s="20">
        <f t="shared" si="58"/>
        <v>5.6057193314796512E-12</v>
      </c>
      <c r="AM81" s="59">
        <f t="shared" si="59"/>
        <v>293.33333333333894</v>
      </c>
      <c r="AN81" s="59">
        <f ca="1">AVERAGE(OFFSET($AM$3,0,0,'Données projet'!$E$10+1,1))-AVERAGE(OFFSET($H$3,0,0,'Données projet'!$E$10+1,1))</f>
        <v>234.10156575337737</v>
      </c>
      <c r="AO81" s="59">
        <f t="shared" si="90"/>
        <v>285.68635263076646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176.12657195552953</v>
      </c>
      <c r="AV81" s="21">
        <f>EXP(-LN(2)/25)*AV80+(1-EXP(-LN(2)/25))/(LN(2)/25)*Calculateur!AQ81*Calculateur!AS81*VLOOKUP('Données projet'!$B$10,Paramètres!$A$1:$I$89,3,0)*0.475*44/12</f>
        <v>98.543034501564236</v>
      </c>
      <c r="AW81" s="21">
        <f>EXP(-LN(2)/2)*AW80+(1-EXP(-LN(2)/2))/(LN(2)/2)*AQ81*AT81*VLOOKUP('Données projet'!$B$10,Paramètres!$A$1:$I$89,3,0)*0.475*44/12</f>
        <v>2.5872594494389261E-6</v>
      </c>
      <c r="AX81" s="21">
        <f t="shared" si="60"/>
        <v>274.66960904435325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278.5296012747549</v>
      </c>
      <c r="T82" s="59">
        <f t="shared" si="88"/>
        <v>370.55343097937077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4.5474735088646412E-13</v>
      </c>
      <c r="AJ82" s="13">
        <f>AI82*VLOOKUP('Données projet'!$B$10,Paramètres!$A$1:$I$89,3,0)*VLOOKUP('Données projet'!$B$10,Paramètres!$A$1:$I$89,5,0)</f>
        <v>2.1873347577638923E-13</v>
      </c>
      <c r="AK82" s="13">
        <f t="shared" si="89"/>
        <v>2.999861355695181E-12</v>
      </c>
      <c r="AL82" s="20">
        <f t="shared" si="58"/>
        <v>5.6057193314796512E-12</v>
      </c>
      <c r="AM82" s="59">
        <f t="shared" si="59"/>
        <v>293.33333333333894</v>
      </c>
      <c r="AN82" s="59">
        <f ca="1">AVERAGE(OFFSET($AM$3,0,0,'Données projet'!$E$10+1,1))-AVERAGE(OFFSET($H$3,0,0,'Données projet'!$E$10+1,1))</f>
        <v>234.10156575337737</v>
      </c>
      <c r="AO82" s="59">
        <f t="shared" si="90"/>
        <v>285.68635263076646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172.67283730608298</v>
      </c>
      <c r="AV82" s="21">
        <f>EXP(-LN(2)/25)*AV81+(1-EXP(-LN(2)/25))/(LN(2)/25)*Calculateur!AQ82*Calculateur!AS82*VLOOKUP('Données projet'!$B$10,Paramètres!$A$1:$I$89,3,0)*0.475*44/12</f>
        <v>95.848370040966003</v>
      </c>
      <c r="AW82" s="21">
        <f>EXP(-LN(2)/2)*AW81+(1-EXP(-LN(2)/2))/(LN(2)/2)*AQ82*AT82*VLOOKUP('Données projet'!$B$10,Paramètres!$A$1:$I$89,3,0)*0.475*44/12</f>
        <v>1.8294687013872381E-6</v>
      </c>
      <c r="AX82" s="21">
        <f t="shared" si="60"/>
        <v>268.52120917651769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278.5296012747549</v>
      </c>
      <c r="T83" s="59">
        <f t="shared" si="88"/>
        <v>370.55343097937077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4.5474735088646412E-13</v>
      </c>
      <c r="AJ83" s="13">
        <f>AI83*VLOOKUP('Données projet'!$B$10,Paramètres!$A$1:$I$89,3,0)*VLOOKUP('Données projet'!$B$10,Paramètres!$A$1:$I$89,5,0)</f>
        <v>2.1873347577638923E-13</v>
      </c>
      <c r="AK83" s="13">
        <f t="shared" si="89"/>
        <v>2.999861355695181E-12</v>
      </c>
      <c r="AL83" s="20">
        <f t="shared" si="58"/>
        <v>5.6057193314796512E-12</v>
      </c>
      <c r="AM83" s="59">
        <f t="shared" si="59"/>
        <v>293.33333333333894</v>
      </c>
      <c r="AN83" s="59">
        <f ca="1">AVERAGE(OFFSET($AM$3,0,0,'Données projet'!$E$10+1,1))-AVERAGE(OFFSET($H$3,0,0,'Données projet'!$E$10+1,1))</f>
        <v>234.10156575337737</v>
      </c>
      <c r="AO83" s="59">
        <f t="shared" si="90"/>
        <v>285.68635263076646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169.28682828654198</v>
      </c>
      <c r="AV83" s="21">
        <f>EXP(-LN(2)/25)*AV82+(1-EXP(-LN(2)/25))/(LN(2)/25)*Calculateur!AQ83*Calculateur!AS83*VLOOKUP('Données projet'!$B$10,Paramètres!$A$1:$I$89,3,0)*0.475*44/12</f>
        <v>93.227391321749067</v>
      </c>
      <c r="AW83" s="21">
        <f>EXP(-LN(2)/2)*AW82+(1-EXP(-LN(2)/2))/(LN(2)/2)*AQ83*AT83*VLOOKUP('Données projet'!$B$10,Paramètres!$A$1:$I$89,3,0)*0.475*44/12</f>
        <v>1.293629724719463E-6</v>
      </c>
      <c r="AX83" s="21">
        <f t="shared" si="60"/>
        <v>262.51422090192079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278.5296012747549</v>
      </c>
      <c r="T84" s="59">
        <f t="shared" si="88"/>
        <v>370.55343097937077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2.1873347577638923E-13</v>
      </c>
      <c r="AK84" s="13">
        <f t="shared" si="89"/>
        <v>2.999861355695181E-12</v>
      </c>
      <c r="AL84" s="20">
        <f t="shared" si="58"/>
        <v>5.6057193314796512E-12</v>
      </c>
      <c r="AM84" s="59">
        <f t="shared" si="59"/>
        <v>293.33333333333894</v>
      </c>
      <c r="AN84" s="59">
        <f ca="1">AVERAGE(OFFSET($AM$3,0,0,'Données projet'!$E$10+1,1))-AVERAGE(OFFSET($H$3,0,0,'Données projet'!$E$10+1,1))</f>
        <v>234.10156575337737</v>
      </c>
      <c r="AO84" s="59">
        <f t="shared" si="90"/>
        <v>285.68635263076646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165.96721683861259</v>
      </c>
      <c r="AV84" s="21">
        <f>EXP(-LN(2)/25)*AV83+(1-EXP(-LN(2)/25))/(LN(2)/25)*Calculateur!AQ84*Calculateur!AS84*VLOOKUP('Données projet'!$B$10,Paramètres!$A$1:$I$89,3,0)*0.475*44/12</f>
        <v>90.678083403440397</v>
      </c>
      <c r="AW84" s="21">
        <f>EXP(-LN(2)/2)*AW83+(1-EXP(-LN(2)/2))/(LN(2)/2)*AQ84*AT84*VLOOKUP('Données projet'!$B$10,Paramètres!$A$1:$I$89,3,0)*0.475*44/12</f>
        <v>9.1473435069361907E-7</v>
      </c>
      <c r="AX84" s="21">
        <f t="shared" si="60"/>
        <v>256.64530115678735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278.5296012747549</v>
      </c>
      <c r="T85" s="59">
        <f t="shared" si="88"/>
        <v>370.55343097937077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2.1873347577638923E-13</v>
      </c>
      <c r="AK85" s="13">
        <f t="shared" si="89"/>
        <v>2.999861355695181E-12</v>
      </c>
      <c r="AL85" s="20">
        <f t="shared" si="58"/>
        <v>5.6057193314796512E-12</v>
      </c>
      <c r="AM85" s="59">
        <f t="shared" si="59"/>
        <v>293.33333333333894</v>
      </c>
      <c r="AN85" s="59">
        <f ca="1">AVERAGE(OFFSET($AM$3,0,0,'Données projet'!$E$10+1,1))-AVERAGE(OFFSET($H$3,0,0,'Données projet'!$E$10+1,1))</f>
        <v>234.10156575337737</v>
      </c>
      <c r="AO85" s="59">
        <f t="shared" si="90"/>
        <v>285.68635263076646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162.71270094641403</v>
      </c>
      <c r="AV85" s="21">
        <f>EXP(-LN(2)/25)*AV84+(1-EXP(-LN(2)/25))/(LN(2)/25)*Calculateur!AQ85*Calculateur!AS85*VLOOKUP('Données projet'!$B$10,Paramètres!$A$1:$I$89,3,0)*0.475*44/12</f>
        <v>88.198486444220165</v>
      </c>
      <c r="AW85" s="21">
        <f>EXP(-LN(2)/2)*AW84+(1-EXP(-LN(2)/2))/(LN(2)/2)*AQ85*AT85*VLOOKUP('Données projet'!$B$10,Paramètres!$A$1:$I$89,3,0)*0.475*44/12</f>
        <v>6.4681486235973152E-7</v>
      </c>
      <c r="AX85" s="21">
        <f t="shared" si="60"/>
        <v>250.91118803744908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278.5296012747549</v>
      </c>
      <c r="T86" s="59">
        <f t="shared" si="88"/>
        <v>370.55343097937077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2.1873347577638923E-13</v>
      </c>
      <c r="AK86" s="13">
        <f t="shared" si="89"/>
        <v>2.999861355695181E-12</v>
      </c>
      <c r="AL86" s="20">
        <f t="shared" si="58"/>
        <v>5.6057193314796512E-12</v>
      </c>
      <c r="AM86" s="59">
        <f t="shared" si="59"/>
        <v>293.33333333333894</v>
      </c>
      <c r="AN86" s="59">
        <f ca="1">AVERAGE(OFFSET($AM$3,0,0,'Données projet'!$E$10+1,1))-AVERAGE(OFFSET($H$3,0,0,'Données projet'!$E$10+1,1))</f>
        <v>234.10156575337737</v>
      </c>
      <c r="AO86" s="59">
        <f t="shared" si="90"/>
        <v>285.68635263076646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159.52200412580279</v>
      </c>
      <c r="AV86" s="21">
        <f>EXP(-LN(2)/25)*AV85+(1-EXP(-LN(2)/25))/(LN(2)/25)*Calculateur!AQ86*Calculateur!AS86*VLOOKUP('Données projet'!$B$10,Paramètres!$A$1:$I$89,3,0)*0.475*44/12</f>
        <v>85.786694194246138</v>
      </c>
      <c r="AW86" s="21">
        <f>EXP(-LN(2)/2)*AW85+(1-EXP(-LN(2)/2))/(LN(2)/2)*AQ86*AT86*VLOOKUP('Données projet'!$B$10,Paramètres!$A$1:$I$89,3,0)*0.475*44/12</f>
        <v>4.5736717534680954E-7</v>
      </c>
      <c r="AX86" s="21">
        <f t="shared" si="60"/>
        <v>245.30869877741611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278.5296012747549</v>
      </c>
      <c r="T87" s="59">
        <f t="shared" si="88"/>
        <v>370.55343097937077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2.1873347577638923E-13</v>
      </c>
      <c r="AK87" s="13">
        <f t="shared" si="89"/>
        <v>2.999861355695181E-12</v>
      </c>
      <c r="AL87" s="20">
        <f t="shared" si="58"/>
        <v>5.6057193314796512E-12</v>
      </c>
      <c r="AM87" s="59">
        <f t="shared" si="59"/>
        <v>293.33333333333894</v>
      </c>
      <c r="AN87" s="59">
        <f ca="1">AVERAGE(OFFSET($AM$3,0,0,'Données projet'!$E$10+1,1))-AVERAGE(OFFSET($H$3,0,0,'Données projet'!$E$10+1,1))</f>
        <v>234.10156575337737</v>
      </c>
      <c r="AO87" s="59">
        <f t="shared" si="90"/>
        <v>285.68635263076646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156.39387492371085</v>
      </c>
      <c r="AV87" s="21">
        <f>EXP(-LN(2)/25)*AV86+(1-EXP(-LN(2)/25))/(LN(2)/25)*Calculateur!AQ87*Calculateur!AS87*VLOOKUP('Données projet'!$B$10,Paramètres!$A$1:$I$89,3,0)*0.475*44/12</f>
        <v>83.440852530178304</v>
      </c>
      <c r="AW87" s="21">
        <f>EXP(-LN(2)/2)*AW86+(1-EXP(-LN(2)/2))/(LN(2)/2)*AQ87*AT87*VLOOKUP('Données projet'!$B$10,Paramètres!$A$1:$I$89,3,0)*0.475*44/12</f>
        <v>3.2340743117986576E-7</v>
      </c>
      <c r="AX87" s="21">
        <f t="shared" si="60"/>
        <v>239.83472777729659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278.5296012747549</v>
      </c>
      <c r="T88" s="59">
        <f t="shared" si="88"/>
        <v>370.55343097937077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2.1873347577638923E-13</v>
      </c>
      <c r="AK88" s="13">
        <f t="shared" si="89"/>
        <v>2.999861355695181E-12</v>
      </c>
      <c r="AL88" s="20">
        <f t="shared" si="58"/>
        <v>5.6057193314796512E-12</v>
      </c>
      <c r="AM88" s="59">
        <f t="shared" si="59"/>
        <v>293.33333333333894</v>
      </c>
      <c r="AN88" s="59">
        <f ca="1">AVERAGE(OFFSET($AM$3,0,0,'Données projet'!$E$10+1,1))-AVERAGE(OFFSET($H$3,0,0,'Données projet'!$E$10+1,1))</f>
        <v>234.10156575337737</v>
      </c>
      <c r="AO88" s="59">
        <f t="shared" si="90"/>
        <v>285.68635263076646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153.32708642730154</v>
      </c>
      <c r="AV88" s="21">
        <f>EXP(-LN(2)/25)*AV87+(1-EXP(-LN(2)/25))/(LN(2)/25)*Calculateur!AQ88*Calculateur!AS88*VLOOKUP('Données projet'!$B$10,Paramètres!$A$1:$I$89,3,0)*0.475*44/12</f>
        <v>81.159158029776847</v>
      </c>
      <c r="AW88" s="21">
        <f>EXP(-LN(2)/2)*AW87+(1-EXP(-LN(2)/2))/(LN(2)/2)*AQ88*AT88*VLOOKUP('Données projet'!$B$10,Paramètres!$A$1:$I$89,3,0)*0.475*44/12</f>
        <v>2.2868358767340477E-7</v>
      </c>
      <c r="AX88" s="21">
        <f t="shared" si="60"/>
        <v>234.48624468576196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278.5296012747549</v>
      </c>
      <c r="T89" s="59">
        <f t="shared" si="88"/>
        <v>370.55343097937077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2.1873347577638923E-13</v>
      </c>
      <c r="AK89" s="13">
        <f t="shared" si="89"/>
        <v>2.999861355695181E-12</v>
      </c>
      <c r="AL89" s="20">
        <f t="shared" si="58"/>
        <v>5.6057193314796512E-12</v>
      </c>
      <c r="AM89" s="59">
        <f t="shared" si="59"/>
        <v>293.33333333333894</v>
      </c>
      <c r="AN89" s="59">
        <f ca="1">AVERAGE(OFFSET($AM$3,0,0,'Données projet'!$E$10+1,1))-AVERAGE(OFFSET($H$3,0,0,'Données projet'!$E$10+1,1))</f>
        <v>234.10156575337737</v>
      </c>
      <c r="AO89" s="59">
        <f t="shared" si="90"/>
        <v>285.68635263076646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150.32043578275051</v>
      </c>
      <c r="AV89" s="21">
        <f>EXP(-LN(2)/25)*AV88+(1-EXP(-LN(2)/25))/(LN(2)/25)*Calculateur!AQ89*Calculateur!AS89*VLOOKUP('Données projet'!$B$10,Paramètres!$A$1:$I$89,3,0)*0.475*44/12</f>
        <v>78.939856585477969</v>
      </c>
      <c r="AW89" s="21">
        <f>EXP(-LN(2)/2)*AW88+(1-EXP(-LN(2)/2))/(LN(2)/2)*AQ89*AT89*VLOOKUP('Données projet'!$B$10,Paramètres!$A$1:$I$89,3,0)*0.475*44/12</f>
        <v>1.6170371558993288E-7</v>
      </c>
      <c r="AX89" s="21">
        <f t="shared" si="60"/>
        <v>229.2602925299322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278.5296012747549</v>
      </c>
      <c r="T90" s="59">
        <f t="shared" si="88"/>
        <v>370.55343097937077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2.1873347577638923E-13</v>
      </c>
      <c r="AK90" s="13">
        <f t="shared" si="89"/>
        <v>2.999861355695181E-12</v>
      </c>
      <c r="AL90" s="20">
        <f t="shared" si="58"/>
        <v>5.6057193314796512E-12</v>
      </c>
      <c r="AM90" s="59">
        <f t="shared" si="59"/>
        <v>293.33333333333894</v>
      </c>
      <c r="AN90" s="59">
        <f ca="1">AVERAGE(OFFSET($AM$3,0,0,'Données projet'!$E$10+1,1))-AVERAGE(OFFSET($H$3,0,0,'Données projet'!$E$10+1,1))</f>
        <v>234.10156575337737</v>
      </c>
      <c r="AO90" s="59">
        <f t="shared" si="90"/>
        <v>285.68635263076646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147.37274372346332</v>
      </c>
      <c r="AV90" s="21">
        <f>EXP(-LN(2)/25)*AV89+(1-EXP(-LN(2)/25))/(LN(2)/25)*Calculateur!AQ90*Calculateur!AS90*VLOOKUP('Données projet'!$B$10,Paramètres!$A$1:$I$89,3,0)*0.475*44/12</f>
        <v>76.781242055881435</v>
      </c>
      <c r="AW90" s="21">
        <f>EXP(-LN(2)/2)*AW89+(1-EXP(-LN(2)/2))/(LN(2)/2)*AQ90*AT90*VLOOKUP('Données projet'!$B$10,Paramètres!$A$1:$I$89,3,0)*0.475*44/12</f>
        <v>1.1434179383670238E-7</v>
      </c>
      <c r="AX90" s="21">
        <f t="shared" si="60"/>
        <v>224.15398589368652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278.5296012747549</v>
      </c>
      <c r="T91" s="59">
        <f t="shared" si="88"/>
        <v>370.55343097937077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2.1873347577638923E-13</v>
      </c>
      <c r="AK91" s="13">
        <f t="shared" si="89"/>
        <v>2.999861355695181E-12</v>
      </c>
      <c r="AL91" s="20">
        <f t="shared" si="58"/>
        <v>5.6057193314796512E-12</v>
      </c>
      <c r="AM91" s="59">
        <f t="shared" si="59"/>
        <v>293.33333333333894</v>
      </c>
      <c r="AN91" s="59">
        <f ca="1">AVERAGE(OFFSET($AM$3,0,0,'Données projet'!$E$10+1,1))-AVERAGE(OFFSET($H$3,0,0,'Données projet'!$E$10+1,1))</f>
        <v>234.10156575337737</v>
      </c>
      <c r="AO91" s="59">
        <f t="shared" si="90"/>
        <v>285.68635263076646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144.48285410754411</v>
      </c>
      <c r="AV91" s="21">
        <f>EXP(-LN(2)/25)*AV90+(1-EXP(-LN(2)/25))/(LN(2)/25)*Calculateur!AQ91*Calculateur!AS91*VLOOKUP('Données projet'!$B$10,Paramètres!$A$1:$I$89,3,0)*0.475*44/12</f>
        <v>74.681654954113327</v>
      </c>
      <c r="AW91" s="21">
        <f>EXP(-LN(2)/2)*AW90+(1-EXP(-LN(2)/2))/(LN(2)/2)*AQ91*AT91*VLOOKUP('Données projet'!$B$10,Paramètres!$A$1:$I$89,3,0)*0.475*44/12</f>
        <v>8.085185779496644E-8</v>
      </c>
      <c r="AX91" s="21">
        <f t="shared" si="60"/>
        <v>219.1645091425093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278.5296012747549</v>
      </c>
      <c r="T92" s="59">
        <f t="shared" si="88"/>
        <v>370.55343097937077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2.1873347577638923E-13</v>
      </c>
      <c r="AK92" s="13">
        <f t="shared" si="89"/>
        <v>2.999861355695181E-12</v>
      </c>
      <c r="AL92" s="20">
        <f t="shared" si="58"/>
        <v>5.6057193314796512E-12</v>
      </c>
      <c r="AM92" s="59">
        <f t="shared" si="59"/>
        <v>293.33333333333894</v>
      </c>
      <c r="AN92" s="59">
        <f ca="1">AVERAGE(OFFSET($AM$3,0,0,'Données projet'!$E$10+1,1))-AVERAGE(OFFSET($H$3,0,0,'Données projet'!$E$10+1,1))</f>
        <v>234.10156575337737</v>
      </c>
      <c r="AO92" s="59">
        <f t="shared" si="90"/>
        <v>285.68635263076646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141.64963346433447</v>
      </c>
      <c r="AV92" s="21">
        <f>EXP(-LN(2)/25)*AV91+(1-EXP(-LN(2)/25))/(LN(2)/25)*Calculateur!AQ92*Calculateur!AS92*VLOOKUP('Données projet'!$B$10,Paramètres!$A$1:$I$89,3,0)*0.475*44/12</f>
        <v>72.639481172055554</v>
      </c>
      <c r="AW92" s="21">
        <f>EXP(-LN(2)/2)*AW91+(1-EXP(-LN(2)/2))/(LN(2)/2)*AQ92*AT92*VLOOKUP('Données projet'!$B$10,Paramètres!$A$1:$I$89,3,0)*0.475*44/12</f>
        <v>5.7170896918351192E-8</v>
      </c>
      <c r="AX92" s="21">
        <f t="shared" si="60"/>
        <v>214.28911469356092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278.5296012747549</v>
      </c>
      <c r="T93" s="59">
        <f t="shared" si="88"/>
        <v>370.55343097937077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2.1873347577638923E-13</v>
      </c>
      <c r="AK93" s="13">
        <f t="shared" si="89"/>
        <v>2.999861355695181E-12</v>
      </c>
      <c r="AL93" s="20">
        <f t="shared" si="58"/>
        <v>5.6057193314796512E-12</v>
      </c>
      <c r="AM93" s="59">
        <f t="shared" si="59"/>
        <v>293.33333333333894</v>
      </c>
      <c r="AN93" s="59">
        <f ca="1">AVERAGE(OFFSET($AM$3,0,0,'Données projet'!$E$10+1,1))-AVERAGE(OFFSET($H$3,0,0,'Données projet'!$E$10+1,1))</f>
        <v>234.10156575337737</v>
      </c>
      <c r="AO93" s="59">
        <f t="shared" si="90"/>
        <v>285.68635263076646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138.87197054984421</v>
      </c>
      <c r="AV93" s="21">
        <f>EXP(-LN(2)/25)*AV92+(1-EXP(-LN(2)/25))/(LN(2)/25)*Calculateur!AQ93*Calculateur!AS93*VLOOKUP('Données projet'!$B$10,Paramètres!$A$1:$I$89,3,0)*0.475*44/12</f>
        <v>70.653150739461395</v>
      </c>
      <c r="AW93" s="21">
        <f>EXP(-LN(2)/2)*AW92+(1-EXP(-LN(2)/2))/(LN(2)/2)*AQ93*AT93*VLOOKUP('Données projet'!$B$10,Paramètres!$A$1:$I$89,3,0)*0.475*44/12</f>
        <v>4.042592889748322E-8</v>
      </c>
      <c r="AX93" s="21">
        <f t="shared" si="60"/>
        <v>209.52512132973155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278.5296012747549</v>
      </c>
      <c r="T94" s="59">
        <f t="shared" si="88"/>
        <v>370.55343097937077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2.1873347577638923E-13</v>
      </c>
      <c r="AK94" s="13">
        <f t="shared" si="89"/>
        <v>2.999861355695181E-12</v>
      </c>
      <c r="AL94" s="20">
        <f t="shared" si="58"/>
        <v>5.6057193314796512E-12</v>
      </c>
      <c r="AM94" s="59">
        <f t="shared" si="59"/>
        <v>293.33333333333894</v>
      </c>
      <c r="AN94" s="59">
        <f ca="1">AVERAGE(OFFSET($AM$3,0,0,'Données projet'!$E$10+1,1))-AVERAGE(OFFSET($H$3,0,0,'Données projet'!$E$10+1,1))</f>
        <v>234.10156575337737</v>
      </c>
      <c r="AO94" s="59">
        <f t="shared" si="90"/>
        <v>285.68635263076646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136.14877591090001</v>
      </c>
      <c r="AV94" s="21">
        <f>EXP(-LN(2)/25)*AV93+(1-EXP(-LN(2)/25))/(LN(2)/25)*Calculateur!AQ94*Calculateur!AS94*VLOOKUP('Données projet'!$B$10,Paramètres!$A$1:$I$89,3,0)*0.475*44/12</f>
        <v>68.721136617003111</v>
      </c>
      <c r="AW94" s="21">
        <f>EXP(-LN(2)/2)*AW93+(1-EXP(-LN(2)/2))/(LN(2)/2)*AQ94*AT94*VLOOKUP('Données projet'!$B$10,Paramètres!$A$1:$I$89,3,0)*0.475*44/12</f>
        <v>2.8585448459175596E-8</v>
      </c>
      <c r="AX94" s="21">
        <f t="shared" si="60"/>
        <v>204.86991255648857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278.5296012747549</v>
      </c>
      <c r="T95" s="59">
        <f t="shared" si="88"/>
        <v>370.55343097937077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2.1873347577638923E-13</v>
      </c>
      <c r="AK95" s="13">
        <f t="shared" si="89"/>
        <v>2.999861355695181E-12</v>
      </c>
      <c r="AL95" s="20">
        <f t="shared" si="58"/>
        <v>5.6057193314796512E-12</v>
      </c>
      <c r="AM95" s="59">
        <f t="shared" si="59"/>
        <v>293.33333333333894</v>
      </c>
      <c r="AN95" s="59">
        <f ca="1">AVERAGE(OFFSET($AM$3,0,0,'Données projet'!$E$10+1,1))-AVERAGE(OFFSET($H$3,0,0,'Données projet'!$E$10+1,1))</f>
        <v>234.10156575337737</v>
      </c>
      <c r="AO95" s="59">
        <f t="shared" si="90"/>
        <v>285.68635263076646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133.4789814578408</v>
      </c>
      <c r="AV95" s="21">
        <f>EXP(-LN(2)/25)*AV94+(1-EXP(-LN(2)/25))/(LN(2)/25)*Calculateur!AQ95*Calculateur!AS95*VLOOKUP('Données projet'!$B$10,Paramètres!$A$1:$I$89,3,0)*0.475*44/12</f>
        <v>66.841953522323649</v>
      </c>
      <c r="AW95" s="21">
        <f>EXP(-LN(2)/2)*AW94+(1-EXP(-LN(2)/2))/(LN(2)/2)*AQ95*AT95*VLOOKUP('Données projet'!$B$10,Paramètres!$A$1:$I$89,3,0)*0.475*44/12</f>
        <v>2.021296444874161E-8</v>
      </c>
      <c r="AX95" s="21">
        <f t="shared" si="60"/>
        <v>200.3209350003774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278.5296012747549</v>
      </c>
      <c r="T96" s="59">
        <f t="shared" si="88"/>
        <v>370.55343097937077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2.1873347577638923E-13</v>
      </c>
      <c r="AK96" s="13">
        <f t="shared" si="89"/>
        <v>2.999861355695181E-12</v>
      </c>
      <c r="AL96" s="20">
        <f t="shared" si="58"/>
        <v>5.6057193314796512E-12</v>
      </c>
      <c r="AM96" s="59">
        <f t="shared" si="59"/>
        <v>293.33333333333894</v>
      </c>
      <c r="AN96" s="59">
        <f ca="1">AVERAGE(OFFSET($AM$3,0,0,'Données projet'!$E$10+1,1))-AVERAGE(OFFSET($H$3,0,0,'Données projet'!$E$10+1,1))</f>
        <v>234.10156575337737</v>
      </c>
      <c r="AO96" s="59">
        <f t="shared" si="90"/>
        <v>285.68635263076646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130.86154004559225</v>
      </c>
      <c r="AV96" s="21">
        <f>EXP(-LN(2)/25)*AV95+(1-EXP(-LN(2)/25))/(LN(2)/25)*Calculateur!AQ96*Calculateur!AS96*VLOOKUP('Données projet'!$B$10,Paramètres!$A$1:$I$89,3,0)*0.475*44/12</f>
        <v>65.014156788190149</v>
      </c>
      <c r="AW96" s="21">
        <f>EXP(-LN(2)/2)*AW95+(1-EXP(-LN(2)/2))/(LN(2)/2)*AQ96*AT96*VLOOKUP('Données projet'!$B$10,Paramètres!$A$1:$I$89,3,0)*0.475*44/12</f>
        <v>1.4292724229587798E-8</v>
      </c>
      <c r="AX96" s="21">
        <f t="shared" si="60"/>
        <v>195.87569684807514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278.5296012747549</v>
      </c>
      <c r="T97" s="59">
        <f t="shared" si="88"/>
        <v>370.55343097937077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2.1873347577638923E-13</v>
      </c>
      <c r="AK97" s="13">
        <f t="shared" si="89"/>
        <v>2.999861355695181E-12</v>
      </c>
      <c r="AL97" s="20">
        <f t="shared" si="58"/>
        <v>5.6057193314796512E-12</v>
      </c>
      <c r="AM97" s="59">
        <f t="shared" si="59"/>
        <v>293.33333333333894</v>
      </c>
      <c r="AN97" s="59">
        <f ca="1">AVERAGE(OFFSET($AM$3,0,0,'Données projet'!$E$10+1,1))-AVERAGE(OFFSET($H$3,0,0,'Données projet'!$E$10+1,1))</f>
        <v>234.10156575337737</v>
      </c>
      <c r="AO97" s="59">
        <f t="shared" si="90"/>
        <v>285.68635263076646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128.29542506295627</v>
      </c>
      <c r="AV97" s="21">
        <f>EXP(-LN(2)/25)*AV96+(1-EXP(-LN(2)/25))/(LN(2)/25)*Calculateur!AQ97*Calculateur!AS97*VLOOKUP('Données projet'!$B$10,Paramètres!$A$1:$I$89,3,0)*0.475*44/12</f>
        <v>63.236341251871174</v>
      </c>
      <c r="AW97" s="21">
        <f>EXP(-LN(2)/2)*AW96+(1-EXP(-LN(2)/2))/(LN(2)/2)*AQ97*AT97*VLOOKUP('Données projet'!$B$10,Paramètres!$A$1:$I$89,3,0)*0.475*44/12</f>
        <v>1.0106482224370805E-8</v>
      </c>
      <c r="AX97" s="21">
        <f t="shared" si="60"/>
        <v>191.53176632493393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278.5296012747549</v>
      </c>
      <c r="T98" s="59">
        <f t="shared" si="88"/>
        <v>370.55343097937077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2.1873347577638923E-13</v>
      </c>
      <c r="AK98" s="13">
        <f t="shared" si="89"/>
        <v>2.999861355695181E-12</v>
      </c>
      <c r="AL98" s="20">
        <f t="shared" si="58"/>
        <v>5.6057193314796512E-12</v>
      </c>
      <c r="AM98" s="59">
        <f t="shared" si="59"/>
        <v>293.33333333333894</v>
      </c>
      <c r="AN98" s="59">
        <f ca="1">AVERAGE(OFFSET($AM$3,0,0,'Données projet'!$E$10+1,1))-AVERAGE(OFFSET($H$3,0,0,'Données projet'!$E$10+1,1))</f>
        <v>234.10156575337737</v>
      </c>
      <c r="AO98" s="59">
        <f t="shared" si="90"/>
        <v>285.68635263076646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125.77963002995419</v>
      </c>
      <c r="AV98" s="21">
        <f>EXP(-LN(2)/25)*AV97+(1-EXP(-LN(2)/25))/(LN(2)/25)*Calculateur!AQ98*Calculateur!AS98*VLOOKUP('Données projet'!$B$10,Paramètres!$A$1:$I$89,3,0)*0.475*44/12</f>
        <v>61.5071401748841</v>
      </c>
      <c r="AW98" s="21">
        <f>EXP(-LN(2)/2)*AW97+(1-EXP(-LN(2)/2))/(LN(2)/2)*AQ98*AT98*VLOOKUP('Données projet'!$B$10,Paramètres!$A$1:$I$89,3,0)*0.475*44/12</f>
        <v>7.146362114793899E-9</v>
      </c>
      <c r="AX98" s="21">
        <f t="shared" si="60"/>
        <v>187.28677021198465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278.5296012747549</v>
      </c>
      <c r="T99" s="59">
        <f t="shared" si="88"/>
        <v>370.55343097937077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2.1873347577638923E-13</v>
      </c>
      <c r="AK99" s="13">
        <f t="shared" si="89"/>
        <v>2.999861355695181E-12</v>
      </c>
      <c r="AL99" s="20">
        <f t="shared" si="58"/>
        <v>5.6057193314796512E-12</v>
      </c>
      <c r="AM99" s="59">
        <f t="shared" si="59"/>
        <v>293.33333333333894</v>
      </c>
      <c r="AN99" s="59">
        <f ca="1">AVERAGE(OFFSET($AM$3,0,0,'Données projet'!$E$10+1,1))-AVERAGE(OFFSET($H$3,0,0,'Données projet'!$E$10+1,1))</f>
        <v>234.10156575337737</v>
      </c>
      <c r="AO99" s="59">
        <f t="shared" si="90"/>
        <v>285.68635263076646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123.31316820306583</v>
      </c>
      <c r="AV99" s="21">
        <f>EXP(-LN(2)/25)*AV98+(1-EXP(-LN(2)/25))/(LN(2)/25)*Calculateur!AQ99*Calculateur!AS99*VLOOKUP('Données projet'!$B$10,Paramètres!$A$1:$I$89,3,0)*0.475*44/12</f>
        <v>59.825224192281972</v>
      </c>
      <c r="AW99" s="21">
        <f>EXP(-LN(2)/2)*AW98+(1-EXP(-LN(2)/2))/(LN(2)/2)*AQ99*AT99*VLOOKUP('Données projet'!$B$10,Paramètres!$A$1:$I$89,3,0)*0.475*44/12</f>
        <v>5.0532411121854025E-9</v>
      </c>
      <c r="AX99" s="21">
        <f t="shared" si="60"/>
        <v>183.13839240040105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278.5296012747549</v>
      </c>
      <c r="T100" s="59">
        <f t="shared" si="88"/>
        <v>370.55343097937077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2.1873347577638923E-13</v>
      </c>
      <c r="AK100" s="13">
        <f t="shared" si="89"/>
        <v>2.999861355695181E-12</v>
      </c>
      <c r="AL100" s="20">
        <f t="shared" si="58"/>
        <v>5.6057193314796512E-12</v>
      </c>
      <c r="AM100" s="59">
        <f t="shared" si="59"/>
        <v>293.33333333333894</v>
      </c>
      <c r="AN100" s="59">
        <f ca="1">AVERAGE(OFFSET($AM$3,0,0,'Données projet'!$E$10+1,1))-AVERAGE(OFFSET($H$3,0,0,'Données projet'!$E$10+1,1))</f>
        <v>234.10156575337737</v>
      </c>
      <c r="AO100" s="59">
        <f t="shared" si="90"/>
        <v>285.68635263076646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120.89507218820958</v>
      </c>
      <c r="AV100" s="21">
        <f>EXP(-LN(2)/25)*AV99+(1-EXP(-LN(2)/25))/(LN(2)/25)*Calculateur!AQ100*Calculateur!AS100*VLOOKUP('Données projet'!$B$10,Paramètres!$A$1:$I$89,3,0)*0.475*44/12</f>
        <v>58.189300290672215</v>
      </c>
      <c r="AW100" s="21">
        <f>EXP(-LN(2)/2)*AW99+(1-EXP(-LN(2)/2))/(LN(2)/2)*AQ100*AT100*VLOOKUP('Données projet'!$B$10,Paramètres!$A$1:$I$89,3,0)*0.475*44/12</f>
        <v>3.5731810573969495E-9</v>
      </c>
      <c r="AX100" s="21">
        <f t="shared" si="60"/>
        <v>179.08437248245497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278.5296012747549</v>
      </c>
      <c r="T101" s="59">
        <f t="shared" si="88"/>
        <v>370.55343097937077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2.1873347577638923E-13</v>
      </c>
      <c r="AK101" s="13">
        <f t="shared" si="89"/>
        <v>2.999861355695181E-12</v>
      </c>
      <c r="AL101" s="20">
        <f t="shared" si="58"/>
        <v>5.6057193314796512E-12</v>
      </c>
      <c r="AM101" s="59">
        <f t="shared" si="59"/>
        <v>293.33333333333894</v>
      </c>
      <c r="AN101" s="59">
        <f ca="1">AVERAGE(OFFSET($AM$3,0,0,'Données projet'!$E$10+1,1))-AVERAGE(OFFSET($H$3,0,0,'Données projet'!$E$10+1,1))</f>
        <v>234.10156575337737</v>
      </c>
      <c r="AO101" s="59">
        <f t="shared" si="90"/>
        <v>285.68635263076646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118.52439356131174</v>
      </c>
      <c r="AV101" s="21">
        <f>EXP(-LN(2)/25)*AV100+(1-EXP(-LN(2)/25))/(LN(2)/25)*Calculateur!AQ101*Calculateur!AS101*VLOOKUP('Données projet'!$B$10,Paramètres!$A$1:$I$89,3,0)*0.475*44/12</f>
        <v>56.598110814181474</v>
      </c>
      <c r="AW101" s="21">
        <f>EXP(-LN(2)/2)*AW100+(1-EXP(-LN(2)/2))/(LN(2)/2)*AQ101*AT101*VLOOKUP('Données projet'!$B$10,Paramètres!$A$1:$I$89,3,0)*0.475*44/12</f>
        <v>2.5266205560927012E-9</v>
      </c>
      <c r="AX101" s="21">
        <f t="shared" si="60"/>
        <v>175.12250437801984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278.5296012747549</v>
      </c>
      <c r="T102" s="59">
        <f t="shared" si="88"/>
        <v>370.55343097937077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2.1873347577638923E-13</v>
      </c>
      <c r="AK102" s="13">
        <f t="shared" si="89"/>
        <v>2.999861355695181E-12</v>
      </c>
      <c r="AL102" s="20">
        <f t="shared" si="58"/>
        <v>5.6057193314796512E-12</v>
      </c>
      <c r="AM102" s="59">
        <f t="shared" si="59"/>
        <v>293.33333333333894</v>
      </c>
      <c r="AN102" s="59">
        <f ca="1">AVERAGE(OFFSET($AM$3,0,0,'Données projet'!$E$10+1,1))-AVERAGE(OFFSET($H$3,0,0,'Données projet'!$E$10+1,1))</f>
        <v>234.10156575337737</v>
      </c>
      <c r="AO102" s="59">
        <f t="shared" si="90"/>
        <v>285.68635263076646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116.20020249631618</v>
      </c>
      <c r="AV102" s="21">
        <f>EXP(-LN(2)/25)*AV101+(1-EXP(-LN(2)/25))/(LN(2)/25)*Calculateur!AQ102*Calculateur!AS102*VLOOKUP('Données projet'!$B$10,Paramètres!$A$1:$I$89,3,0)*0.475*44/12</f>
        <v>55.050432497602394</v>
      </c>
      <c r="AW102" s="21">
        <f>EXP(-LN(2)/2)*AW101+(1-EXP(-LN(2)/2))/(LN(2)/2)*AQ102*AT102*VLOOKUP('Données projet'!$B$10,Paramètres!$A$1:$I$89,3,0)*0.475*44/12</f>
        <v>1.7865905286984747E-9</v>
      </c>
      <c r="AX102" s="21">
        <f t="shared" si="60"/>
        <v>171.25063499570516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278.5296012747549</v>
      </c>
      <c r="T103" s="59">
        <f t="shared" si="88"/>
        <v>370.55343097937077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2.1873347577638923E-13</v>
      </c>
      <c r="AK103" s="13">
        <f t="shared" si="89"/>
        <v>2.999861355695181E-12</v>
      </c>
      <c r="AL103" s="20">
        <f t="shared" si="58"/>
        <v>5.6057193314796512E-12</v>
      </c>
      <c r="AM103" s="59">
        <f t="shared" si="59"/>
        <v>293.33333333333894</v>
      </c>
      <c r="AN103" s="59">
        <f ca="1">AVERAGE(OFFSET($AM$3,0,0,'Données projet'!$E$10+1,1))-AVERAGE(OFFSET($H$3,0,0,'Données projet'!$E$10+1,1))</f>
        <v>234.10156575337737</v>
      </c>
      <c r="AO103" s="59">
        <f t="shared" si="90"/>
        <v>285.68635263076646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113.9215874004886</v>
      </c>
      <c r="AV103" s="21">
        <f>EXP(-LN(2)/25)*AV102+(1-EXP(-LN(2)/25))/(LN(2)/25)*Calculateur!AQ103*Calculateur!AS103*VLOOKUP('Données projet'!$B$10,Paramètres!$A$1:$I$89,3,0)*0.475*44/12</f>
        <v>53.54507552597903</v>
      </c>
      <c r="AW103" s="21">
        <f>EXP(-LN(2)/2)*AW102+(1-EXP(-LN(2)/2))/(LN(2)/2)*AQ103*AT103*VLOOKUP('Données projet'!$B$10,Paramètres!$A$1:$I$89,3,0)*0.475*44/12</f>
        <v>1.2633102780463506E-9</v>
      </c>
      <c r="AX103" s="21">
        <f t="shared" si="60"/>
        <v>167.46666292773094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278.5296012747549</v>
      </c>
      <c r="T104" s="59">
        <f t="shared" si="88"/>
        <v>370.55343097937077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2.1873347577638923E-13</v>
      </c>
      <c r="AK104" s="13">
        <f t="shared" si="89"/>
        <v>2.999861355695181E-12</v>
      </c>
      <c r="AL104" s="20">
        <f t="shared" si="58"/>
        <v>5.6057193314796512E-12</v>
      </c>
      <c r="AM104" s="59">
        <f t="shared" si="59"/>
        <v>293.33333333333894</v>
      </c>
      <c r="AN104" s="59">
        <f ca="1">AVERAGE(OFFSET($AM$3,0,0,'Données projet'!$E$10+1,1))-AVERAGE(OFFSET($H$3,0,0,'Données projet'!$E$10+1,1))</f>
        <v>234.10156575337737</v>
      </c>
      <c r="AO104" s="59">
        <f t="shared" si="90"/>
        <v>285.68635263076646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111.68765455687223</v>
      </c>
      <c r="AV104" s="21">
        <f>EXP(-LN(2)/25)*AV103+(1-EXP(-LN(2)/25))/(LN(2)/25)*Calculateur!AQ104*Calculateur!AS104*VLOOKUP('Données projet'!$B$10,Paramètres!$A$1:$I$89,3,0)*0.475*44/12</f>
        <v>52.080882619907989</v>
      </c>
      <c r="AW104" s="21">
        <f>EXP(-LN(2)/2)*AW103+(1-EXP(-LN(2)/2))/(LN(2)/2)*AQ104*AT104*VLOOKUP('Données projet'!$B$10,Paramètres!$A$1:$I$89,3,0)*0.475*44/12</f>
        <v>8.9329526434923737E-10</v>
      </c>
      <c r="AX104" s="21">
        <f t="shared" si="60"/>
        <v>163.76853717767352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278.5296012747549</v>
      </c>
      <c r="T105" s="59">
        <f t="shared" si="88"/>
        <v>370.55343097937077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2.1873347577638923E-13</v>
      </c>
      <c r="AK105" s="13">
        <f t="shared" si="89"/>
        <v>2.999861355695181E-12</v>
      </c>
      <c r="AL105" s="20">
        <f t="shared" si="58"/>
        <v>5.6057193314796512E-12</v>
      </c>
      <c r="AM105" s="59">
        <f t="shared" si="59"/>
        <v>293.33333333333894</v>
      </c>
      <c r="AN105" s="59">
        <f ca="1">AVERAGE(OFFSET($AM$3,0,0,'Données projet'!$E$10+1,1))-AVERAGE(OFFSET($H$3,0,0,'Données projet'!$E$10+1,1))</f>
        <v>234.10156575337737</v>
      </c>
      <c r="AO105" s="59">
        <f t="shared" si="90"/>
        <v>285.68635263076646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109.49752777375468</v>
      </c>
      <c r="AV105" s="21">
        <f>EXP(-LN(2)/25)*AV104+(1-EXP(-LN(2)/25))/(LN(2)/25)*Calculateur!AQ105*Calculateur!AS105*VLOOKUP('Données projet'!$B$10,Paramètres!$A$1:$I$89,3,0)*0.475*44/12</f>
        <v>50.656728145852021</v>
      </c>
      <c r="AW105" s="21">
        <f>EXP(-LN(2)/2)*AW104+(1-EXP(-LN(2)/2))/(LN(2)/2)*AQ105*AT105*VLOOKUP('Données projet'!$B$10,Paramètres!$A$1:$I$89,3,0)*0.475*44/12</f>
        <v>6.3165513902317531E-10</v>
      </c>
      <c r="AX105" s="21">
        <f t="shared" si="60"/>
        <v>160.15425592023834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278.5296012747549</v>
      </c>
      <c r="T106" s="59">
        <f t="shared" si="88"/>
        <v>370.55343097937077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2.1873347577638923E-13</v>
      </c>
      <c r="AK106" s="13">
        <f t="shared" si="89"/>
        <v>2.999861355695181E-12</v>
      </c>
      <c r="AL106" s="20">
        <f t="shared" si="58"/>
        <v>5.6057193314796512E-12</v>
      </c>
      <c r="AM106" s="59">
        <f t="shared" si="59"/>
        <v>293.33333333333894</v>
      </c>
      <c r="AN106" s="59">
        <f ca="1">AVERAGE(OFFSET($AM$3,0,0,'Données projet'!$E$10+1,1))-AVERAGE(OFFSET($H$3,0,0,'Données projet'!$E$10+1,1))</f>
        <v>234.10156575337737</v>
      </c>
      <c r="AO106" s="59">
        <f t="shared" si="90"/>
        <v>285.68635263076646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107.35034804100864</v>
      </c>
      <c r="AV106" s="21">
        <f>EXP(-LN(2)/25)*AV105+(1-EXP(-LN(2)/25))/(LN(2)/25)*Calculateur!AQ106*Calculateur!AS106*VLOOKUP('Données projet'!$B$10,Paramètres!$A$1:$I$89,3,0)*0.475*44/12</f>
        <v>49.271517250782139</v>
      </c>
      <c r="AW106" s="21">
        <f>EXP(-LN(2)/2)*AW105+(1-EXP(-LN(2)/2))/(LN(2)/2)*AQ106*AT106*VLOOKUP('Données projet'!$B$10,Paramètres!$A$1:$I$89,3,0)*0.475*44/12</f>
        <v>4.4664763217461869E-10</v>
      </c>
      <c r="AX106" s="21">
        <f t="shared" si="60"/>
        <v>156.62186529223743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278.5296012747549</v>
      </c>
      <c r="T107" s="59">
        <f t="shared" si="88"/>
        <v>370.55343097937077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2.1873347577638923E-13</v>
      </c>
      <c r="AK107" s="13">
        <f t="shared" si="89"/>
        <v>2.999861355695181E-12</v>
      </c>
      <c r="AL107" s="20">
        <f t="shared" si="58"/>
        <v>5.6057193314796512E-12</v>
      </c>
      <c r="AM107" s="59">
        <f t="shared" si="59"/>
        <v>293.33333333333894</v>
      </c>
      <c r="AN107" s="59">
        <f ca="1">AVERAGE(OFFSET($AM$3,0,0,'Données projet'!$E$10+1,1))-AVERAGE(OFFSET($H$3,0,0,'Données projet'!$E$10+1,1))</f>
        <v>234.10156575337737</v>
      </c>
      <c r="AO107" s="59">
        <f t="shared" si="90"/>
        <v>285.68635263076646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105.24527319317143</v>
      </c>
      <c r="AV107" s="21">
        <f>EXP(-LN(2)/25)*AV106+(1-EXP(-LN(2)/25))/(LN(2)/25)*Calculateur!AQ107*Calculateur!AS107*VLOOKUP('Données projet'!$B$10,Paramètres!$A$1:$I$89,3,0)*0.475*44/12</f>
        <v>47.924185020483023</v>
      </c>
      <c r="AW107" s="21">
        <f>EXP(-LN(2)/2)*AW106+(1-EXP(-LN(2)/2))/(LN(2)/2)*AQ107*AT107*VLOOKUP('Données projet'!$B$10,Paramètres!$A$1:$I$89,3,0)*0.475*44/12</f>
        <v>3.1582756951158766E-10</v>
      </c>
      <c r="AX107" s="21">
        <f t="shared" si="60"/>
        <v>153.16945821397027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278.5296012747549</v>
      </c>
      <c r="T108" s="59">
        <f t="shared" si="88"/>
        <v>370.55343097937077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2.1873347577638923E-13</v>
      </c>
      <c r="AK108" s="13">
        <f t="shared" si="89"/>
        <v>2.999861355695181E-12</v>
      </c>
      <c r="AL108" s="20">
        <f t="shared" si="58"/>
        <v>5.6057193314796512E-12</v>
      </c>
      <c r="AM108" s="59">
        <f t="shared" si="59"/>
        <v>293.33333333333894</v>
      </c>
      <c r="AN108" s="59">
        <f ca="1">AVERAGE(OFFSET($AM$3,0,0,'Données projet'!$E$10+1,1))-AVERAGE(OFFSET($H$3,0,0,'Données projet'!$E$10+1,1))</f>
        <v>234.10156575337737</v>
      </c>
      <c r="AO108" s="59">
        <f t="shared" si="90"/>
        <v>285.68635263076646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103.18147757913142</v>
      </c>
      <c r="AV108" s="21">
        <f>EXP(-LN(2)/25)*AV107+(1-EXP(-LN(2)/25))/(LN(2)/25)*Calculateur!AQ108*Calculateur!AS108*VLOOKUP('Données projet'!$B$10,Paramètres!$A$1:$I$89,3,0)*0.475*44/12</f>
        <v>46.613695660874555</v>
      </c>
      <c r="AW108" s="21">
        <f>EXP(-LN(2)/2)*AW107+(1-EXP(-LN(2)/2))/(LN(2)/2)*AQ108*AT108*VLOOKUP('Données projet'!$B$10,Paramètres!$A$1:$I$89,3,0)*0.475*44/12</f>
        <v>2.2332381608730934E-10</v>
      </c>
      <c r="AX108" s="21">
        <f t="shared" si="60"/>
        <v>149.7951732402293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278.5296012747549</v>
      </c>
      <c r="T109" s="59">
        <f t="shared" si="88"/>
        <v>370.55343097937077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2.1873347577638923E-13</v>
      </c>
      <c r="AK109" s="13">
        <f t="shared" si="89"/>
        <v>2.999861355695181E-12</v>
      </c>
      <c r="AL109" s="20">
        <f t="shared" si="58"/>
        <v>5.6057193314796512E-12</v>
      </c>
      <c r="AM109" s="59">
        <f t="shared" si="59"/>
        <v>293.33333333333894</v>
      </c>
      <c r="AN109" s="59">
        <f ca="1">AVERAGE(OFFSET($AM$3,0,0,'Données projet'!$E$10+1,1))-AVERAGE(OFFSET($H$3,0,0,'Données projet'!$E$10+1,1))</f>
        <v>234.10156575337737</v>
      </c>
      <c r="AO109" s="59">
        <f t="shared" si="90"/>
        <v>285.68635263076646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101.15815173829172</v>
      </c>
      <c r="AV109" s="21">
        <f>EXP(-LN(2)/25)*AV108+(1-EXP(-LN(2)/25))/(LN(2)/25)*Calculateur!AQ109*Calculateur!AS109*VLOOKUP('Données projet'!$B$10,Paramètres!$A$1:$I$89,3,0)*0.475*44/12</f>
        <v>45.33904170172022</v>
      </c>
      <c r="AW109" s="21">
        <f>EXP(-LN(2)/2)*AW108+(1-EXP(-LN(2)/2))/(LN(2)/2)*AQ109*AT109*VLOOKUP('Données projet'!$B$10,Paramètres!$A$1:$I$89,3,0)*0.475*44/12</f>
        <v>1.5791378475579383E-10</v>
      </c>
      <c r="AX109" s="21">
        <f t="shared" si="60"/>
        <v>146.49719344016984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278.5296012747549</v>
      </c>
      <c r="T110" s="59">
        <f t="shared" si="88"/>
        <v>370.55343097937077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2.1873347577638923E-13</v>
      </c>
      <c r="AK110" s="13">
        <f t="shared" si="89"/>
        <v>2.999861355695181E-12</v>
      </c>
      <c r="AL110" s="20">
        <f t="shared" si="58"/>
        <v>5.6057193314796512E-12</v>
      </c>
      <c r="AM110" s="59">
        <f t="shared" si="59"/>
        <v>293.33333333333894</v>
      </c>
      <c r="AN110" s="59">
        <f ca="1">AVERAGE(OFFSET($AM$3,0,0,'Données projet'!$E$10+1,1))-AVERAGE(OFFSET($H$3,0,0,'Données projet'!$E$10+1,1))</f>
        <v>234.10156575337737</v>
      </c>
      <c r="AO110" s="59">
        <f t="shared" si="90"/>
        <v>285.68635263076646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99.174502083083979</v>
      </c>
      <c r="AV110" s="21">
        <f>EXP(-LN(2)/25)*AV109+(1-EXP(-LN(2)/25))/(LN(2)/25)*Calculateur!AQ110*Calculateur!AS110*VLOOKUP('Données projet'!$B$10,Paramètres!$A$1:$I$89,3,0)*0.475*44/12</f>
        <v>44.099243222110104</v>
      </c>
      <c r="AW110" s="21">
        <f>EXP(-LN(2)/2)*AW109+(1-EXP(-LN(2)/2))/(LN(2)/2)*AQ110*AT110*VLOOKUP('Données projet'!$B$10,Paramètres!$A$1:$I$89,3,0)*0.475*44/12</f>
        <v>1.1166190804365467E-10</v>
      </c>
      <c r="AX110" s="21">
        <f t="shared" si="60"/>
        <v>143.27374530530577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278.5296012747549</v>
      </c>
      <c r="T111" s="59">
        <f t="shared" si="88"/>
        <v>370.55343097937077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2.1873347577638923E-13</v>
      </c>
      <c r="AK111" s="13">
        <f t="shared" si="89"/>
        <v>2.999861355695181E-12</v>
      </c>
      <c r="AL111" s="20">
        <f t="shared" si="58"/>
        <v>5.6057193314796512E-12</v>
      </c>
      <c r="AM111" s="59">
        <f t="shared" si="59"/>
        <v>293.33333333333894</v>
      </c>
      <c r="AN111" s="59">
        <f ca="1">AVERAGE(OFFSET($AM$3,0,0,'Données projet'!$E$10+1,1))-AVERAGE(OFFSET($H$3,0,0,'Données projet'!$E$10+1,1))</f>
        <v>234.10156575337737</v>
      </c>
      <c r="AO111" s="59">
        <f t="shared" si="90"/>
        <v>285.68635263076646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97.22975058770804</v>
      </c>
      <c r="AV111" s="21">
        <f>EXP(-LN(2)/25)*AV110+(1-EXP(-LN(2)/25))/(LN(2)/25)*Calculateur!AQ111*Calculateur!AS111*VLOOKUP('Données projet'!$B$10,Paramètres!$A$1:$I$89,3,0)*0.475*44/12</f>
        <v>42.89334709712309</v>
      </c>
      <c r="AW111" s="21">
        <f>EXP(-LN(2)/2)*AW110+(1-EXP(-LN(2)/2))/(LN(2)/2)*AQ111*AT111*VLOOKUP('Données projet'!$B$10,Paramètres!$A$1:$I$89,3,0)*0.475*44/12</f>
        <v>7.8956892377896914E-11</v>
      </c>
      <c r="AX111" s="21">
        <f t="shared" si="60"/>
        <v>140.12309768491008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278.5296012747549</v>
      </c>
      <c r="T112" s="59">
        <f t="shared" si="88"/>
        <v>370.55343097937077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2.1873347577638923E-13</v>
      </c>
      <c r="AK112" s="13">
        <f t="shared" si="89"/>
        <v>2.999861355695181E-12</v>
      </c>
      <c r="AL112" s="20">
        <f t="shared" si="58"/>
        <v>5.6057193314796512E-12</v>
      </c>
      <c r="AM112" s="59">
        <f t="shared" si="59"/>
        <v>293.33333333333894</v>
      </c>
      <c r="AN112" s="59">
        <f ca="1">AVERAGE(OFFSET($AM$3,0,0,'Données projet'!$E$10+1,1))-AVERAGE(OFFSET($H$3,0,0,'Données projet'!$E$10+1,1))</f>
        <v>234.10156575337737</v>
      </c>
      <c r="AO112" s="59">
        <f t="shared" si="90"/>
        <v>285.68635263076646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95.323134482975135</v>
      </c>
      <c r="AV112" s="21">
        <f>EXP(-LN(2)/25)*AV111+(1-EXP(-LN(2)/25))/(LN(2)/25)*Calculateur!AQ112*Calculateur!AS112*VLOOKUP('Données projet'!$B$10,Paramètres!$A$1:$I$89,3,0)*0.475*44/12</f>
        <v>41.720426265089166</v>
      </c>
      <c r="AW112" s="21">
        <f>EXP(-LN(2)/2)*AW111+(1-EXP(-LN(2)/2))/(LN(2)/2)*AQ112*AT112*VLOOKUP('Données projet'!$B$10,Paramètres!$A$1:$I$89,3,0)*0.475*44/12</f>
        <v>5.5830954021827336E-11</v>
      </c>
      <c r="AX112" s="21">
        <f t="shared" si="60"/>
        <v>137.04356074812011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278.5296012747549</v>
      </c>
      <c r="T113" s="59">
        <f t="shared" si="88"/>
        <v>370.55343097937077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2.1873347577638923E-13</v>
      </c>
      <c r="AK113" s="13">
        <f t="shared" si="89"/>
        <v>2.999861355695181E-12</v>
      </c>
      <c r="AL113" s="20">
        <f t="shared" si="58"/>
        <v>5.6057193314796512E-12</v>
      </c>
      <c r="AM113" s="59">
        <f t="shared" si="59"/>
        <v>293.33333333333894</v>
      </c>
      <c r="AN113" s="59">
        <f ca="1">AVERAGE(OFFSET($AM$3,0,0,'Données projet'!$E$10+1,1))-AVERAGE(OFFSET($H$3,0,0,'Données projet'!$E$10+1,1))</f>
        <v>234.10156575337737</v>
      </c>
      <c r="AO113" s="59">
        <f t="shared" si="90"/>
        <v>285.68635263076646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93.453905957135049</v>
      </c>
      <c r="AV113" s="21">
        <f>EXP(-LN(2)/25)*AV112+(1-EXP(-LN(2)/25))/(LN(2)/25)*Calculateur!AQ113*Calculateur!AS113*VLOOKUP('Données projet'!$B$10,Paramètres!$A$1:$I$89,3,0)*0.475*44/12</f>
        <v>40.579579014888438</v>
      </c>
      <c r="AW113" s="21">
        <f>EXP(-LN(2)/2)*AW112+(1-EXP(-LN(2)/2))/(LN(2)/2)*AQ113*AT113*VLOOKUP('Données projet'!$B$10,Paramètres!$A$1:$I$89,3,0)*0.475*44/12</f>
        <v>3.9478446188948457E-11</v>
      </c>
      <c r="AX113" s="21">
        <f t="shared" si="60"/>
        <v>134.03348497206295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278.5296012747549</v>
      </c>
      <c r="T114" s="59">
        <f t="shared" si="88"/>
        <v>370.55343097937077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2.1873347577638923E-13</v>
      </c>
      <c r="AK114" s="13">
        <f t="shared" si="89"/>
        <v>2.999861355695181E-12</v>
      </c>
      <c r="AL114" s="20">
        <f t="shared" si="58"/>
        <v>5.6057193314796512E-12</v>
      </c>
      <c r="AM114" s="59">
        <f t="shared" si="59"/>
        <v>293.33333333333894</v>
      </c>
      <c r="AN114" s="59">
        <f ca="1">AVERAGE(OFFSET($AM$3,0,0,'Données projet'!$E$10+1,1))-AVERAGE(OFFSET($H$3,0,0,'Données projet'!$E$10+1,1))</f>
        <v>234.10156575337737</v>
      </c>
      <c r="AO114" s="59">
        <f t="shared" si="90"/>
        <v>285.68635263076646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91.621331862569861</v>
      </c>
      <c r="AV114" s="21">
        <f>EXP(-LN(2)/25)*AV113+(1-EXP(-LN(2)/25))/(LN(2)/25)*Calculateur!AQ114*Calculateur!AS114*VLOOKUP('Données projet'!$B$10,Paramètres!$A$1:$I$89,3,0)*0.475*44/12</f>
        <v>39.469928292738999</v>
      </c>
      <c r="AW114" s="21">
        <f>EXP(-LN(2)/2)*AW113+(1-EXP(-LN(2)/2))/(LN(2)/2)*AQ114*AT114*VLOOKUP('Données projet'!$B$10,Paramètres!$A$1:$I$89,3,0)*0.475*44/12</f>
        <v>2.7915477010913668E-11</v>
      </c>
      <c r="AX114" s="21">
        <f t="shared" si="60"/>
        <v>131.09126015533678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278.5296012747549</v>
      </c>
      <c r="T115" s="59">
        <f t="shared" si="88"/>
        <v>370.55343097937077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2.1873347577638923E-13</v>
      </c>
      <c r="AK115" s="13">
        <f t="shared" si="89"/>
        <v>2.999861355695181E-12</v>
      </c>
      <c r="AL115" s="20">
        <f t="shared" si="58"/>
        <v>5.6057193314796512E-12</v>
      </c>
      <c r="AM115" s="59">
        <f t="shared" si="59"/>
        <v>293.33333333333894</v>
      </c>
      <c r="AN115" s="59">
        <f ca="1">AVERAGE(OFFSET($AM$3,0,0,'Données projet'!$E$10+1,1))-AVERAGE(OFFSET($H$3,0,0,'Données projet'!$E$10+1,1))</f>
        <v>234.10156575337737</v>
      </c>
      <c r="AO115" s="59">
        <f t="shared" si="90"/>
        <v>285.68635263076646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89.824693428239271</v>
      </c>
      <c r="AV115" s="21">
        <f>EXP(-LN(2)/25)*AV114+(1-EXP(-LN(2)/25))/(LN(2)/25)*Calculateur!AQ115*Calculateur!AS115*VLOOKUP('Données projet'!$B$10,Paramètres!$A$1:$I$89,3,0)*0.475*44/12</f>
        <v>38.390621027940732</v>
      </c>
      <c r="AW115" s="21">
        <f>EXP(-LN(2)/2)*AW114+(1-EXP(-LN(2)/2))/(LN(2)/2)*AQ115*AT115*VLOOKUP('Données projet'!$B$10,Paramètres!$A$1:$I$89,3,0)*0.475*44/12</f>
        <v>1.9739223094474228E-11</v>
      </c>
      <c r="AX115" s="21">
        <f t="shared" si="60"/>
        <v>128.21531445619976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278.5296012747549</v>
      </c>
      <c r="T116" s="59">
        <f t="shared" si="88"/>
        <v>370.55343097937077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2.1873347577638923E-13</v>
      </c>
      <c r="AK116" s="13">
        <f t="shared" si="89"/>
        <v>2.999861355695181E-12</v>
      </c>
      <c r="AL116" s="20">
        <f t="shared" si="58"/>
        <v>5.6057193314796512E-12</v>
      </c>
      <c r="AM116" s="59">
        <f t="shared" si="59"/>
        <v>293.33333333333894</v>
      </c>
      <c r="AN116" s="59">
        <f ca="1">AVERAGE(OFFSET($AM$3,0,0,'Données projet'!$E$10+1,1))-AVERAGE(OFFSET($H$3,0,0,'Données projet'!$E$10+1,1))</f>
        <v>234.10156575337737</v>
      </c>
      <c r="AO116" s="59">
        <f t="shared" si="90"/>
        <v>285.68635263076646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88.063285977764664</v>
      </c>
      <c r="AV116" s="21">
        <f>EXP(-LN(2)/25)*AV115+(1-EXP(-LN(2)/25))/(LN(2)/25)*Calculateur!AQ116*Calculateur!AS116*VLOOKUP('Données projet'!$B$10,Paramètres!$A$1:$I$89,3,0)*0.475*44/12</f>
        <v>37.340827477056678</v>
      </c>
      <c r="AW116" s="21">
        <f>EXP(-LN(2)/2)*AW115+(1-EXP(-LN(2)/2))/(LN(2)/2)*AQ116*AT116*VLOOKUP('Données projet'!$B$10,Paramètres!$A$1:$I$89,3,0)*0.475*44/12</f>
        <v>1.3957738505456834E-11</v>
      </c>
      <c r="AX116" s="21">
        <f t="shared" si="60"/>
        <v>125.4041134548353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278.5296012747549</v>
      </c>
      <c r="T117" s="59">
        <f t="shared" si="88"/>
        <v>370.55343097937077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2.1873347577638923E-13</v>
      </c>
      <c r="AK117" s="13">
        <f t="shared" si="89"/>
        <v>2.999861355695181E-12</v>
      </c>
      <c r="AL117" s="20">
        <f t="shared" si="58"/>
        <v>5.6057193314796512E-12</v>
      </c>
      <c r="AM117" s="59">
        <f t="shared" si="59"/>
        <v>293.33333333333894</v>
      </c>
      <c r="AN117" s="59">
        <f ca="1">AVERAGE(OFFSET($AM$3,0,0,'Données projet'!$E$10+1,1))-AVERAGE(OFFSET($H$3,0,0,'Données projet'!$E$10+1,1))</f>
        <v>234.10156575337737</v>
      </c>
      <c r="AO117" s="59">
        <f t="shared" si="90"/>
        <v>285.68635263076646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86.336418653041392</v>
      </c>
      <c r="AV117" s="21">
        <f>EXP(-LN(2)/25)*AV116+(1-EXP(-LN(2)/25))/(LN(2)/25)*Calculateur!AQ117*Calculateur!AS117*VLOOKUP('Données projet'!$B$10,Paramètres!$A$1:$I$89,3,0)*0.475*44/12</f>
        <v>36.319740586027791</v>
      </c>
      <c r="AW117" s="21">
        <f>EXP(-LN(2)/2)*AW116+(1-EXP(-LN(2)/2))/(LN(2)/2)*AQ117*AT117*VLOOKUP('Données projet'!$B$10,Paramètres!$A$1:$I$89,3,0)*0.475*44/12</f>
        <v>9.8696115472371142E-12</v>
      </c>
      <c r="AX117" s="21">
        <f t="shared" si="60"/>
        <v>122.65615923907906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278.5296012747549</v>
      </c>
      <c r="T118" s="59">
        <f t="shared" si="88"/>
        <v>370.55343097937077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2.1873347577638923E-13</v>
      </c>
      <c r="AK118" s="13">
        <f t="shared" si="89"/>
        <v>2.999861355695181E-12</v>
      </c>
      <c r="AL118" s="20">
        <f t="shared" si="58"/>
        <v>5.6057193314796512E-12</v>
      </c>
      <c r="AM118" s="59">
        <f t="shared" si="59"/>
        <v>293.33333333333894</v>
      </c>
      <c r="AN118" s="59">
        <f ca="1">AVERAGE(OFFSET($AM$3,0,0,'Données projet'!$E$10+1,1))-AVERAGE(OFFSET($H$3,0,0,'Données projet'!$E$10+1,1))</f>
        <v>234.10156575337737</v>
      </c>
      <c r="AO118" s="59">
        <f t="shared" si="90"/>
        <v>285.68635263076646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84.643414143270888</v>
      </c>
      <c r="AV118" s="21">
        <f>EXP(-LN(2)/25)*AV117+(1-EXP(-LN(2)/25))/(LN(2)/25)*Calculateur!AQ118*Calculateur!AS118*VLOOKUP('Données projet'!$B$10,Paramètres!$A$1:$I$89,3,0)*0.475*44/12</f>
        <v>35.326575369730712</v>
      </c>
      <c r="AW118" s="21">
        <f>EXP(-LN(2)/2)*AW117+(1-EXP(-LN(2)/2))/(LN(2)/2)*AQ118*AT118*VLOOKUP('Données projet'!$B$10,Paramètres!$A$1:$I$89,3,0)*0.475*44/12</f>
        <v>6.978869252728417E-12</v>
      </c>
      <c r="AX118" s="21">
        <f t="shared" si="60"/>
        <v>119.96998951300857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278.5296012747549</v>
      </c>
      <c r="T119" s="59">
        <f t="shared" si="88"/>
        <v>370.55343097937077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2.1873347577638923E-13</v>
      </c>
      <c r="AK119" s="13">
        <f t="shared" si="89"/>
        <v>2.999861355695181E-12</v>
      </c>
      <c r="AL119" s="20">
        <f t="shared" si="58"/>
        <v>5.6057193314796512E-12</v>
      </c>
      <c r="AM119" s="59">
        <f t="shared" si="59"/>
        <v>293.33333333333894</v>
      </c>
      <c r="AN119" s="59">
        <f ca="1">AVERAGE(OFFSET($AM$3,0,0,'Données projet'!$E$10+1,1))-AVERAGE(OFFSET($H$3,0,0,'Données projet'!$E$10+1,1))</f>
        <v>234.10156575337737</v>
      </c>
      <c r="AO119" s="59">
        <f t="shared" si="90"/>
        <v>285.68635263076646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82.983608419306194</v>
      </c>
      <c r="AV119" s="21">
        <f>EXP(-LN(2)/25)*AV118+(1-EXP(-LN(2)/25))/(LN(2)/25)*Calculateur!AQ119*Calculateur!AS119*VLOOKUP('Données projet'!$B$10,Paramètres!$A$1:$I$89,3,0)*0.475*44/12</f>
        <v>34.36056830850157</v>
      </c>
      <c r="AW119" s="21">
        <f>EXP(-LN(2)/2)*AW118+(1-EXP(-LN(2)/2))/(LN(2)/2)*AQ119*AT119*VLOOKUP('Données projet'!$B$10,Paramètres!$A$1:$I$89,3,0)*0.475*44/12</f>
        <v>4.9348057736185571E-12</v>
      </c>
      <c r="AX119" s="21">
        <f t="shared" si="60"/>
        <v>117.34417672781269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278.5296012747549</v>
      </c>
      <c r="T120" s="59">
        <f t="shared" si="88"/>
        <v>370.55343097937077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2.1873347577638923E-13</v>
      </c>
      <c r="AK120" s="13">
        <f t="shared" si="89"/>
        <v>2.999861355695181E-12</v>
      </c>
      <c r="AL120" s="20">
        <f t="shared" si="58"/>
        <v>5.6057193314796512E-12</v>
      </c>
      <c r="AM120" s="59">
        <f t="shared" si="59"/>
        <v>293.33333333333894</v>
      </c>
      <c r="AN120" s="59">
        <f ca="1">AVERAGE(OFFSET($AM$3,0,0,'Données projet'!$E$10+1,1))-AVERAGE(OFFSET($H$3,0,0,'Données projet'!$E$10+1,1))</f>
        <v>234.10156575337737</v>
      </c>
      <c r="AO120" s="59">
        <f t="shared" si="90"/>
        <v>285.68635263076646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81.356350473206916</v>
      </c>
      <c r="AV120" s="21">
        <f>EXP(-LN(2)/25)*AV119+(1-EXP(-LN(2)/25))/(LN(2)/25)*Calculateur!AQ120*Calculateur!AS120*VLOOKUP('Données projet'!$B$10,Paramètres!$A$1:$I$89,3,0)*0.475*44/12</f>
        <v>33.420976761161839</v>
      </c>
      <c r="AW120" s="21">
        <f>EXP(-LN(2)/2)*AW119+(1-EXP(-LN(2)/2))/(LN(2)/2)*AQ120*AT120*VLOOKUP('Données projet'!$B$10,Paramètres!$A$1:$I$89,3,0)*0.475*44/12</f>
        <v>3.4894346263642085E-12</v>
      </c>
      <c r="AX120" s="21">
        <f t="shared" si="60"/>
        <v>114.77732723437225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278.5296012747549</v>
      </c>
      <c r="T121" s="59">
        <f t="shared" si="88"/>
        <v>370.55343097937077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2.1873347577638923E-13</v>
      </c>
      <c r="AK121" s="13">
        <f t="shared" si="89"/>
        <v>2.999861355695181E-12</v>
      </c>
      <c r="AL121" s="20">
        <f t="shared" si="58"/>
        <v>5.6057193314796512E-12</v>
      </c>
      <c r="AM121" s="59">
        <f t="shared" si="59"/>
        <v>293.33333333333894</v>
      </c>
      <c r="AN121" s="59">
        <f ca="1">AVERAGE(OFFSET($AM$3,0,0,'Données projet'!$E$10+1,1))-AVERAGE(OFFSET($H$3,0,0,'Données projet'!$E$10+1,1))</f>
        <v>234.10156575337737</v>
      </c>
      <c r="AO121" s="59">
        <f t="shared" si="90"/>
        <v>285.68635263076646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79.761002062901298</v>
      </c>
      <c r="AV121" s="21">
        <f>EXP(-LN(2)/25)*AV120+(1-EXP(-LN(2)/25))/(LN(2)/25)*Calculateur!AQ121*Calculateur!AS121*VLOOKUP('Données projet'!$B$10,Paramètres!$A$1:$I$89,3,0)*0.475*44/12</f>
        <v>32.507078394095082</v>
      </c>
      <c r="AW121" s="21">
        <f>EXP(-LN(2)/2)*AW120+(1-EXP(-LN(2)/2))/(LN(2)/2)*AQ121*AT121*VLOOKUP('Données projet'!$B$10,Paramètres!$A$1:$I$89,3,0)*0.475*44/12</f>
        <v>2.4674028868092786E-12</v>
      </c>
      <c r="AX121" s="21">
        <f t="shared" si="60"/>
        <v>112.26808045699886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278.5296012747549</v>
      </c>
      <c r="T122" s="59">
        <f t="shared" si="88"/>
        <v>370.55343097937077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2.1873347577638923E-13</v>
      </c>
      <c r="AK122" s="13">
        <f t="shared" si="89"/>
        <v>2.999861355695181E-12</v>
      </c>
      <c r="AL122" s="20">
        <f t="shared" si="58"/>
        <v>5.6057193314796512E-12</v>
      </c>
      <c r="AM122" s="59">
        <f t="shared" si="59"/>
        <v>293.33333333333894</v>
      </c>
      <c r="AN122" s="59">
        <f ca="1">AVERAGE(OFFSET($AM$3,0,0,'Données projet'!$E$10+1,1))-AVERAGE(OFFSET($H$3,0,0,'Données projet'!$E$10+1,1))</f>
        <v>234.10156575337737</v>
      </c>
      <c r="AO122" s="59">
        <f t="shared" si="90"/>
        <v>285.68635263076646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78.196937461855327</v>
      </c>
      <c r="AV122" s="21">
        <f>EXP(-LN(2)/25)*AV121+(1-EXP(-LN(2)/25))/(LN(2)/25)*Calculateur!AQ122*Calculateur!AS122*VLOOKUP('Données projet'!$B$10,Paramètres!$A$1:$I$89,3,0)*0.475*44/12</f>
        <v>31.618170625935594</v>
      </c>
      <c r="AW122" s="21">
        <f>EXP(-LN(2)/2)*AW121+(1-EXP(-LN(2)/2))/(LN(2)/2)*AQ122*AT122*VLOOKUP('Données projet'!$B$10,Paramètres!$A$1:$I$89,3,0)*0.475*44/12</f>
        <v>1.7447173131821042E-12</v>
      </c>
      <c r="AX122" s="21">
        <f t="shared" si="60"/>
        <v>109.81510808779267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278.5296012747549</v>
      </c>
      <c r="T123" s="59">
        <f t="shared" si="88"/>
        <v>370.55343097937077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2.1873347577638923E-13</v>
      </c>
      <c r="AK123" s="13">
        <f t="shared" si="89"/>
        <v>2.999861355695181E-12</v>
      </c>
      <c r="AL123" s="20">
        <f t="shared" si="58"/>
        <v>5.6057193314796512E-12</v>
      </c>
      <c r="AM123" s="59">
        <f t="shared" si="59"/>
        <v>293.33333333333894</v>
      </c>
      <c r="AN123" s="59">
        <f ca="1">AVERAGE(OFFSET($AM$3,0,0,'Données projet'!$E$10+1,1))-AVERAGE(OFFSET($H$3,0,0,'Données projet'!$E$10+1,1))</f>
        <v>234.10156575337737</v>
      </c>
      <c r="AO123" s="59">
        <f t="shared" si="90"/>
        <v>285.68635263076646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76.663543213650669</v>
      </c>
      <c r="AV123" s="21">
        <f>EXP(-LN(2)/25)*AV122+(1-EXP(-LN(2)/25))/(LN(2)/25)*Calculateur!AQ123*Calculateur!AS123*VLOOKUP('Données projet'!$B$10,Paramètres!$A$1:$I$89,3,0)*0.475*44/12</f>
        <v>30.753570087442057</v>
      </c>
      <c r="AW123" s="21">
        <f>EXP(-LN(2)/2)*AW122+(1-EXP(-LN(2)/2))/(LN(2)/2)*AQ123*AT123*VLOOKUP('Données projet'!$B$10,Paramètres!$A$1:$I$89,3,0)*0.475*44/12</f>
        <v>1.2337014434046393E-12</v>
      </c>
      <c r="AX123" s="21">
        <f t="shared" si="60"/>
        <v>107.41711330109396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278.5296012747549</v>
      </c>
      <c r="T124" s="59">
        <f t="shared" si="88"/>
        <v>370.55343097937077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2.1873347577638923E-13</v>
      </c>
      <c r="AK124" s="13">
        <f t="shared" si="89"/>
        <v>2.999861355695181E-12</v>
      </c>
      <c r="AL124" s="20">
        <f t="shared" si="58"/>
        <v>5.6057193314796512E-12</v>
      </c>
      <c r="AM124" s="59">
        <f t="shared" si="59"/>
        <v>293.33333333333894</v>
      </c>
      <c r="AN124" s="59">
        <f ca="1">AVERAGE(OFFSET($AM$3,0,0,'Données projet'!$E$10+1,1))-AVERAGE(OFFSET($H$3,0,0,'Données projet'!$E$10+1,1))</f>
        <v>234.10156575337737</v>
      </c>
      <c r="AO124" s="59">
        <f t="shared" si="90"/>
        <v>285.68635263076646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75.160217891375154</v>
      </c>
      <c r="AV124" s="21">
        <f>EXP(-LN(2)/25)*AV123+(1-EXP(-LN(2)/25))/(LN(2)/25)*Calculateur!AQ124*Calculateur!AS124*VLOOKUP('Données projet'!$B$10,Paramètres!$A$1:$I$89,3,0)*0.475*44/12</f>
        <v>29.91261209614099</v>
      </c>
      <c r="AW124" s="21">
        <f>EXP(-LN(2)/2)*AW123+(1-EXP(-LN(2)/2))/(LN(2)/2)*AQ124*AT124*VLOOKUP('Données projet'!$B$10,Paramètres!$A$1:$I$89,3,0)*0.475*44/12</f>
        <v>8.7235865659105212E-13</v>
      </c>
      <c r="AX124" s="21">
        <f t="shared" si="60"/>
        <v>105.07282998751701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278.5296012747549</v>
      </c>
      <c r="T125" s="59">
        <f t="shared" si="88"/>
        <v>370.55343097937077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2.1873347577638923E-13</v>
      </c>
      <c r="AK125" s="13">
        <f t="shared" si="89"/>
        <v>2.999861355695181E-12</v>
      </c>
      <c r="AL125" s="20">
        <f t="shared" si="58"/>
        <v>5.6057193314796512E-12</v>
      </c>
      <c r="AM125" s="59">
        <f t="shared" si="59"/>
        <v>293.33333333333894</v>
      </c>
      <c r="AN125" s="59">
        <f ca="1">AVERAGE(OFFSET($AM$3,0,0,'Données projet'!$E$10+1,1))-AVERAGE(OFFSET($H$3,0,0,'Données projet'!$E$10+1,1))</f>
        <v>234.10156575337737</v>
      </c>
      <c r="AO125" s="59">
        <f t="shared" si="90"/>
        <v>285.68635263076646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73.686371861731558</v>
      </c>
      <c r="AV125" s="21">
        <f>EXP(-LN(2)/25)*AV124+(1-EXP(-LN(2)/25))/(LN(2)/25)*Calculateur!AQ125*Calculateur!AS125*VLOOKUP('Données projet'!$B$10,Paramètres!$A$1:$I$89,3,0)*0.475*44/12</f>
        <v>29.094650145336111</v>
      </c>
      <c r="AW125" s="21">
        <f>EXP(-LN(2)/2)*AW124+(1-EXP(-LN(2)/2))/(LN(2)/2)*AQ125*AT125*VLOOKUP('Données projet'!$B$10,Paramètres!$A$1:$I$89,3,0)*0.475*44/12</f>
        <v>6.1685072170231964E-13</v>
      </c>
      <c r="AX125" s="21">
        <f t="shared" si="60"/>
        <v>102.78102200706827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278.5296012747549</v>
      </c>
      <c r="T126" s="59">
        <f t="shared" si="88"/>
        <v>370.55343097937077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2.1873347577638923E-13</v>
      </c>
      <c r="AK126" s="13">
        <f t="shared" si="89"/>
        <v>2.999861355695181E-12</v>
      </c>
      <c r="AL126" s="20">
        <f t="shared" si="58"/>
        <v>5.6057193314796512E-12</v>
      </c>
      <c r="AM126" s="59">
        <f t="shared" si="59"/>
        <v>293.33333333333894</v>
      </c>
      <c r="AN126" s="59">
        <f ca="1">AVERAGE(OFFSET($AM$3,0,0,'Données projet'!$E$10+1,1))-AVERAGE(OFFSET($H$3,0,0,'Données projet'!$E$10+1,1))</f>
        <v>234.10156575337737</v>
      </c>
      <c r="AO126" s="59">
        <f t="shared" si="90"/>
        <v>285.68635263076646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72.241427053771957</v>
      </c>
      <c r="AV126" s="21">
        <f>EXP(-LN(2)/25)*AV125+(1-EXP(-LN(2)/25))/(LN(2)/25)*Calculateur!AQ126*Calculateur!AS126*VLOOKUP('Données projet'!$B$10,Paramètres!$A$1:$I$89,3,0)*0.475*44/12</f>
        <v>28.299055407090741</v>
      </c>
      <c r="AW126" s="21">
        <f>EXP(-LN(2)/2)*AW125+(1-EXP(-LN(2)/2))/(LN(2)/2)*AQ126*AT126*VLOOKUP('Données projet'!$B$10,Paramètres!$A$1:$I$89,3,0)*0.475*44/12</f>
        <v>4.3617932829552606E-13</v>
      </c>
      <c r="AX126" s="21">
        <f t="shared" si="60"/>
        <v>100.54048246086315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278.5296012747549</v>
      </c>
      <c r="T127" s="59">
        <f t="shared" si="88"/>
        <v>370.55343097937077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2.1873347577638923E-13</v>
      </c>
      <c r="AK127" s="13">
        <f t="shared" si="89"/>
        <v>2.999861355695181E-12</v>
      </c>
      <c r="AL127" s="20">
        <f t="shared" si="58"/>
        <v>5.6057193314796512E-12</v>
      </c>
      <c r="AM127" s="59">
        <f t="shared" si="59"/>
        <v>293.33333333333894</v>
      </c>
      <c r="AN127" s="59">
        <f ca="1">AVERAGE(OFFSET($AM$3,0,0,'Données projet'!$E$10+1,1))-AVERAGE(OFFSET($H$3,0,0,'Données projet'!$E$10+1,1))</f>
        <v>234.10156575337737</v>
      </c>
      <c r="AO127" s="59">
        <f t="shared" si="90"/>
        <v>285.68635263076646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70.824816732167136</v>
      </c>
      <c r="AV127" s="21">
        <f>EXP(-LN(2)/25)*AV126+(1-EXP(-LN(2)/25))/(LN(2)/25)*Calculateur!AQ127*Calculateur!AS127*VLOOKUP('Données projet'!$B$10,Paramètres!$A$1:$I$89,3,0)*0.475*44/12</f>
        <v>27.5252162488012</v>
      </c>
      <c r="AW127" s="21">
        <f>EXP(-LN(2)/2)*AW126+(1-EXP(-LN(2)/2))/(LN(2)/2)*AQ127*AT127*VLOOKUP('Données projet'!$B$10,Paramètres!$A$1:$I$89,3,0)*0.475*44/12</f>
        <v>3.0842536085115982E-13</v>
      </c>
      <c r="AX127" s="21">
        <f t="shared" si="60"/>
        <v>98.350032980968649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278.5296012747549</v>
      </c>
      <c r="T128" s="59">
        <f t="shared" si="88"/>
        <v>370.55343097937077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2.1873347577638923E-13</v>
      </c>
      <c r="AK128" s="13">
        <f t="shared" si="89"/>
        <v>2.999861355695181E-12</v>
      </c>
      <c r="AL128" s="20">
        <f t="shared" si="58"/>
        <v>5.6057193314796512E-12</v>
      </c>
      <c r="AM128" s="59">
        <f t="shared" si="59"/>
        <v>293.33333333333894</v>
      </c>
      <c r="AN128" s="59">
        <f ca="1">AVERAGE(OFFSET($AM$3,0,0,'Données projet'!$E$10+1,1))-AVERAGE(OFFSET($H$3,0,0,'Données projet'!$E$10+1,1))</f>
        <v>234.10156575337737</v>
      </c>
      <c r="AO128" s="59">
        <f t="shared" si="90"/>
        <v>285.68635263076646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69.435985274922004</v>
      </c>
      <c r="AV128" s="21">
        <f>EXP(-LN(2)/25)*AV127+(1-EXP(-LN(2)/25))/(LN(2)/25)*Calculateur!AQ128*Calculateur!AS128*VLOOKUP('Données projet'!$B$10,Paramètres!$A$1:$I$89,3,0)*0.475*44/12</f>
        <v>26.772537762989518</v>
      </c>
      <c r="AW128" s="21">
        <f>EXP(-LN(2)/2)*AW127+(1-EXP(-LN(2)/2))/(LN(2)/2)*AQ128*AT128*VLOOKUP('Données projet'!$B$10,Paramètres!$A$1:$I$89,3,0)*0.475*44/12</f>
        <v>2.1808966414776303E-13</v>
      </c>
      <c r="AX128" s="21">
        <f t="shared" si="60"/>
        <v>96.208523037911732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278.5296012747549</v>
      </c>
      <c r="T129" s="59">
        <f t="shared" si="88"/>
        <v>370.55343097937077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2.1873347577638923E-13</v>
      </c>
      <c r="AK129" s="13">
        <f t="shared" si="89"/>
        <v>2.999861355695181E-12</v>
      </c>
      <c r="AL129" s="20">
        <f t="shared" si="58"/>
        <v>5.6057193314796512E-12</v>
      </c>
      <c r="AM129" s="59">
        <f t="shared" si="59"/>
        <v>293.33333333333894</v>
      </c>
      <c r="AN129" s="59">
        <f ca="1">AVERAGE(OFFSET($AM$3,0,0,'Données projet'!$E$10+1,1))-AVERAGE(OFFSET($H$3,0,0,'Données projet'!$E$10+1,1))</f>
        <v>234.10156575337737</v>
      </c>
      <c r="AO129" s="59">
        <f t="shared" si="90"/>
        <v>285.68635263076646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68.074387955449907</v>
      </c>
      <c r="AV129" s="21">
        <f>EXP(-LN(2)/25)*AV128+(1-EXP(-LN(2)/25))/(LN(2)/25)*Calculateur!AQ129*Calculateur!AS129*VLOOKUP('Données projet'!$B$10,Paramètres!$A$1:$I$89,3,0)*0.475*44/12</f>
        <v>26.040441309953998</v>
      </c>
      <c r="AW129" s="21">
        <f>EXP(-LN(2)/2)*AW128+(1-EXP(-LN(2)/2))/(LN(2)/2)*AQ129*AT129*VLOOKUP('Données projet'!$B$10,Paramètres!$A$1:$I$89,3,0)*0.475*44/12</f>
        <v>1.5421268042557991E-13</v>
      </c>
      <c r="AX129" s="21">
        <f t="shared" si="60"/>
        <v>94.114829265404055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278.5296012747549</v>
      </c>
      <c r="T130" s="59">
        <f t="shared" si="88"/>
        <v>370.55343097937077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2.1873347577638923E-13</v>
      </c>
      <c r="AK130" s="13">
        <f t="shared" si="89"/>
        <v>2.999861355695181E-12</v>
      </c>
      <c r="AL130" s="20">
        <f t="shared" si="58"/>
        <v>5.6057193314796512E-12</v>
      </c>
      <c r="AM130" s="59">
        <f t="shared" si="59"/>
        <v>293.33333333333894</v>
      </c>
      <c r="AN130" s="59">
        <f ca="1">AVERAGE(OFFSET($AM$3,0,0,'Données projet'!$E$10+1,1))-AVERAGE(OFFSET($H$3,0,0,'Données projet'!$E$10+1,1))</f>
        <v>234.10156575337737</v>
      </c>
      <c r="AO130" s="59">
        <f t="shared" si="90"/>
        <v>285.68635263076646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66.739490728920302</v>
      </c>
      <c r="AV130" s="21">
        <f>EXP(-LN(2)/25)*AV129+(1-EXP(-LN(2)/25))/(LN(2)/25)*Calculateur!AQ130*Calculateur!AS130*VLOOKUP('Données projet'!$B$10,Paramètres!$A$1:$I$89,3,0)*0.475*44/12</f>
        <v>25.328364072926014</v>
      </c>
      <c r="AW130" s="21">
        <f>EXP(-LN(2)/2)*AW129+(1-EXP(-LN(2)/2))/(LN(2)/2)*AQ130*AT130*VLOOKUP('Données projet'!$B$10,Paramètres!$A$1:$I$89,3,0)*0.475*44/12</f>
        <v>1.0904483207388152E-13</v>
      </c>
      <c r="AX130" s="21">
        <f t="shared" si="60"/>
        <v>92.067854801846437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278.5296012747549</v>
      </c>
      <c r="T131" s="59">
        <f t="shared" si="88"/>
        <v>370.55343097937077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2.1873347577638923E-13</v>
      </c>
      <c r="AK131" s="13">
        <f t="shared" si="89"/>
        <v>2.999861355695181E-12</v>
      </c>
      <c r="AL131" s="20">
        <f t="shared" si="58"/>
        <v>5.6057193314796512E-12</v>
      </c>
      <c r="AM131" s="59">
        <f t="shared" si="59"/>
        <v>293.33333333333894</v>
      </c>
      <c r="AN131" s="59">
        <f ca="1">AVERAGE(OFFSET($AM$3,0,0,'Données projet'!$E$10+1,1))-AVERAGE(OFFSET($H$3,0,0,'Données projet'!$E$10+1,1))</f>
        <v>234.10156575337737</v>
      </c>
      <c r="AO131" s="59">
        <f t="shared" si="90"/>
        <v>285.68635263076646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65.430770022796025</v>
      </c>
      <c r="AV131" s="21">
        <f>EXP(-LN(2)/25)*AV130+(1-EXP(-LN(2)/25))/(LN(2)/25)*Calculateur!AQ131*Calculateur!AS131*VLOOKUP('Données projet'!$B$10,Paramètres!$A$1:$I$89,3,0)*0.475*44/12</f>
        <v>24.635758625391073</v>
      </c>
      <c r="AW131" s="21">
        <f>EXP(-LN(2)/2)*AW130+(1-EXP(-LN(2)/2))/(LN(2)/2)*AQ131*AT131*VLOOKUP('Données projet'!$B$10,Paramètres!$A$1:$I$89,3,0)*0.475*44/12</f>
        <v>7.7106340212789955E-14</v>
      </c>
      <c r="AX131" s="21">
        <f t="shared" si="60"/>
        <v>90.066528648187173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278.5296012747549</v>
      </c>
      <c r="T132" s="59">
        <f t="shared" si="88"/>
        <v>370.55343097937077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2.1873347577638923E-13</v>
      </c>
      <c r="AK132" s="13">
        <f t="shared" si="89"/>
        <v>2.999861355695181E-12</v>
      </c>
      <c r="AL132" s="20">
        <f t="shared" ref="AL132:AL153" si="112">(AJ132+AK132)*0.475*44/12</f>
        <v>5.6057193314796512E-12</v>
      </c>
      <c r="AM132" s="59">
        <f t="shared" ref="AM132:AM195" si="113">AL132+(AD132+AE132)*44/12</f>
        <v>293.33333333333894</v>
      </c>
      <c r="AN132" s="59">
        <f ca="1">AVERAGE(OFFSET($AM$3,0,0,'Données projet'!$E$10+1,1))-AVERAGE(OFFSET($H$3,0,0,'Données projet'!$E$10+1,1))</f>
        <v>234.10156575337737</v>
      </c>
      <c r="AO132" s="59">
        <f t="shared" si="90"/>
        <v>285.68635263076646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64.147712531478035</v>
      </c>
      <c r="AV132" s="21">
        <f>EXP(-LN(2)/25)*AV131+(1-EXP(-LN(2)/25))/(LN(2)/25)*Calculateur!AQ132*Calculateur!AS132*VLOOKUP('Données projet'!$B$10,Paramètres!$A$1:$I$89,3,0)*0.475*44/12</f>
        <v>23.962092510241515</v>
      </c>
      <c r="AW132" s="21">
        <f>EXP(-LN(2)/2)*AW131+(1-EXP(-LN(2)/2))/(LN(2)/2)*AQ132*AT132*VLOOKUP('Données projet'!$B$10,Paramètres!$A$1:$I$89,3,0)*0.475*44/12</f>
        <v>5.4522416036940758E-14</v>
      </c>
      <c r="AX132" s="21">
        <f t="shared" ref="AX132:AX153" si="114">SUM(AU132:AW132)</f>
        <v>88.109805041719611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278.5296012747549</v>
      </c>
      <c r="T133" s="59">
        <f t="shared" ref="T133:T196" si="142">$T$3</f>
        <v>370.55343097937077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2.1873347577638923E-13</v>
      </c>
      <c r="AK133" s="13">
        <f t="shared" ref="AK133:AK153" si="143">EXP(-1.0587+0.8836*LN(AJ133)+0.284)</f>
        <v>2.999861355695181E-12</v>
      </c>
      <c r="AL133" s="20">
        <f t="shared" si="112"/>
        <v>5.6057193314796512E-12</v>
      </c>
      <c r="AM133" s="59">
        <f t="shared" si="113"/>
        <v>293.33333333333894</v>
      </c>
      <c r="AN133" s="59">
        <f ca="1">AVERAGE(OFFSET($AM$3,0,0,'Données projet'!$E$10+1,1))-AVERAGE(OFFSET($H$3,0,0,'Données projet'!$E$10+1,1))</f>
        <v>234.10156575337737</v>
      </c>
      <c r="AO133" s="59">
        <f t="shared" ref="AO133:AO196" si="144">$AO$3</f>
        <v>285.68635263076646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62.889815014977003</v>
      </c>
      <c r="AV133" s="21">
        <f>EXP(-LN(2)/25)*AV132+(1-EXP(-LN(2)/25))/(LN(2)/25)*Calculateur!AQ133*Calculateur!AS133*VLOOKUP('Données projet'!$B$10,Paramètres!$A$1:$I$89,3,0)*0.475*44/12</f>
        <v>23.306847830437281</v>
      </c>
      <c r="AW133" s="21">
        <f>EXP(-LN(2)/2)*AW132+(1-EXP(-LN(2)/2))/(LN(2)/2)*AQ133*AT133*VLOOKUP('Données projet'!$B$10,Paramètres!$A$1:$I$89,3,0)*0.475*44/12</f>
        <v>3.8553170106394977E-14</v>
      </c>
      <c r="AX133" s="21">
        <f t="shared" si="114"/>
        <v>86.196662845414323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278.5296012747549</v>
      </c>
      <c r="T134" s="59">
        <f t="shared" si="142"/>
        <v>370.55343097937077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2.1873347577638923E-13</v>
      </c>
      <c r="AK134" s="13">
        <f t="shared" si="143"/>
        <v>2.999861355695181E-12</v>
      </c>
      <c r="AL134" s="20">
        <f t="shared" si="112"/>
        <v>5.6057193314796512E-12</v>
      </c>
      <c r="AM134" s="59">
        <f t="shared" si="113"/>
        <v>293.33333333333894</v>
      </c>
      <c r="AN134" s="59">
        <f ca="1">AVERAGE(OFFSET($AM$3,0,0,'Données projet'!$E$10+1,1))-AVERAGE(OFFSET($H$3,0,0,'Données projet'!$E$10+1,1))</f>
        <v>234.10156575337737</v>
      </c>
      <c r="AO134" s="59">
        <f t="shared" si="144"/>
        <v>285.68635263076646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61.656584101532829</v>
      </c>
      <c r="AV134" s="21">
        <f>EXP(-LN(2)/25)*AV133+(1-EXP(-LN(2)/25))/(LN(2)/25)*Calculateur!AQ134*Calculateur!AS134*VLOOKUP('Données projet'!$B$10,Paramètres!$A$1:$I$89,3,0)*0.475*44/12</f>
        <v>22.669520850860113</v>
      </c>
      <c r="AW134" s="21">
        <f>EXP(-LN(2)/2)*AW133+(1-EXP(-LN(2)/2))/(LN(2)/2)*AQ134*AT134*VLOOKUP('Données projet'!$B$10,Paramètres!$A$1:$I$89,3,0)*0.475*44/12</f>
        <v>2.7261208018470379E-14</v>
      </c>
      <c r="AX134" s="21">
        <f t="shared" si="114"/>
        <v>84.326104952392967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278.5296012747549</v>
      </c>
      <c r="T135" s="59">
        <f t="shared" si="142"/>
        <v>370.55343097937077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2.1873347577638923E-13</v>
      </c>
      <c r="AK135" s="13">
        <f t="shared" si="143"/>
        <v>2.999861355695181E-12</v>
      </c>
      <c r="AL135" s="20">
        <f t="shared" si="112"/>
        <v>5.6057193314796512E-12</v>
      </c>
      <c r="AM135" s="59">
        <f t="shared" si="113"/>
        <v>293.33333333333894</v>
      </c>
      <c r="AN135" s="59">
        <f ca="1">AVERAGE(OFFSET($AM$3,0,0,'Données projet'!$E$10+1,1))-AVERAGE(OFFSET($H$3,0,0,'Données projet'!$E$10+1,1))</f>
        <v>234.10156575337737</v>
      </c>
      <c r="AO135" s="59">
        <f t="shared" si="144"/>
        <v>285.68635263076646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60.447536094104706</v>
      </c>
      <c r="AV135" s="21">
        <f>EXP(-LN(2)/25)*AV134+(1-EXP(-LN(2)/25))/(LN(2)/25)*Calculateur!AQ135*Calculateur!AS135*VLOOKUP('Données projet'!$B$10,Paramètres!$A$1:$I$89,3,0)*0.475*44/12</f>
        <v>22.049621611055056</v>
      </c>
      <c r="AW135" s="21">
        <f>EXP(-LN(2)/2)*AW134+(1-EXP(-LN(2)/2))/(LN(2)/2)*AQ135*AT135*VLOOKUP('Données projet'!$B$10,Paramètres!$A$1:$I$89,3,0)*0.475*44/12</f>
        <v>1.9276585053197489E-14</v>
      </c>
      <c r="AX135" s="21">
        <f t="shared" si="114"/>
        <v>82.497157705159779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278.5296012747549</v>
      </c>
      <c r="T136" s="59">
        <f t="shared" si="142"/>
        <v>370.55343097937077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2.1873347577638923E-13</v>
      </c>
      <c r="AK136" s="13">
        <f t="shared" si="143"/>
        <v>2.999861355695181E-12</v>
      </c>
      <c r="AL136" s="20">
        <f t="shared" si="112"/>
        <v>5.6057193314796512E-12</v>
      </c>
      <c r="AM136" s="59">
        <f t="shared" si="113"/>
        <v>293.33333333333894</v>
      </c>
      <c r="AN136" s="59">
        <f ca="1">AVERAGE(OFFSET($AM$3,0,0,'Données projet'!$E$10+1,1))-AVERAGE(OFFSET($H$3,0,0,'Données projet'!$E$10+1,1))</f>
        <v>234.10156575337737</v>
      </c>
      <c r="AO136" s="59">
        <f t="shared" si="144"/>
        <v>285.68635263076646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59.262196780655785</v>
      </c>
      <c r="AV136" s="21">
        <f>EXP(-LN(2)/25)*AV135+(1-EXP(-LN(2)/25))/(LN(2)/25)*Calculateur!AQ136*Calculateur!AS136*VLOOKUP('Données projet'!$B$10,Paramètres!$A$1:$I$89,3,0)*0.475*44/12</f>
        <v>21.446673548561549</v>
      </c>
      <c r="AW136" s="21">
        <f>EXP(-LN(2)/2)*AW135+(1-EXP(-LN(2)/2))/(LN(2)/2)*AQ136*AT136*VLOOKUP('Données projet'!$B$10,Paramètres!$A$1:$I$89,3,0)*0.475*44/12</f>
        <v>1.3630604009235189E-14</v>
      </c>
      <c r="AX136" s="21">
        <f t="shared" si="114"/>
        <v>80.708870329217348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278.5296012747549</v>
      </c>
      <c r="T137" s="59">
        <f t="shared" si="142"/>
        <v>370.55343097937077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2.1873347577638923E-13</v>
      </c>
      <c r="AK137" s="13">
        <f t="shared" si="143"/>
        <v>2.999861355695181E-12</v>
      </c>
      <c r="AL137" s="20">
        <f t="shared" si="112"/>
        <v>5.6057193314796512E-12</v>
      </c>
      <c r="AM137" s="59">
        <f t="shared" si="113"/>
        <v>293.33333333333894</v>
      </c>
      <c r="AN137" s="59">
        <f ca="1">AVERAGE(OFFSET($AM$3,0,0,'Données projet'!$E$10+1,1))-AVERAGE(OFFSET($H$3,0,0,'Données projet'!$E$10+1,1))</f>
        <v>234.10156575337737</v>
      </c>
      <c r="AO137" s="59">
        <f t="shared" si="144"/>
        <v>285.68635263076646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58.100101248158005</v>
      </c>
      <c r="AV137" s="21">
        <f>EXP(-LN(2)/25)*AV136+(1-EXP(-LN(2)/25))/(LN(2)/25)*Calculateur!AQ137*Calculateur!AS137*VLOOKUP('Données projet'!$B$10,Paramètres!$A$1:$I$89,3,0)*0.475*44/12</f>
        <v>20.860213132544587</v>
      </c>
      <c r="AW137" s="21">
        <f>EXP(-LN(2)/2)*AW136+(1-EXP(-LN(2)/2))/(LN(2)/2)*AQ137*AT137*VLOOKUP('Données projet'!$B$10,Paramètres!$A$1:$I$89,3,0)*0.475*44/12</f>
        <v>9.6382925265987444E-15</v>
      </c>
      <c r="AX137" s="21">
        <f t="shared" si="114"/>
        <v>78.960314380702599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278.5296012747549</v>
      </c>
      <c r="T138" s="59">
        <f t="shared" si="142"/>
        <v>370.55343097937077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2.1873347577638923E-13</v>
      </c>
      <c r="AK138" s="13">
        <f t="shared" si="143"/>
        <v>2.999861355695181E-12</v>
      </c>
      <c r="AL138" s="20">
        <f t="shared" si="112"/>
        <v>5.6057193314796512E-12</v>
      </c>
      <c r="AM138" s="59">
        <f t="shared" si="113"/>
        <v>293.33333333333894</v>
      </c>
      <c r="AN138" s="59">
        <f ca="1">AVERAGE(OFFSET($AM$3,0,0,'Données projet'!$E$10+1,1))-AVERAGE(OFFSET($H$3,0,0,'Données projet'!$E$10+1,1))</f>
        <v>234.10156575337737</v>
      </c>
      <c r="AO138" s="59">
        <f t="shared" si="144"/>
        <v>285.68635263076646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56.960793700244217</v>
      </c>
      <c r="AV138" s="21">
        <f>EXP(-LN(2)/25)*AV137+(1-EXP(-LN(2)/25))/(LN(2)/25)*Calculateur!AQ138*Calculateur!AS138*VLOOKUP('Données projet'!$B$10,Paramètres!$A$1:$I$89,3,0)*0.475*44/12</f>
        <v>20.289789507444222</v>
      </c>
      <c r="AW138" s="21">
        <f>EXP(-LN(2)/2)*AW137+(1-EXP(-LN(2)/2))/(LN(2)/2)*AQ138*AT138*VLOOKUP('Données projet'!$B$10,Paramètres!$A$1:$I$89,3,0)*0.475*44/12</f>
        <v>6.8153020046175947E-15</v>
      </c>
      <c r="AX138" s="21">
        <f t="shared" si="114"/>
        <v>77.250583207688436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278.5296012747549</v>
      </c>
      <c r="T139" s="59">
        <f t="shared" si="142"/>
        <v>370.55343097937077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2.1873347577638923E-13</v>
      </c>
      <c r="AK139" s="13">
        <f t="shared" si="143"/>
        <v>2.999861355695181E-12</v>
      </c>
      <c r="AL139" s="20">
        <f t="shared" si="112"/>
        <v>5.6057193314796512E-12</v>
      </c>
      <c r="AM139" s="59">
        <f t="shared" si="113"/>
        <v>293.33333333333894</v>
      </c>
      <c r="AN139" s="59">
        <f ca="1">AVERAGE(OFFSET($AM$3,0,0,'Données projet'!$E$10+1,1))-AVERAGE(OFFSET($H$3,0,0,'Données projet'!$E$10+1,1))</f>
        <v>234.10156575337737</v>
      </c>
      <c r="AO139" s="59">
        <f t="shared" si="144"/>
        <v>285.68635263076646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55.843827278436031</v>
      </c>
      <c r="AV139" s="21">
        <f>EXP(-LN(2)/25)*AV138+(1-EXP(-LN(2)/25))/(LN(2)/25)*Calculateur!AQ139*Calculateur!AS139*VLOOKUP('Données projet'!$B$10,Paramètres!$A$1:$I$89,3,0)*0.475*44/12</f>
        <v>19.734964146369503</v>
      </c>
      <c r="AW139" s="21">
        <f>EXP(-LN(2)/2)*AW138+(1-EXP(-LN(2)/2))/(LN(2)/2)*AQ139*AT139*VLOOKUP('Données projet'!$B$10,Paramètres!$A$1:$I$89,3,0)*0.475*44/12</f>
        <v>4.8191462632993722E-15</v>
      </c>
      <c r="AX139" s="21">
        <f t="shared" si="114"/>
        <v>75.57879142480553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278.5296012747549</v>
      </c>
      <c r="T140" s="59">
        <f t="shared" si="142"/>
        <v>370.55343097937077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2.1873347577638923E-13</v>
      </c>
      <c r="AK140" s="13">
        <f t="shared" si="143"/>
        <v>2.999861355695181E-12</v>
      </c>
      <c r="AL140" s="20">
        <f t="shared" si="112"/>
        <v>5.6057193314796512E-12</v>
      </c>
      <c r="AM140" s="59">
        <f t="shared" si="113"/>
        <v>293.33333333333894</v>
      </c>
      <c r="AN140" s="59">
        <f ca="1">AVERAGE(OFFSET($AM$3,0,0,'Données projet'!$E$10+1,1))-AVERAGE(OFFSET($H$3,0,0,'Données projet'!$E$10+1,1))</f>
        <v>234.10156575337737</v>
      </c>
      <c r="AO140" s="59">
        <f t="shared" si="144"/>
        <v>285.68635263076646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54.748763886877256</v>
      </c>
      <c r="AV140" s="21">
        <f>EXP(-LN(2)/25)*AV139+(1-EXP(-LN(2)/25))/(LN(2)/25)*Calculateur!AQ140*Calculateur!AS140*VLOOKUP('Données projet'!$B$10,Paramètres!$A$1:$I$89,3,0)*0.475*44/12</f>
        <v>19.195310513970369</v>
      </c>
      <c r="AW140" s="21">
        <f>EXP(-LN(2)/2)*AW139+(1-EXP(-LN(2)/2))/(LN(2)/2)*AQ140*AT140*VLOOKUP('Données projet'!$B$10,Paramètres!$A$1:$I$89,3,0)*0.475*44/12</f>
        <v>3.4076510023087974E-15</v>
      </c>
      <c r="AX140" s="21">
        <f t="shared" si="114"/>
        <v>73.944074400847626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278.5296012747549</v>
      </c>
      <c r="T141" s="59">
        <f t="shared" si="142"/>
        <v>370.55343097937077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2.1873347577638923E-13</v>
      </c>
      <c r="AK141" s="13">
        <f t="shared" si="143"/>
        <v>2.999861355695181E-12</v>
      </c>
      <c r="AL141" s="20">
        <f t="shared" si="112"/>
        <v>5.6057193314796512E-12</v>
      </c>
      <c r="AM141" s="59">
        <f t="shared" si="113"/>
        <v>293.33333333333894</v>
      </c>
      <c r="AN141" s="59">
        <f ca="1">AVERAGE(OFFSET($AM$3,0,0,'Données projet'!$E$10+1,1))-AVERAGE(OFFSET($H$3,0,0,'Données projet'!$E$10+1,1))</f>
        <v>234.10156575337737</v>
      </c>
      <c r="AO141" s="59">
        <f t="shared" si="144"/>
        <v>285.68635263076646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53.675174020504237</v>
      </c>
      <c r="AV141" s="21">
        <f>EXP(-LN(2)/25)*AV140+(1-EXP(-LN(2)/25))/(LN(2)/25)*Calculateur!AQ141*Calculateur!AS141*VLOOKUP('Données projet'!$B$10,Paramètres!$A$1:$I$89,3,0)*0.475*44/12</f>
        <v>18.670413738528342</v>
      </c>
      <c r="AW141" s="21">
        <f>EXP(-LN(2)/2)*AW140+(1-EXP(-LN(2)/2))/(LN(2)/2)*AQ141*AT141*VLOOKUP('Données projet'!$B$10,Paramètres!$A$1:$I$89,3,0)*0.475*44/12</f>
        <v>2.4095731316496861E-15</v>
      </c>
      <c r="AX141" s="21">
        <f t="shared" si="114"/>
        <v>72.345587759032583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278.5296012747549</v>
      </c>
      <c r="T142" s="59">
        <f t="shared" si="142"/>
        <v>370.55343097937077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2.1873347577638923E-13</v>
      </c>
      <c r="AK142" s="13">
        <f t="shared" si="143"/>
        <v>2.999861355695181E-12</v>
      </c>
      <c r="AL142" s="20">
        <f t="shared" si="112"/>
        <v>5.6057193314796512E-12</v>
      </c>
      <c r="AM142" s="59">
        <f t="shared" si="113"/>
        <v>293.33333333333894</v>
      </c>
      <c r="AN142" s="59">
        <f ca="1">AVERAGE(OFFSET($AM$3,0,0,'Données projet'!$E$10+1,1))-AVERAGE(OFFSET($H$3,0,0,'Données projet'!$E$10+1,1))</f>
        <v>234.10156575337737</v>
      </c>
      <c r="AO142" s="59">
        <f t="shared" si="144"/>
        <v>285.68635263076646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52.622636596585629</v>
      </c>
      <c r="AV142" s="21">
        <f>EXP(-LN(2)/25)*AV141+(1-EXP(-LN(2)/25))/(LN(2)/25)*Calculateur!AQ142*Calculateur!AS142*VLOOKUP('Données projet'!$B$10,Paramètres!$A$1:$I$89,3,0)*0.475*44/12</f>
        <v>18.159870293013899</v>
      </c>
      <c r="AW142" s="21">
        <f>EXP(-LN(2)/2)*AW141+(1-EXP(-LN(2)/2))/(LN(2)/2)*AQ142*AT142*VLOOKUP('Données projet'!$B$10,Paramètres!$A$1:$I$89,3,0)*0.475*44/12</f>
        <v>1.7038255011543987E-15</v>
      </c>
      <c r="AX142" s="21">
        <f t="shared" si="114"/>
        <v>70.782506889599532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278.5296012747549</v>
      </c>
      <c r="T143" s="59">
        <f t="shared" si="142"/>
        <v>370.55343097937077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2.1873347577638923E-13</v>
      </c>
      <c r="AK143" s="13">
        <f t="shared" si="143"/>
        <v>2.999861355695181E-12</v>
      </c>
      <c r="AL143" s="20">
        <f t="shared" si="112"/>
        <v>5.6057193314796512E-12</v>
      </c>
      <c r="AM143" s="59">
        <f t="shared" si="113"/>
        <v>293.33333333333894</v>
      </c>
      <c r="AN143" s="59">
        <f ca="1">AVERAGE(OFFSET($AM$3,0,0,'Données projet'!$E$10+1,1))-AVERAGE(OFFSET($H$3,0,0,'Données projet'!$E$10+1,1))</f>
        <v>234.10156575337737</v>
      </c>
      <c r="AO143" s="59">
        <f t="shared" si="144"/>
        <v>285.68635263076646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51.590738789565627</v>
      </c>
      <c r="AV143" s="21">
        <f>EXP(-LN(2)/25)*AV142+(1-EXP(-LN(2)/25))/(LN(2)/25)*Calculateur!AQ143*Calculateur!AS143*VLOOKUP('Données projet'!$B$10,Paramètres!$A$1:$I$89,3,0)*0.475*44/12</f>
        <v>17.663287684865359</v>
      </c>
      <c r="AW143" s="21">
        <f>EXP(-LN(2)/2)*AW142+(1-EXP(-LN(2)/2))/(LN(2)/2)*AQ143*AT143*VLOOKUP('Données projet'!$B$10,Paramètres!$A$1:$I$89,3,0)*0.475*44/12</f>
        <v>1.204786565824843E-15</v>
      </c>
      <c r="AX143" s="21">
        <f t="shared" si="114"/>
        <v>69.254026474430987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278.5296012747549</v>
      </c>
      <c r="T144" s="59">
        <f t="shared" si="142"/>
        <v>370.55343097937077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2.1873347577638923E-13</v>
      </c>
      <c r="AK144" s="13">
        <f t="shared" si="143"/>
        <v>2.999861355695181E-12</v>
      </c>
      <c r="AL144" s="20">
        <f t="shared" si="112"/>
        <v>5.6057193314796512E-12</v>
      </c>
      <c r="AM144" s="59">
        <f t="shared" si="113"/>
        <v>293.33333333333894</v>
      </c>
      <c r="AN144" s="59">
        <f ca="1">AVERAGE(OFFSET($AM$3,0,0,'Données projet'!$E$10+1,1))-AVERAGE(OFFSET($H$3,0,0,'Données projet'!$E$10+1,1))</f>
        <v>234.10156575337737</v>
      </c>
      <c r="AO144" s="59">
        <f t="shared" si="144"/>
        <v>285.68635263076646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50.579075869145775</v>
      </c>
      <c r="AV144" s="21">
        <f>EXP(-LN(2)/25)*AV143+(1-EXP(-LN(2)/25))/(LN(2)/25)*Calculateur!AQ144*Calculateur!AS144*VLOOKUP('Données projet'!$B$10,Paramètres!$A$1:$I$89,3,0)*0.475*44/12</f>
        <v>17.180284154250788</v>
      </c>
      <c r="AW144" s="21">
        <f>EXP(-LN(2)/2)*AW143+(1-EXP(-LN(2)/2))/(LN(2)/2)*AQ144*AT144*VLOOKUP('Données projet'!$B$10,Paramètres!$A$1:$I$89,3,0)*0.475*44/12</f>
        <v>8.5191275057719934E-16</v>
      </c>
      <c r="AX144" s="21">
        <f t="shared" si="114"/>
        <v>67.759360023396567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278.5296012747549</v>
      </c>
      <c r="T145" s="59">
        <f t="shared" si="142"/>
        <v>370.55343097937077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2.1873347577638923E-13</v>
      </c>
      <c r="AK145" s="13">
        <f t="shared" si="143"/>
        <v>2.999861355695181E-12</v>
      </c>
      <c r="AL145" s="20">
        <f t="shared" si="112"/>
        <v>5.6057193314796512E-12</v>
      </c>
      <c r="AM145" s="59">
        <f t="shared" si="113"/>
        <v>293.33333333333894</v>
      </c>
      <c r="AN145" s="59">
        <f ca="1">AVERAGE(OFFSET($AM$3,0,0,'Données projet'!$E$10+1,1))-AVERAGE(OFFSET($H$3,0,0,'Données projet'!$E$10+1,1))</f>
        <v>234.10156575337737</v>
      </c>
      <c r="AO145" s="59">
        <f t="shared" si="144"/>
        <v>285.68635263076646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49.587251041541904</v>
      </c>
      <c r="AV145" s="21">
        <f>EXP(-LN(2)/25)*AV144+(1-EXP(-LN(2)/25))/(LN(2)/25)*Calculateur!AQ145*Calculateur!AS145*VLOOKUP('Données projet'!$B$10,Paramètres!$A$1:$I$89,3,0)*0.475*44/12</f>
        <v>16.710488380580923</v>
      </c>
      <c r="AW145" s="21">
        <f>EXP(-LN(2)/2)*AW144+(1-EXP(-LN(2)/2))/(LN(2)/2)*AQ145*AT145*VLOOKUP('Données projet'!$B$10,Paramètres!$A$1:$I$89,3,0)*0.475*44/12</f>
        <v>6.0239328291242152E-16</v>
      </c>
      <c r="AX145" s="21">
        <f t="shared" si="114"/>
        <v>66.297739422122831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278.5296012747549</v>
      </c>
      <c r="T146" s="59">
        <f t="shared" si="142"/>
        <v>370.55343097937077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2.1873347577638923E-13</v>
      </c>
      <c r="AK146" s="13">
        <f t="shared" si="143"/>
        <v>2.999861355695181E-12</v>
      </c>
      <c r="AL146" s="20">
        <f t="shared" si="112"/>
        <v>5.6057193314796512E-12</v>
      </c>
      <c r="AM146" s="59">
        <f t="shared" si="113"/>
        <v>293.33333333333894</v>
      </c>
      <c r="AN146" s="59">
        <f ca="1">AVERAGE(OFFSET($AM$3,0,0,'Données projet'!$E$10+1,1))-AVERAGE(OFFSET($H$3,0,0,'Données projet'!$E$10+1,1))</f>
        <v>234.10156575337737</v>
      </c>
      <c r="AO146" s="59">
        <f t="shared" si="144"/>
        <v>285.68635263076646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48.614875293853935</v>
      </c>
      <c r="AV146" s="21">
        <f>EXP(-LN(2)/25)*AV145+(1-EXP(-LN(2)/25))/(LN(2)/25)*Calculateur!AQ146*Calculateur!AS146*VLOOKUP('Données projet'!$B$10,Paramètres!$A$1:$I$89,3,0)*0.475*44/12</f>
        <v>16.253539197047544</v>
      </c>
      <c r="AW146" s="21">
        <f>EXP(-LN(2)/2)*AW145+(1-EXP(-LN(2)/2))/(LN(2)/2)*AQ146*AT146*VLOOKUP('Données projet'!$B$10,Paramètres!$A$1:$I$89,3,0)*0.475*44/12</f>
        <v>4.2595637528859967E-16</v>
      </c>
      <c r="AX146" s="21">
        <f t="shared" si="114"/>
        <v>64.868414490901472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278.5296012747549</v>
      </c>
      <c r="T147" s="59">
        <f t="shared" si="142"/>
        <v>370.55343097937077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2.1873347577638923E-13</v>
      </c>
      <c r="AK147" s="13">
        <f t="shared" si="143"/>
        <v>2.999861355695181E-12</v>
      </c>
      <c r="AL147" s="20">
        <f t="shared" si="112"/>
        <v>5.6057193314796512E-12</v>
      </c>
      <c r="AM147" s="59">
        <f t="shared" si="113"/>
        <v>293.33333333333894</v>
      </c>
      <c r="AN147" s="59">
        <f ca="1">AVERAGE(OFFSET($AM$3,0,0,'Données projet'!$E$10+1,1))-AVERAGE(OFFSET($H$3,0,0,'Données projet'!$E$10+1,1))</f>
        <v>234.10156575337737</v>
      </c>
      <c r="AO147" s="59">
        <f t="shared" si="144"/>
        <v>285.68635263076646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47.661567241487482</v>
      </c>
      <c r="AV147" s="21">
        <f>EXP(-LN(2)/25)*AV146+(1-EXP(-LN(2)/25))/(LN(2)/25)*Calculateur!AQ147*Calculateur!AS147*VLOOKUP('Données projet'!$B$10,Paramètres!$A$1:$I$89,3,0)*0.475*44/12</f>
        <v>15.809085312967801</v>
      </c>
      <c r="AW147" s="21">
        <f>EXP(-LN(2)/2)*AW146+(1-EXP(-LN(2)/2))/(LN(2)/2)*AQ147*AT147*VLOOKUP('Données projet'!$B$10,Paramètres!$A$1:$I$89,3,0)*0.475*44/12</f>
        <v>3.0119664145621076E-16</v>
      </c>
      <c r="AX147" s="21">
        <f t="shared" si="114"/>
        <v>63.470652554455285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278.5296012747549</v>
      </c>
      <c r="T148" s="59">
        <f t="shared" si="142"/>
        <v>370.55343097937077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2.1873347577638923E-13</v>
      </c>
      <c r="AK148" s="13">
        <f t="shared" si="143"/>
        <v>2.999861355695181E-12</v>
      </c>
      <c r="AL148" s="20">
        <f t="shared" si="112"/>
        <v>5.6057193314796512E-12</v>
      </c>
      <c r="AM148" s="59">
        <f t="shared" si="113"/>
        <v>293.33333333333894</v>
      </c>
      <c r="AN148" s="59">
        <f ca="1">AVERAGE(OFFSET($AM$3,0,0,'Données projet'!$E$10+1,1))-AVERAGE(OFFSET($H$3,0,0,'Données projet'!$E$10+1,1))</f>
        <v>234.10156575337737</v>
      </c>
      <c r="AO148" s="59">
        <f t="shared" si="144"/>
        <v>285.68635263076646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46.726952978567439</v>
      </c>
      <c r="AV148" s="21">
        <f>EXP(-LN(2)/25)*AV147+(1-EXP(-LN(2)/25))/(LN(2)/25)*Calculateur!AQ148*Calculateur!AS148*VLOOKUP('Données projet'!$B$10,Paramètres!$A$1:$I$89,3,0)*0.475*44/12</f>
        <v>15.376785043721032</v>
      </c>
      <c r="AW148" s="21">
        <f>EXP(-LN(2)/2)*AW147+(1-EXP(-LN(2)/2))/(LN(2)/2)*AQ148*AT148*VLOOKUP('Données projet'!$B$10,Paramètres!$A$1:$I$89,3,0)*0.475*44/12</f>
        <v>2.1297818764429983E-16</v>
      </c>
      <c r="AX148" s="21">
        <f t="shared" si="114"/>
        <v>62.103738022288468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278.5296012747549</v>
      </c>
      <c r="T149" s="59">
        <f t="shared" si="142"/>
        <v>370.55343097937077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2.1873347577638923E-13</v>
      </c>
      <c r="AK149" s="13">
        <f t="shared" si="143"/>
        <v>2.999861355695181E-12</v>
      </c>
      <c r="AL149" s="20">
        <f t="shared" si="112"/>
        <v>5.6057193314796512E-12</v>
      </c>
      <c r="AM149" s="59">
        <f t="shared" si="113"/>
        <v>293.33333333333894</v>
      </c>
      <c r="AN149" s="59">
        <f ca="1">AVERAGE(OFFSET($AM$3,0,0,'Données projet'!$E$10+1,1))-AVERAGE(OFFSET($H$3,0,0,'Données projet'!$E$10+1,1))</f>
        <v>234.10156575337737</v>
      </c>
      <c r="AO149" s="59">
        <f t="shared" si="144"/>
        <v>285.68635263076646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45.810665931284845</v>
      </c>
      <c r="AV149" s="21">
        <f>EXP(-LN(2)/25)*AV148+(1-EXP(-LN(2)/25))/(LN(2)/25)*Calculateur!AQ149*Calculateur!AS149*VLOOKUP('Données projet'!$B$10,Paramètres!$A$1:$I$89,3,0)*0.475*44/12</f>
        <v>14.956306048070498</v>
      </c>
      <c r="AW149" s="21">
        <f>EXP(-LN(2)/2)*AW148+(1-EXP(-LN(2)/2))/(LN(2)/2)*AQ149*AT149*VLOOKUP('Données projet'!$B$10,Paramètres!$A$1:$I$89,3,0)*0.475*44/12</f>
        <v>1.5059832072810538E-16</v>
      </c>
      <c r="AX149" s="21">
        <f t="shared" si="114"/>
        <v>60.766971979355347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278.5296012747549</v>
      </c>
      <c r="T150" s="59">
        <f t="shared" si="142"/>
        <v>370.55343097937077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2.1873347577638923E-13</v>
      </c>
      <c r="AK150" s="13">
        <f t="shared" si="143"/>
        <v>2.999861355695181E-12</v>
      </c>
      <c r="AL150" s="20">
        <f t="shared" si="112"/>
        <v>5.6057193314796512E-12</v>
      </c>
      <c r="AM150" s="59">
        <f t="shared" si="113"/>
        <v>293.33333333333894</v>
      </c>
      <c r="AN150" s="59">
        <f ca="1">AVERAGE(OFFSET($AM$3,0,0,'Données projet'!$E$10+1,1))-AVERAGE(OFFSET($H$3,0,0,'Données projet'!$E$10+1,1))</f>
        <v>234.10156575337737</v>
      </c>
      <c r="AO150" s="59">
        <f t="shared" si="144"/>
        <v>285.68635263076646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44.91234671411955</v>
      </c>
      <c r="AV150" s="21">
        <f>EXP(-LN(2)/25)*AV149+(1-EXP(-LN(2)/25))/(LN(2)/25)*Calculateur!AQ150*Calculateur!AS150*VLOOKUP('Données projet'!$B$10,Paramètres!$A$1:$I$89,3,0)*0.475*44/12</f>
        <v>14.547325072668059</v>
      </c>
      <c r="AW150" s="21">
        <f>EXP(-LN(2)/2)*AW149+(1-EXP(-LN(2)/2))/(LN(2)/2)*AQ150*AT150*VLOOKUP('Données projet'!$B$10,Paramètres!$A$1:$I$89,3,0)*0.475*44/12</f>
        <v>1.0648909382214992E-16</v>
      </c>
      <c r="AX150" s="21">
        <f t="shared" si="114"/>
        <v>59.459671786787609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278.5296012747549</v>
      </c>
      <c r="T151" s="59">
        <f t="shared" si="142"/>
        <v>370.55343097937077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2.1873347577638923E-13</v>
      </c>
      <c r="AK151" s="13">
        <f t="shared" si="143"/>
        <v>2.999861355695181E-12</v>
      </c>
      <c r="AL151" s="20">
        <f t="shared" si="112"/>
        <v>5.6057193314796512E-12</v>
      </c>
      <c r="AM151" s="59">
        <f t="shared" si="113"/>
        <v>293.33333333333894</v>
      </c>
      <c r="AN151" s="59">
        <f ca="1">AVERAGE(OFFSET($AM$3,0,0,'Données projet'!$E$10+1,1))-AVERAGE(OFFSET($H$3,0,0,'Données projet'!$E$10+1,1))</f>
        <v>234.10156575337737</v>
      </c>
      <c r="AO151" s="59">
        <f t="shared" si="144"/>
        <v>285.68635263076646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44.031642988882247</v>
      </c>
      <c r="AV151" s="21">
        <f>EXP(-LN(2)/25)*AV150+(1-EXP(-LN(2)/25))/(LN(2)/25)*Calculateur!AQ151*Calculateur!AS151*VLOOKUP('Données projet'!$B$10,Paramètres!$A$1:$I$89,3,0)*0.475*44/12</f>
        <v>14.149527703545374</v>
      </c>
      <c r="AW151" s="21">
        <f>EXP(-LN(2)/2)*AW150+(1-EXP(-LN(2)/2))/(LN(2)/2)*AQ151*AT151*VLOOKUP('Données projet'!$B$10,Paramètres!$A$1:$I$89,3,0)*0.475*44/12</f>
        <v>7.529916036405269E-17</v>
      </c>
      <c r="AX151" s="21">
        <f t="shared" si="114"/>
        <v>58.181170692427621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278.5296012747549</v>
      </c>
      <c r="T152" s="59">
        <f t="shared" si="142"/>
        <v>370.55343097937077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2.1873347577638923E-13</v>
      </c>
      <c r="AK152" s="13">
        <f t="shared" si="143"/>
        <v>2.999861355695181E-12</v>
      </c>
      <c r="AL152" s="20">
        <f t="shared" si="112"/>
        <v>5.6057193314796512E-12</v>
      </c>
      <c r="AM152" s="59">
        <f t="shared" si="113"/>
        <v>293.33333333333894</v>
      </c>
      <c r="AN152" s="59">
        <f ca="1">AVERAGE(OFFSET($AM$3,0,0,'Données projet'!$E$10+1,1))-AVERAGE(OFFSET($H$3,0,0,'Données projet'!$E$10+1,1))</f>
        <v>234.10156575337737</v>
      </c>
      <c r="AO152" s="59">
        <f t="shared" si="144"/>
        <v>285.68635263076646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43.168209326520618</v>
      </c>
      <c r="AV152" s="21">
        <f>EXP(-LN(2)/25)*AV151+(1-EXP(-LN(2)/25))/(LN(2)/25)*Calculateur!AQ152*Calculateur!AS152*VLOOKUP('Données projet'!$B$10,Paramètres!$A$1:$I$89,3,0)*0.475*44/12</f>
        <v>13.762608124400604</v>
      </c>
      <c r="AW152" s="21">
        <f>EXP(-LN(2)/2)*AW151+(1-EXP(-LN(2)/2))/(LN(2)/2)*AQ152*AT152*VLOOKUP('Données projet'!$B$10,Paramètres!$A$1:$I$89,3,0)*0.475*44/12</f>
        <v>5.3244546911074959E-17</v>
      </c>
      <c r="AX152" s="21">
        <f t="shared" si="114"/>
        <v>56.930817450921225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278.5296012747549</v>
      </c>
      <c r="T153" s="59">
        <f t="shared" si="142"/>
        <v>370.55343097937077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2.1873347577638923E-13</v>
      </c>
      <c r="AK153" s="13">
        <f t="shared" si="143"/>
        <v>2.999861355695181E-12</v>
      </c>
      <c r="AL153" s="20">
        <f t="shared" si="112"/>
        <v>5.6057193314796512E-12</v>
      </c>
      <c r="AM153" s="59">
        <f t="shared" si="113"/>
        <v>293.33333333333894</v>
      </c>
      <c r="AN153" s="59">
        <f ca="1">AVERAGE(OFFSET($AM$3,0,0,'Données projet'!$E$10+1,1))-AVERAGE(OFFSET($H$3,0,0,'Données projet'!$E$10+1,1))</f>
        <v>234.10156575337737</v>
      </c>
      <c r="AO153" s="59">
        <f t="shared" si="144"/>
        <v>285.68635263076646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42.321707071635366</v>
      </c>
      <c r="AV153" s="21">
        <f>EXP(-LN(2)/25)*AV152+(1-EXP(-LN(2)/25))/(LN(2)/25)*Calculateur!AQ153*Calculateur!AS153*VLOOKUP('Données projet'!$B$10,Paramètres!$A$1:$I$89,3,0)*0.475*44/12</f>
        <v>13.386268881494763</v>
      </c>
      <c r="AW153" s="21">
        <f>EXP(-LN(2)/2)*AW152+(1-EXP(-LN(2)/2))/(LN(2)/2)*AQ153*AT153*VLOOKUP('Données projet'!$B$10,Paramètres!$A$1:$I$89,3,0)*0.475*44/12</f>
        <v>3.7649580182026345E-17</v>
      </c>
      <c r="AX153" s="21">
        <f t="shared" si="114"/>
        <v>55.707975953130131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278.5296012747549</v>
      </c>
      <c r="T154" s="59">
        <f t="shared" si="142"/>
        <v>370.55343097937077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2.1873347577638923E-13</v>
      </c>
      <c r="AK154" s="13">
        <f t="shared" ref="AK154:AK203" si="164">EXP(-1.0587+0.8836*LN(AJ154)+0.284)</f>
        <v>2.999861355695181E-12</v>
      </c>
      <c r="AL154" s="20">
        <f t="shared" ref="AL154:AL203" si="165">(AJ154+AK154)*0.475*44/12</f>
        <v>5.6057193314796512E-12</v>
      </c>
      <c r="AM154" s="59">
        <f t="shared" si="113"/>
        <v>293.33333333333894</v>
      </c>
      <c r="AN154" s="59">
        <f ca="1">AVERAGE(OFFSET($AM$3,0,0,'Données projet'!$E$10+1,1))-AVERAGE(OFFSET($H$3,0,0,'Données projet'!$E$10+1,1))</f>
        <v>234.10156575337737</v>
      </c>
      <c r="AO154" s="59">
        <f t="shared" si="144"/>
        <v>285.68635263076646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41.491804209653019</v>
      </c>
      <c r="AV154" s="21">
        <f>EXP(-LN(2)/25)*AV153+(1-EXP(-LN(2)/25))/(LN(2)/25)*Calculateur!AQ154*Calculateur!AS154*VLOOKUP('Données projet'!$B$10,Paramètres!$A$1:$I$89,3,0)*0.475*44/12</f>
        <v>13.020220654977003</v>
      </c>
      <c r="AW154" s="21">
        <f>EXP(-LN(2)/2)*AW153+(1-EXP(-LN(2)/2))/(LN(2)/2)*AQ154*AT154*VLOOKUP('Données projet'!$B$10,Paramètres!$A$1:$I$89,3,0)*0.475*44/12</f>
        <v>2.6622273455537479E-17</v>
      </c>
      <c r="AX154" s="21">
        <f t="shared" ref="AX154:AX203" si="166">SUM(AU154:AW154)</f>
        <v>54.512024864630021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278.5296012747549</v>
      </c>
      <c r="T155" s="59">
        <f t="shared" si="142"/>
        <v>370.55343097937077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2.1873347577638923E-13</v>
      </c>
      <c r="AK155" s="13">
        <f t="shared" si="164"/>
        <v>2.999861355695181E-12</v>
      </c>
      <c r="AL155" s="20">
        <f t="shared" si="165"/>
        <v>5.6057193314796512E-12</v>
      </c>
      <c r="AM155" s="59">
        <f t="shared" si="113"/>
        <v>293.33333333333894</v>
      </c>
      <c r="AN155" s="59">
        <f ca="1">AVERAGE(OFFSET($AM$3,0,0,'Données projet'!$E$10+1,1))-AVERAGE(OFFSET($H$3,0,0,'Données projet'!$E$10+1,1))</f>
        <v>234.10156575337737</v>
      </c>
      <c r="AO155" s="59">
        <f t="shared" si="144"/>
        <v>285.68635263076646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40.67817523660338</v>
      </c>
      <c r="AV155" s="21">
        <f>EXP(-LN(2)/25)*AV154+(1-EXP(-LN(2)/25))/(LN(2)/25)*Calculateur!AQ155*Calculateur!AS155*VLOOKUP('Données projet'!$B$10,Paramètres!$A$1:$I$89,3,0)*0.475*44/12</f>
        <v>12.664182036463011</v>
      </c>
      <c r="AW155" s="21">
        <f>EXP(-LN(2)/2)*AW154+(1-EXP(-LN(2)/2))/(LN(2)/2)*AQ155*AT155*VLOOKUP('Données projet'!$B$10,Paramètres!$A$1:$I$89,3,0)*0.475*44/12</f>
        <v>1.8824790091013173E-17</v>
      </c>
      <c r="AX155" s="21">
        <f t="shared" si="166"/>
        <v>53.342357273066391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278.5296012747549</v>
      </c>
      <c r="T156" s="59">
        <f t="shared" si="142"/>
        <v>370.55343097937077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2.1873347577638923E-13</v>
      </c>
      <c r="AK156" s="13">
        <f t="shared" si="164"/>
        <v>2.999861355695181E-12</v>
      </c>
      <c r="AL156" s="20">
        <f t="shared" si="165"/>
        <v>5.6057193314796512E-12</v>
      </c>
      <c r="AM156" s="59">
        <f t="shared" si="113"/>
        <v>293.33333333333894</v>
      </c>
      <c r="AN156" s="59">
        <f ca="1">AVERAGE(OFFSET($AM$3,0,0,'Données projet'!$E$10+1,1))-AVERAGE(OFFSET($H$3,0,0,'Données projet'!$E$10+1,1))</f>
        <v>234.10156575337737</v>
      </c>
      <c r="AO156" s="59">
        <f t="shared" si="144"/>
        <v>285.68635263076646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39.880501031450578</v>
      </c>
      <c r="AV156" s="21">
        <f>EXP(-LN(2)/25)*AV155+(1-EXP(-LN(2)/25))/(LN(2)/25)*Calculateur!AQ156*Calculateur!AS156*VLOOKUP('Données projet'!$B$10,Paramètres!$A$1:$I$89,3,0)*0.475*44/12</f>
        <v>12.31787931269554</v>
      </c>
      <c r="AW156" s="21">
        <f>EXP(-LN(2)/2)*AW155+(1-EXP(-LN(2)/2))/(LN(2)/2)*AQ156*AT156*VLOOKUP('Données projet'!$B$10,Paramètres!$A$1:$I$89,3,0)*0.475*44/12</f>
        <v>1.331113672776874E-17</v>
      </c>
      <c r="AX156" s="21">
        <f t="shared" si="166"/>
        <v>52.198380344146116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278.5296012747549</v>
      </c>
      <c r="T157" s="59">
        <f t="shared" si="142"/>
        <v>370.55343097937077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2.1873347577638923E-13</v>
      </c>
      <c r="AK157" s="13">
        <f t="shared" si="164"/>
        <v>2.999861355695181E-12</v>
      </c>
      <c r="AL157" s="20">
        <f t="shared" si="165"/>
        <v>5.6057193314796512E-12</v>
      </c>
      <c r="AM157" s="59">
        <f t="shared" si="113"/>
        <v>293.33333333333894</v>
      </c>
      <c r="AN157" s="59">
        <f ca="1">AVERAGE(OFFSET($AM$3,0,0,'Données projet'!$E$10+1,1))-AVERAGE(OFFSET($H$3,0,0,'Données projet'!$E$10+1,1))</f>
        <v>234.10156575337737</v>
      </c>
      <c r="AO157" s="59">
        <f t="shared" si="144"/>
        <v>285.68635263076646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39.0984687309276</v>
      </c>
      <c r="AV157" s="21">
        <f>EXP(-LN(2)/25)*AV156+(1-EXP(-LN(2)/25))/(LN(2)/25)*Calculateur!AQ157*Calculateur!AS157*VLOOKUP('Données projet'!$B$10,Paramètres!$A$1:$I$89,3,0)*0.475*44/12</f>
        <v>11.981046255120761</v>
      </c>
      <c r="AW157" s="21">
        <f>EXP(-LN(2)/2)*AW156+(1-EXP(-LN(2)/2))/(LN(2)/2)*AQ157*AT157*VLOOKUP('Données projet'!$B$10,Paramètres!$A$1:$I$89,3,0)*0.475*44/12</f>
        <v>9.4123950455065863E-18</v>
      </c>
      <c r="AX157" s="21">
        <f t="shared" si="166"/>
        <v>51.079514986048359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278.5296012747549</v>
      </c>
      <c r="T158" s="59">
        <f t="shared" si="142"/>
        <v>370.55343097937077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2.1873347577638923E-13</v>
      </c>
      <c r="AK158" s="13">
        <f t="shared" si="164"/>
        <v>2.999861355695181E-12</v>
      </c>
      <c r="AL158" s="20">
        <f t="shared" si="165"/>
        <v>5.6057193314796512E-12</v>
      </c>
      <c r="AM158" s="59">
        <f t="shared" si="113"/>
        <v>293.33333333333894</v>
      </c>
      <c r="AN158" s="59">
        <f ca="1">AVERAGE(OFFSET($AM$3,0,0,'Données projet'!$E$10+1,1))-AVERAGE(OFFSET($H$3,0,0,'Données projet'!$E$10+1,1))</f>
        <v>234.10156575337737</v>
      </c>
      <c r="AO158" s="59">
        <f t="shared" si="144"/>
        <v>285.68635263076646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38.331771606825271</v>
      </c>
      <c r="AV158" s="21">
        <f>EXP(-LN(2)/25)*AV157+(1-EXP(-LN(2)/25))/(LN(2)/25)*Calculateur!AQ158*Calculateur!AS158*VLOOKUP('Données projet'!$B$10,Paramètres!$A$1:$I$89,3,0)*0.475*44/12</f>
        <v>11.653423915218644</v>
      </c>
      <c r="AW158" s="21">
        <f>EXP(-LN(2)/2)*AW157+(1-EXP(-LN(2)/2))/(LN(2)/2)*AQ158*AT158*VLOOKUP('Données projet'!$B$10,Paramètres!$A$1:$I$89,3,0)*0.475*44/12</f>
        <v>6.6555683638843698E-18</v>
      </c>
      <c r="AX158" s="21">
        <f t="shared" si="166"/>
        <v>49.985195522043917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278.5296012747549</v>
      </c>
      <c r="T159" s="59">
        <f t="shared" si="142"/>
        <v>370.55343097937077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2.1873347577638923E-13</v>
      </c>
      <c r="AK159" s="13">
        <f t="shared" si="164"/>
        <v>2.999861355695181E-12</v>
      </c>
      <c r="AL159" s="20">
        <f t="shared" si="165"/>
        <v>5.6057193314796512E-12</v>
      </c>
      <c r="AM159" s="59">
        <f t="shared" si="113"/>
        <v>293.33333333333894</v>
      </c>
      <c r="AN159" s="59">
        <f ca="1">AVERAGE(OFFSET($AM$3,0,0,'Données projet'!$E$10+1,1))-AVERAGE(OFFSET($H$3,0,0,'Données projet'!$E$10+1,1))</f>
        <v>234.10156575337737</v>
      </c>
      <c r="AO159" s="59">
        <f t="shared" si="144"/>
        <v>285.68635263076646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37.58010894568752</v>
      </c>
      <c r="AV159" s="21">
        <f>EXP(-LN(2)/25)*AV158+(1-EXP(-LN(2)/25))/(LN(2)/25)*Calculateur!AQ159*Calculateur!AS159*VLOOKUP('Données projet'!$B$10,Paramètres!$A$1:$I$89,3,0)*0.475*44/12</f>
        <v>11.33476042543006</v>
      </c>
      <c r="AW159" s="21">
        <f>EXP(-LN(2)/2)*AW158+(1-EXP(-LN(2)/2))/(LN(2)/2)*AQ159*AT159*VLOOKUP('Données projet'!$B$10,Paramètres!$A$1:$I$89,3,0)*0.475*44/12</f>
        <v>4.7061975227532932E-18</v>
      </c>
      <c r="AX159" s="21">
        <f t="shared" si="166"/>
        <v>48.914869371117582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278.5296012747549</v>
      </c>
      <c r="T160" s="59">
        <f t="shared" si="142"/>
        <v>370.55343097937077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2.1873347577638923E-13</v>
      </c>
      <c r="AK160" s="13">
        <f t="shared" si="164"/>
        <v>2.999861355695181E-12</v>
      </c>
      <c r="AL160" s="20">
        <f t="shared" si="165"/>
        <v>5.6057193314796512E-12</v>
      </c>
      <c r="AM160" s="59">
        <f t="shared" si="113"/>
        <v>293.33333333333894</v>
      </c>
      <c r="AN160" s="59">
        <f ca="1">AVERAGE(OFFSET($AM$3,0,0,'Données projet'!$E$10+1,1))-AVERAGE(OFFSET($H$3,0,0,'Données projet'!$E$10+1,1))</f>
        <v>234.10156575337737</v>
      </c>
      <c r="AO160" s="59">
        <f t="shared" si="144"/>
        <v>285.68635263076646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36.843185930865722</v>
      </c>
      <c r="AV160" s="21">
        <f>EXP(-LN(2)/25)*AV159+(1-EXP(-LN(2)/25))/(LN(2)/25)*Calculateur!AQ160*Calculateur!AS160*VLOOKUP('Données projet'!$B$10,Paramètres!$A$1:$I$89,3,0)*0.475*44/12</f>
        <v>11.02481080552753</v>
      </c>
      <c r="AW160" s="21">
        <f>EXP(-LN(2)/2)*AW159+(1-EXP(-LN(2)/2))/(LN(2)/2)*AQ160*AT160*VLOOKUP('Données projet'!$B$10,Paramètres!$A$1:$I$89,3,0)*0.475*44/12</f>
        <v>3.3277841819421849E-18</v>
      </c>
      <c r="AX160" s="21">
        <f t="shared" si="166"/>
        <v>47.867996736393252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278.5296012747549</v>
      </c>
      <c r="T161" s="59">
        <f t="shared" si="142"/>
        <v>370.55343097937077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2.1873347577638923E-13</v>
      </c>
      <c r="AK161" s="13">
        <f t="shared" si="164"/>
        <v>2.999861355695181E-12</v>
      </c>
      <c r="AL161" s="20">
        <f t="shared" si="165"/>
        <v>5.6057193314796512E-12</v>
      </c>
      <c r="AM161" s="59">
        <f t="shared" si="113"/>
        <v>293.33333333333894</v>
      </c>
      <c r="AN161" s="59">
        <f ca="1">AVERAGE(OFFSET($AM$3,0,0,'Données projet'!$E$10+1,1))-AVERAGE(OFFSET($H$3,0,0,'Données projet'!$E$10+1,1))</f>
        <v>234.10156575337737</v>
      </c>
      <c r="AO161" s="59">
        <f t="shared" si="144"/>
        <v>285.68635263076646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36.120713526885922</v>
      </c>
      <c r="AV161" s="21">
        <f>EXP(-LN(2)/25)*AV160+(1-EXP(-LN(2)/25))/(LN(2)/25)*Calculateur!AQ161*Calculateur!AS161*VLOOKUP('Données projet'!$B$10,Paramètres!$A$1:$I$89,3,0)*0.475*44/12</f>
        <v>10.723336774280776</v>
      </c>
      <c r="AW161" s="21">
        <f>EXP(-LN(2)/2)*AW160+(1-EXP(-LN(2)/2))/(LN(2)/2)*AQ161*AT161*VLOOKUP('Données projet'!$B$10,Paramètres!$A$1:$I$89,3,0)*0.475*44/12</f>
        <v>2.3530987613766466E-18</v>
      </c>
      <c r="AX161" s="21">
        <f t="shared" si="166"/>
        <v>46.844050301166696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278.5296012747549</v>
      </c>
      <c r="T162" s="59">
        <f t="shared" si="142"/>
        <v>370.55343097937077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2.1873347577638923E-13</v>
      </c>
      <c r="AK162" s="13">
        <f t="shared" si="164"/>
        <v>2.999861355695181E-12</v>
      </c>
      <c r="AL162" s="20">
        <f t="shared" si="165"/>
        <v>5.6057193314796512E-12</v>
      </c>
      <c r="AM162" s="59">
        <f t="shared" si="113"/>
        <v>293.33333333333894</v>
      </c>
      <c r="AN162" s="59">
        <f ca="1">AVERAGE(OFFSET($AM$3,0,0,'Données projet'!$E$10+1,1))-AVERAGE(OFFSET($H$3,0,0,'Données projet'!$E$10+1,1))</f>
        <v>234.10156575337737</v>
      </c>
      <c r="AO162" s="59">
        <f t="shared" si="144"/>
        <v>285.68635263076646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35.412408366083511</v>
      </c>
      <c r="AV162" s="21">
        <f>EXP(-LN(2)/25)*AV161+(1-EXP(-LN(2)/25))/(LN(2)/25)*Calculateur!AQ162*Calculateur!AS162*VLOOKUP('Données projet'!$B$10,Paramètres!$A$1:$I$89,3,0)*0.475*44/12</f>
        <v>10.430106566272295</v>
      </c>
      <c r="AW162" s="21">
        <f>EXP(-LN(2)/2)*AW161+(1-EXP(-LN(2)/2))/(LN(2)/2)*AQ162*AT162*VLOOKUP('Données projet'!$B$10,Paramètres!$A$1:$I$89,3,0)*0.475*44/12</f>
        <v>1.6638920909710925E-18</v>
      </c>
      <c r="AX162" s="21">
        <f t="shared" si="166"/>
        <v>45.842514932355805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278.5296012747549</v>
      </c>
      <c r="T163" s="59">
        <f t="shared" si="142"/>
        <v>370.55343097937077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2.1873347577638923E-13</v>
      </c>
      <c r="AK163" s="13">
        <f t="shared" si="164"/>
        <v>2.999861355695181E-12</v>
      </c>
      <c r="AL163" s="20">
        <f t="shared" si="165"/>
        <v>5.6057193314796512E-12</v>
      </c>
      <c r="AM163" s="59">
        <f t="shared" si="113"/>
        <v>293.33333333333894</v>
      </c>
      <c r="AN163" s="59">
        <f ca="1">AVERAGE(OFFSET($AM$3,0,0,'Données projet'!$E$10+1,1))-AVERAGE(OFFSET($H$3,0,0,'Données projet'!$E$10+1,1))</f>
        <v>234.10156575337737</v>
      </c>
      <c r="AO163" s="59">
        <f t="shared" si="144"/>
        <v>285.68635263076646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34.717992637460952</v>
      </c>
      <c r="AV163" s="21">
        <f>EXP(-LN(2)/25)*AV162+(1-EXP(-LN(2)/25))/(LN(2)/25)*Calculateur!AQ163*Calculateur!AS163*VLOOKUP('Données projet'!$B$10,Paramètres!$A$1:$I$89,3,0)*0.475*44/12</f>
        <v>10.144894753722113</v>
      </c>
      <c r="AW163" s="21">
        <f>EXP(-LN(2)/2)*AW162+(1-EXP(-LN(2)/2))/(LN(2)/2)*AQ163*AT163*VLOOKUP('Données projet'!$B$10,Paramètres!$A$1:$I$89,3,0)*0.475*44/12</f>
        <v>1.1765493806883233E-18</v>
      </c>
      <c r="AX163" s="21">
        <f t="shared" si="166"/>
        <v>44.862887391183065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278.5296012747549</v>
      </c>
      <c r="T164" s="59">
        <f t="shared" si="142"/>
        <v>370.55343097937077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2.1873347577638923E-13</v>
      </c>
      <c r="AK164" s="13">
        <f t="shared" si="164"/>
        <v>2.999861355695181E-12</v>
      </c>
      <c r="AL164" s="20">
        <f t="shared" si="165"/>
        <v>5.6057193314796512E-12</v>
      </c>
      <c r="AM164" s="59">
        <f t="shared" si="113"/>
        <v>293.33333333333894</v>
      </c>
      <c r="AN164" s="59">
        <f ca="1">AVERAGE(OFFSET($AM$3,0,0,'Données projet'!$E$10+1,1))-AVERAGE(OFFSET($H$3,0,0,'Données projet'!$E$10+1,1))</f>
        <v>234.10156575337737</v>
      </c>
      <c r="AO164" s="59">
        <f t="shared" si="144"/>
        <v>285.68635263076646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34.037193977724904</v>
      </c>
      <c r="AV164" s="21">
        <f>EXP(-LN(2)/25)*AV163+(1-EXP(-LN(2)/25))/(LN(2)/25)*Calculateur!AQ164*Calculateur!AS164*VLOOKUP('Données projet'!$B$10,Paramètres!$A$1:$I$89,3,0)*0.475*44/12</f>
        <v>9.8674820731847532</v>
      </c>
      <c r="AW164" s="21">
        <f>EXP(-LN(2)/2)*AW163+(1-EXP(-LN(2)/2))/(LN(2)/2)*AQ164*AT164*VLOOKUP('Données projet'!$B$10,Paramètres!$A$1:$I$89,3,0)*0.475*44/12</f>
        <v>8.3194604548554623E-19</v>
      </c>
      <c r="AX164" s="21">
        <f t="shared" si="166"/>
        <v>43.904676050909657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278.5296012747549</v>
      </c>
      <c r="T165" s="59">
        <f t="shared" si="142"/>
        <v>370.55343097937077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2.1873347577638923E-13</v>
      </c>
      <c r="AK165" s="13">
        <f t="shared" si="164"/>
        <v>2.999861355695181E-12</v>
      </c>
      <c r="AL165" s="20">
        <f t="shared" si="165"/>
        <v>5.6057193314796512E-12</v>
      </c>
      <c r="AM165" s="59">
        <f t="shared" si="113"/>
        <v>293.33333333333894</v>
      </c>
      <c r="AN165" s="59">
        <f ca="1">AVERAGE(OFFSET($AM$3,0,0,'Données projet'!$E$10+1,1))-AVERAGE(OFFSET($H$3,0,0,'Données projet'!$E$10+1,1))</f>
        <v>234.10156575337737</v>
      </c>
      <c r="AO165" s="59">
        <f t="shared" si="144"/>
        <v>285.68635263076646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33.369745364460101</v>
      </c>
      <c r="AV165" s="21">
        <f>EXP(-LN(2)/25)*AV164+(1-EXP(-LN(2)/25))/(LN(2)/25)*Calculateur!AQ165*Calculateur!AS165*VLOOKUP('Données projet'!$B$10,Paramètres!$A$1:$I$89,3,0)*0.475*44/12</f>
        <v>9.5976552569851865</v>
      </c>
      <c r="AW165" s="21">
        <f>EXP(-LN(2)/2)*AW164+(1-EXP(-LN(2)/2))/(LN(2)/2)*AQ165*AT165*VLOOKUP('Données projet'!$B$10,Paramètres!$A$1:$I$89,3,0)*0.475*44/12</f>
        <v>5.8827469034416164E-19</v>
      </c>
      <c r="AX165" s="21">
        <f t="shared" si="166"/>
        <v>42.967400621445286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278.5296012747549</v>
      </c>
      <c r="T166" s="59">
        <f t="shared" si="142"/>
        <v>370.55343097937077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2.1873347577638923E-13</v>
      </c>
      <c r="AK166" s="13">
        <f t="shared" si="164"/>
        <v>2.999861355695181E-12</v>
      </c>
      <c r="AL166" s="20">
        <f t="shared" si="165"/>
        <v>5.6057193314796512E-12</v>
      </c>
      <c r="AM166" s="59">
        <f t="shared" si="113"/>
        <v>293.33333333333894</v>
      </c>
      <c r="AN166" s="59">
        <f ca="1">AVERAGE(OFFSET($AM$3,0,0,'Données projet'!$E$10+1,1))-AVERAGE(OFFSET($H$3,0,0,'Données projet'!$E$10+1,1))</f>
        <v>234.10156575337737</v>
      </c>
      <c r="AO166" s="59">
        <f t="shared" si="144"/>
        <v>285.68635263076646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32.715385011397963</v>
      </c>
      <c r="AV166" s="21">
        <f>EXP(-LN(2)/25)*AV165+(1-EXP(-LN(2)/25))/(LN(2)/25)*Calculateur!AQ166*Calculateur!AS166*VLOOKUP('Données projet'!$B$10,Paramètres!$A$1:$I$89,3,0)*0.475*44/12</f>
        <v>9.335206869264173</v>
      </c>
      <c r="AW166" s="21">
        <f>EXP(-LN(2)/2)*AW165+(1-EXP(-LN(2)/2))/(LN(2)/2)*AQ166*AT166*VLOOKUP('Données projet'!$B$10,Paramètres!$A$1:$I$89,3,0)*0.475*44/12</f>
        <v>4.1597302274277311E-19</v>
      </c>
      <c r="AX166" s="21">
        <f t="shared" si="166"/>
        <v>42.050591880662139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278.5296012747549</v>
      </c>
      <c r="T167" s="59">
        <f t="shared" si="142"/>
        <v>370.55343097937077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2.1873347577638923E-13</v>
      </c>
      <c r="AK167" s="13">
        <f t="shared" si="164"/>
        <v>2.999861355695181E-12</v>
      </c>
      <c r="AL167" s="20">
        <f t="shared" si="165"/>
        <v>5.6057193314796512E-12</v>
      </c>
      <c r="AM167" s="59">
        <f t="shared" si="113"/>
        <v>293.33333333333894</v>
      </c>
      <c r="AN167" s="59">
        <f ca="1">AVERAGE(OFFSET($AM$3,0,0,'Données projet'!$E$10+1,1))-AVERAGE(OFFSET($H$3,0,0,'Données projet'!$E$10+1,1))</f>
        <v>234.10156575337737</v>
      </c>
      <c r="AO167" s="59">
        <f t="shared" si="144"/>
        <v>285.68635263076646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32.073856265738968</v>
      </c>
      <c r="AV167" s="21">
        <f>EXP(-LN(2)/25)*AV166+(1-EXP(-LN(2)/25))/(LN(2)/25)*Calculateur!AQ167*Calculateur!AS167*VLOOKUP('Données projet'!$B$10,Paramètres!$A$1:$I$89,3,0)*0.475*44/12</f>
        <v>9.0799351465069513</v>
      </c>
      <c r="AW167" s="21">
        <f>EXP(-LN(2)/2)*AW166+(1-EXP(-LN(2)/2))/(LN(2)/2)*AQ167*AT167*VLOOKUP('Données projet'!$B$10,Paramètres!$A$1:$I$89,3,0)*0.475*44/12</f>
        <v>2.9413734517208082E-19</v>
      </c>
      <c r="AX167" s="21">
        <f t="shared" si="166"/>
        <v>41.153791412245923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278.5296012747549</v>
      </c>
      <c r="T168" s="59">
        <f t="shared" si="142"/>
        <v>370.55343097937077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2.1873347577638923E-13</v>
      </c>
      <c r="AK168" s="13">
        <f t="shared" si="164"/>
        <v>2.999861355695181E-12</v>
      </c>
      <c r="AL168" s="20">
        <f t="shared" si="165"/>
        <v>5.6057193314796512E-12</v>
      </c>
      <c r="AM168" s="59">
        <f t="shared" si="113"/>
        <v>293.33333333333894</v>
      </c>
      <c r="AN168" s="59">
        <f ca="1">AVERAGE(OFFSET($AM$3,0,0,'Données projet'!$E$10+1,1))-AVERAGE(OFFSET($H$3,0,0,'Données projet'!$E$10+1,1))</f>
        <v>234.10156575337737</v>
      </c>
      <c r="AO168" s="59">
        <f t="shared" si="144"/>
        <v>285.68635263076646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31.444907507488452</v>
      </c>
      <c r="AV168" s="21">
        <f>EXP(-LN(2)/25)*AV167+(1-EXP(-LN(2)/25))/(LN(2)/25)*Calculateur!AQ168*Calculateur!AS168*VLOOKUP('Données projet'!$B$10,Paramètres!$A$1:$I$89,3,0)*0.475*44/12</f>
        <v>8.8316438424326815</v>
      </c>
      <c r="AW168" s="21">
        <f>EXP(-LN(2)/2)*AW167+(1-EXP(-LN(2)/2))/(LN(2)/2)*AQ168*AT168*VLOOKUP('Données projet'!$B$10,Paramètres!$A$1:$I$89,3,0)*0.475*44/12</f>
        <v>2.0798651137138656E-19</v>
      </c>
      <c r="AX168" s="21">
        <f t="shared" si="166"/>
        <v>40.276551349921135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278.5296012747549</v>
      </c>
      <c r="T169" s="59">
        <f t="shared" si="142"/>
        <v>370.55343097937077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2.1873347577638923E-13</v>
      </c>
      <c r="AK169" s="13">
        <f t="shared" si="164"/>
        <v>2.999861355695181E-12</v>
      </c>
      <c r="AL169" s="20">
        <f t="shared" si="165"/>
        <v>5.6057193314796512E-12</v>
      </c>
      <c r="AM169" s="59">
        <f t="shared" si="113"/>
        <v>293.33333333333894</v>
      </c>
      <c r="AN169" s="59">
        <f ca="1">AVERAGE(OFFSET($AM$3,0,0,'Données projet'!$E$10+1,1))-AVERAGE(OFFSET($H$3,0,0,'Données projet'!$E$10+1,1))</f>
        <v>234.10156575337737</v>
      </c>
      <c r="AO169" s="59">
        <f t="shared" si="144"/>
        <v>285.68635263076646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30.828292050766365</v>
      </c>
      <c r="AV169" s="21">
        <f>EXP(-LN(2)/25)*AV168+(1-EXP(-LN(2)/25))/(LN(2)/25)*Calculateur!AQ169*Calculateur!AS169*VLOOKUP('Données projet'!$B$10,Paramètres!$A$1:$I$89,3,0)*0.475*44/12</f>
        <v>8.590142077125396</v>
      </c>
      <c r="AW169" s="21">
        <f>EXP(-LN(2)/2)*AW168+(1-EXP(-LN(2)/2))/(LN(2)/2)*AQ169*AT169*VLOOKUP('Données projet'!$B$10,Paramètres!$A$1:$I$89,3,0)*0.475*44/12</f>
        <v>1.4706867258604041E-19</v>
      </c>
      <c r="AX169" s="21">
        <f t="shared" si="166"/>
        <v>39.418434127891757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278.5296012747549</v>
      </c>
      <c r="T170" s="59">
        <f t="shared" si="142"/>
        <v>370.55343097937077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2.1873347577638923E-13</v>
      </c>
      <c r="AK170" s="13">
        <f t="shared" si="164"/>
        <v>2.999861355695181E-12</v>
      </c>
      <c r="AL170" s="20">
        <f t="shared" si="165"/>
        <v>5.6057193314796512E-12</v>
      </c>
      <c r="AM170" s="59">
        <f t="shared" si="113"/>
        <v>293.33333333333894</v>
      </c>
      <c r="AN170" s="59">
        <f ca="1">AVERAGE(OFFSET($AM$3,0,0,'Données projet'!$E$10+1,1))-AVERAGE(OFFSET($H$3,0,0,'Données projet'!$E$10+1,1))</f>
        <v>234.10156575337737</v>
      </c>
      <c r="AO170" s="59">
        <f t="shared" si="144"/>
        <v>285.68635263076646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30.223768047052307</v>
      </c>
      <c r="AV170" s="21">
        <f>EXP(-LN(2)/25)*AV169+(1-EXP(-LN(2)/25))/(LN(2)/25)*Calculateur!AQ170*Calculateur!AS170*VLOOKUP('Données projet'!$B$10,Paramètres!$A$1:$I$89,3,0)*0.475*44/12</f>
        <v>8.3552441902904633</v>
      </c>
      <c r="AW170" s="21">
        <f>EXP(-LN(2)/2)*AW169+(1-EXP(-LN(2)/2))/(LN(2)/2)*AQ170*AT170*VLOOKUP('Données projet'!$B$10,Paramètres!$A$1:$I$89,3,0)*0.475*44/12</f>
        <v>1.0399325568569328E-19</v>
      </c>
      <c r="AX170" s="21">
        <f t="shared" si="166"/>
        <v>38.579012237342766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278.5296012747549</v>
      </c>
      <c r="T171" s="59">
        <f t="shared" si="142"/>
        <v>370.55343097937077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2.1873347577638923E-13</v>
      </c>
      <c r="AK171" s="13">
        <f t="shared" si="164"/>
        <v>2.999861355695181E-12</v>
      </c>
      <c r="AL171" s="20">
        <f t="shared" si="165"/>
        <v>5.6057193314796512E-12</v>
      </c>
      <c r="AM171" s="59">
        <f t="shared" si="113"/>
        <v>293.33333333333894</v>
      </c>
      <c r="AN171" s="59">
        <f ca="1">AVERAGE(OFFSET($AM$3,0,0,'Données projet'!$E$10+1,1))-AVERAGE(OFFSET($H$3,0,0,'Données projet'!$E$10+1,1))</f>
        <v>234.10156575337737</v>
      </c>
      <c r="AO171" s="59">
        <f t="shared" si="144"/>
        <v>285.68635263076646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29.631098390327846</v>
      </c>
      <c r="AV171" s="21">
        <f>EXP(-LN(2)/25)*AV170+(1-EXP(-LN(2)/25))/(LN(2)/25)*Calculateur!AQ171*Calculateur!AS171*VLOOKUP('Données projet'!$B$10,Paramètres!$A$1:$I$89,3,0)*0.475*44/12</f>
        <v>8.126769598523774</v>
      </c>
      <c r="AW171" s="21">
        <f>EXP(-LN(2)/2)*AW170+(1-EXP(-LN(2)/2))/(LN(2)/2)*AQ171*AT171*VLOOKUP('Données projet'!$B$10,Paramètres!$A$1:$I$89,3,0)*0.475*44/12</f>
        <v>7.3534336293020205E-20</v>
      </c>
      <c r="AX171" s="21">
        <f t="shared" si="166"/>
        <v>37.757867988851622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278.5296012747549</v>
      </c>
      <c r="T172" s="59">
        <f t="shared" si="142"/>
        <v>370.55343097937077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2.1873347577638923E-13</v>
      </c>
      <c r="AK172" s="13">
        <f t="shared" si="164"/>
        <v>2.999861355695181E-12</v>
      </c>
      <c r="AL172" s="20">
        <f t="shared" si="165"/>
        <v>5.6057193314796512E-12</v>
      </c>
      <c r="AM172" s="59">
        <f t="shared" si="113"/>
        <v>293.33333333333894</v>
      </c>
      <c r="AN172" s="59">
        <f ca="1">AVERAGE(OFFSET($AM$3,0,0,'Données projet'!$E$10+1,1))-AVERAGE(OFFSET($H$3,0,0,'Données projet'!$E$10+1,1))</f>
        <v>234.10156575337737</v>
      </c>
      <c r="AO172" s="59">
        <f t="shared" si="144"/>
        <v>285.68635263076646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29.050050624078956</v>
      </c>
      <c r="AV172" s="21">
        <f>EXP(-LN(2)/25)*AV171+(1-EXP(-LN(2)/25))/(LN(2)/25)*Calculateur!AQ172*Calculateur!AS172*VLOOKUP('Données projet'!$B$10,Paramètres!$A$1:$I$89,3,0)*0.475*44/12</f>
        <v>7.9045426564839021</v>
      </c>
      <c r="AW172" s="21">
        <f>EXP(-LN(2)/2)*AW171+(1-EXP(-LN(2)/2))/(LN(2)/2)*AQ172*AT172*VLOOKUP('Données projet'!$B$10,Paramètres!$A$1:$I$89,3,0)*0.475*44/12</f>
        <v>5.1996627842846639E-20</v>
      </c>
      <c r="AX172" s="21">
        <f t="shared" si="166"/>
        <v>36.954593280562861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278.5296012747549</v>
      </c>
      <c r="T173" s="59">
        <f t="shared" si="142"/>
        <v>370.55343097937077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2.1873347577638923E-13</v>
      </c>
      <c r="AK173" s="13">
        <f t="shared" si="164"/>
        <v>2.999861355695181E-12</v>
      </c>
      <c r="AL173" s="20">
        <f t="shared" si="165"/>
        <v>5.6057193314796512E-12</v>
      </c>
      <c r="AM173" s="59">
        <f t="shared" si="113"/>
        <v>293.33333333333894</v>
      </c>
      <c r="AN173" s="59">
        <f ca="1">AVERAGE(OFFSET($AM$3,0,0,'Données projet'!$E$10+1,1))-AVERAGE(OFFSET($H$3,0,0,'Données projet'!$E$10+1,1))</f>
        <v>234.10156575337737</v>
      </c>
      <c r="AO173" s="59">
        <f t="shared" si="144"/>
        <v>285.68635263076646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28.480396850122066</v>
      </c>
      <c r="AV173" s="21">
        <f>EXP(-LN(2)/25)*AV172+(1-EXP(-LN(2)/25))/(LN(2)/25)*Calculateur!AQ173*Calculateur!AS173*VLOOKUP('Données projet'!$B$10,Paramètres!$A$1:$I$89,3,0)*0.475*44/12</f>
        <v>7.6883925218605178</v>
      </c>
      <c r="AW173" s="21">
        <f>EXP(-LN(2)/2)*AW172+(1-EXP(-LN(2)/2))/(LN(2)/2)*AQ173*AT173*VLOOKUP('Données projet'!$B$10,Paramètres!$A$1:$I$89,3,0)*0.475*44/12</f>
        <v>3.6767168146510103E-20</v>
      </c>
      <c r="AX173" s="21">
        <f t="shared" si="166"/>
        <v>36.168789371982584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278.5296012747549</v>
      </c>
      <c r="T174" s="59">
        <f t="shared" si="142"/>
        <v>370.55343097937077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2.1873347577638923E-13</v>
      </c>
      <c r="AK174" s="13">
        <f t="shared" si="164"/>
        <v>2.999861355695181E-12</v>
      </c>
      <c r="AL174" s="20">
        <f t="shared" si="165"/>
        <v>5.6057193314796512E-12</v>
      </c>
      <c r="AM174" s="59">
        <f t="shared" si="113"/>
        <v>293.33333333333894</v>
      </c>
      <c r="AN174" s="59">
        <f ca="1">AVERAGE(OFFSET($AM$3,0,0,'Données projet'!$E$10+1,1))-AVERAGE(OFFSET($H$3,0,0,'Données projet'!$E$10+1,1))</f>
        <v>234.10156575337737</v>
      </c>
      <c r="AO174" s="59">
        <f t="shared" si="144"/>
        <v>285.68635263076646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27.921913639217976</v>
      </c>
      <c r="AV174" s="21">
        <f>EXP(-LN(2)/25)*AV173+(1-EXP(-LN(2)/25))/(LN(2)/25)*Calculateur!AQ174*Calculateur!AS174*VLOOKUP('Données projet'!$B$10,Paramètres!$A$1:$I$89,3,0)*0.475*44/12</f>
        <v>7.478153024035251</v>
      </c>
      <c r="AW174" s="21">
        <f>EXP(-LN(2)/2)*AW173+(1-EXP(-LN(2)/2))/(LN(2)/2)*AQ174*AT174*VLOOKUP('Données projet'!$B$10,Paramètres!$A$1:$I$89,3,0)*0.475*44/12</f>
        <v>2.599831392142332E-20</v>
      </c>
      <c r="AX174" s="21">
        <f t="shared" si="166"/>
        <v>35.400066663253227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278.5296012747549</v>
      </c>
      <c r="T175" s="59">
        <f t="shared" si="142"/>
        <v>370.55343097937077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2.1873347577638923E-13</v>
      </c>
      <c r="AK175" s="13">
        <f t="shared" si="164"/>
        <v>2.999861355695181E-12</v>
      </c>
      <c r="AL175" s="20">
        <f t="shared" si="165"/>
        <v>5.6057193314796512E-12</v>
      </c>
      <c r="AM175" s="59">
        <f t="shared" si="113"/>
        <v>293.33333333333894</v>
      </c>
      <c r="AN175" s="59">
        <f ca="1">AVERAGE(OFFSET($AM$3,0,0,'Données projet'!$E$10+1,1))-AVERAGE(OFFSET($H$3,0,0,'Données projet'!$E$10+1,1))</f>
        <v>234.10156575337737</v>
      </c>
      <c r="AO175" s="59">
        <f t="shared" si="144"/>
        <v>285.68635263076646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27.374381943438593</v>
      </c>
      <c r="AV175" s="21">
        <f>EXP(-LN(2)/25)*AV174+(1-EXP(-LN(2)/25))/(LN(2)/25)*Calculateur!AQ175*Calculateur!AS175*VLOOKUP('Données projet'!$B$10,Paramètres!$A$1:$I$89,3,0)*0.475*44/12</f>
        <v>7.2736625363340313</v>
      </c>
      <c r="AW175" s="21">
        <f>EXP(-LN(2)/2)*AW174+(1-EXP(-LN(2)/2))/(LN(2)/2)*AQ175*AT175*VLOOKUP('Données projet'!$B$10,Paramètres!$A$1:$I$89,3,0)*0.475*44/12</f>
        <v>1.8383584073255051E-20</v>
      </c>
      <c r="AX175" s="21">
        <f t="shared" si="166"/>
        <v>34.648044479772622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278.5296012747549</v>
      </c>
      <c r="T176" s="59">
        <f t="shared" si="142"/>
        <v>370.55343097937077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2.1873347577638923E-13</v>
      </c>
      <c r="AK176" s="13">
        <f t="shared" si="164"/>
        <v>2.999861355695181E-12</v>
      </c>
      <c r="AL176" s="20">
        <f t="shared" si="165"/>
        <v>5.6057193314796512E-12</v>
      </c>
      <c r="AM176" s="59">
        <f t="shared" si="113"/>
        <v>293.33333333333894</v>
      </c>
      <c r="AN176" s="59">
        <f ca="1">AVERAGE(OFFSET($AM$3,0,0,'Données projet'!$E$10+1,1))-AVERAGE(OFFSET($H$3,0,0,'Données projet'!$E$10+1,1))</f>
        <v>234.10156575337737</v>
      </c>
      <c r="AO176" s="59">
        <f t="shared" si="144"/>
        <v>285.68635263076646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26.837587010252083</v>
      </c>
      <c r="AV176" s="21">
        <f>EXP(-LN(2)/25)*AV175+(1-EXP(-LN(2)/25))/(LN(2)/25)*Calculateur!AQ176*Calculateur!AS176*VLOOKUP('Données projet'!$B$10,Paramètres!$A$1:$I$89,3,0)*0.475*44/12</f>
        <v>7.0747638517726887</v>
      </c>
      <c r="AW176" s="21">
        <f>EXP(-LN(2)/2)*AW175+(1-EXP(-LN(2)/2))/(LN(2)/2)*AQ176*AT176*VLOOKUP('Données projet'!$B$10,Paramètres!$A$1:$I$89,3,0)*0.475*44/12</f>
        <v>1.299915696071166E-20</v>
      </c>
      <c r="AX176" s="21">
        <f t="shared" si="166"/>
        <v>33.912350862024773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278.5296012747549</v>
      </c>
      <c r="T177" s="59">
        <f t="shared" si="142"/>
        <v>370.55343097937077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2.1873347577638923E-13</v>
      </c>
      <c r="AK177" s="13">
        <f t="shared" si="164"/>
        <v>2.999861355695181E-12</v>
      </c>
      <c r="AL177" s="20">
        <f t="shared" si="165"/>
        <v>5.6057193314796512E-12</v>
      </c>
      <c r="AM177" s="59">
        <f t="shared" si="113"/>
        <v>293.33333333333894</v>
      </c>
      <c r="AN177" s="59">
        <f ca="1">AVERAGE(OFFSET($AM$3,0,0,'Données projet'!$E$10+1,1))-AVERAGE(OFFSET($H$3,0,0,'Données projet'!$E$10+1,1))</f>
        <v>234.10156575337737</v>
      </c>
      <c r="AO177" s="59">
        <f t="shared" si="144"/>
        <v>285.68635263076646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26.311318298292779</v>
      </c>
      <c r="AV177" s="21">
        <f>EXP(-LN(2)/25)*AV176+(1-EXP(-LN(2)/25))/(LN(2)/25)*Calculateur!AQ177*Calculateur!AS177*VLOOKUP('Données projet'!$B$10,Paramètres!$A$1:$I$89,3,0)*0.475*44/12</f>
        <v>6.8813040622003028</v>
      </c>
      <c r="AW177" s="21">
        <f>EXP(-LN(2)/2)*AW176+(1-EXP(-LN(2)/2))/(LN(2)/2)*AQ177*AT177*VLOOKUP('Données projet'!$B$10,Paramètres!$A$1:$I$89,3,0)*0.475*44/12</f>
        <v>9.1917920366275257E-21</v>
      </c>
      <c r="AX177" s="21">
        <f t="shared" si="166"/>
        <v>33.192622360493083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278.5296012747549</v>
      </c>
      <c r="T178" s="59">
        <f t="shared" si="142"/>
        <v>370.55343097937077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2.1873347577638923E-13</v>
      </c>
      <c r="AK178" s="13">
        <f t="shared" si="164"/>
        <v>2.999861355695181E-12</v>
      </c>
      <c r="AL178" s="20">
        <f t="shared" si="165"/>
        <v>5.6057193314796512E-12</v>
      </c>
      <c r="AM178" s="59">
        <f t="shared" si="113"/>
        <v>293.33333333333894</v>
      </c>
      <c r="AN178" s="59">
        <f ca="1">AVERAGE(OFFSET($AM$3,0,0,'Données projet'!$E$10+1,1))-AVERAGE(OFFSET($H$3,0,0,'Données projet'!$E$10+1,1))</f>
        <v>234.10156575337737</v>
      </c>
      <c r="AO178" s="59">
        <f t="shared" si="144"/>
        <v>285.68635263076646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25.795369394782778</v>
      </c>
      <c r="AV178" s="21">
        <f>EXP(-LN(2)/25)*AV177+(1-EXP(-LN(2)/25))/(LN(2)/25)*Calculateur!AQ178*Calculateur!AS178*VLOOKUP('Données projet'!$B$10,Paramètres!$A$1:$I$89,3,0)*0.475*44/12</f>
        <v>6.6931344407473823</v>
      </c>
      <c r="AW178" s="21">
        <f>EXP(-LN(2)/2)*AW177+(1-EXP(-LN(2)/2))/(LN(2)/2)*AQ178*AT178*VLOOKUP('Données projet'!$B$10,Paramètres!$A$1:$I$89,3,0)*0.475*44/12</f>
        <v>6.4995784803558299E-21</v>
      </c>
      <c r="AX178" s="21">
        <f t="shared" si="166"/>
        <v>32.48850383553016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278.5296012747549</v>
      </c>
      <c r="T179" s="59">
        <f t="shared" si="142"/>
        <v>370.55343097937077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2.1873347577638923E-13</v>
      </c>
      <c r="AK179" s="13">
        <f t="shared" si="164"/>
        <v>2.999861355695181E-12</v>
      </c>
      <c r="AL179" s="20">
        <f t="shared" si="165"/>
        <v>5.6057193314796512E-12</v>
      </c>
      <c r="AM179" s="59">
        <f t="shared" si="113"/>
        <v>293.33333333333894</v>
      </c>
      <c r="AN179" s="59">
        <f ca="1">AVERAGE(OFFSET($AM$3,0,0,'Données projet'!$E$10+1,1))-AVERAGE(OFFSET($H$3,0,0,'Données projet'!$E$10+1,1))</f>
        <v>234.10156575337737</v>
      </c>
      <c r="AO179" s="59">
        <f t="shared" si="144"/>
        <v>285.68635263076646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25.289537934572852</v>
      </c>
      <c r="AV179" s="21">
        <f>EXP(-LN(2)/25)*AV178+(1-EXP(-LN(2)/25))/(LN(2)/25)*Calculateur!AQ179*Calculateur!AS179*VLOOKUP('Données projet'!$B$10,Paramètres!$A$1:$I$89,3,0)*0.475*44/12</f>
        <v>6.5101103274885022</v>
      </c>
      <c r="AW179" s="21">
        <f>EXP(-LN(2)/2)*AW178+(1-EXP(-LN(2)/2))/(LN(2)/2)*AQ179*AT179*VLOOKUP('Données projet'!$B$10,Paramètres!$A$1:$I$89,3,0)*0.475*44/12</f>
        <v>4.5958960183137628E-21</v>
      </c>
      <c r="AX179" s="21">
        <f t="shared" si="166"/>
        <v>31.799648262061353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278.5296012747549</v>
      </c>
      <c r="T180" s="59">
        <f t="shared" si="142"/>
        <v>370.55343097937077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2.1873347577638923E-13</v>
      </c>
      <c r="AK180" s="13">
        <f t="shared" si="164"/>
        <v>2.999861355695181E-12</v>
      </c>
      <c r="AL180" s="20">
        <f t="shared" si="165"/>
        <v>5.6057193314796512E-12</v>
      </c>
      <c r="AM180" s="59">
        <f t="shared" si="113"/>
        <v>293.33333333333894</v>
      </c>
      <c r="AN180" s="59">
        <f ca="1">AVERAGE(OFFSET($AM$3,0,0,'Données projet'!$E$10+1,1))-AVERAGE(OFFSET($H$3,0,0,'Données projet'!$E$10+1,1))</f>
        <v>234.10156575337737</v>
      </c>
      <c r="AO180" s="59">
        <f t="shared" si="144"/>
        <v>285.68635263076646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24.793625520770917</v>
      </c>
      <c r="AV180" s="21">
        <f>EXP(-LN(2)/25)*AV179+(1-EXP(-LN(2)/25))/(LN(2)/25)*Calculateur!AQ180*Calculateur!AS180*VLOOKUP('Données projet'!$B$10,Paramètres!$A$1:$I$89,3,0)*0.475*44/12</f>
        <v>6.3320910182315062</v>
      </c>
      <c r="AW180" s="21">
        <f>EXP(-LN(2)/2)*AW179+(1-EXP(-LN(2)/2))/(LN(2)/2)*AQ180*AT180*VLOOKUP('Données projet'!$B$10,Paramètres!$A$1:$I$89,3,0)*0.475*44/12</f>
        <v>3.249789240177915E-21</v>
      </c>
      <c r="AX180" s="21">
        <f t="shared" si="166"/>
        <v>31.125716539002422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278.5296012747549</v>
      </c>
      <c r="T181" s="59">
        <f t="shared" si="142"/>
        <v>370.55343097937077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2.1873347577638923E-13</v>
      </c>
      <c r="AK181" s="13">
        <f t="shared" si="164"/>
        <v>2.999861355695181E-12</v>
      </c>
      <c r="AL181" s="20">
        <f t="shared" si="165"/>
        <v>5.6057193314796512E-12</v>
      </c>
      <c r="AM181" s="59">
        <f t="shared" si="113"/>
        <v>293.33333333333894</v>
      </c>
      <c r="AN181" s="59">
        <f ca="1">AVERAGE(OFFSET($AM$3,0,0,'Données projet'!$E$10+1,1))-AVERAGE(OFFSET($H$3,0,0,'Données projet'!$E$10+1,1))</f>
        <v>234.10156575337737</v>
      </c>
      <c r="AO181" s="59">
        <f t="shared" si="144"/>
        <v>285.68635263076646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24.307437646926932</v>
      </c>
      <c r="AV181" s="21">
        <f>EXP(-LN(2)/25)*AV180+(1-EXP(-LN(2)/25))/(LN(2)/25)*Calculateur!AQ181*Calculateur!AS181*VLOOKUP('Données projet'!$B$10,Paramètres!$A$1:$I$89,3,0)*0.475*44/12</f>
        <v>6.158939656347771</v>
      </c>
      <c r="AW181" s="21">
        <f>EXP(-LN(2)/2)*AW180+(1-EXP(-LN(2)/2))/(LN(2)/2)*AQ181*AT181*VLOOKUP('Données projet'!$B$10,Paramètres!$A$1:$I$89,3,0)*0.475*44/12</f>
        <v>2.2979480091568814E-21</v>
      </c>
      <c r="AX181" s="21">
        <f t="shared" si="166"/>
        <v>30.466377303274705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278.5296012747549</v>
      </c>
      <c r="T182" s="59">
        <f t="shared" si="142"/>
        <v>370.55343097937077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2.1873347577638923E-13</v>
      </c>
      <c r="AK182" s="13">
        <f t="shared" si="164"/>
        <v>2.999861355695181E-12</v>
      </c>
      <c r="AL182" s="20">
        <f t="shared" si="165"/>
        <v>5.6057193314796512E-12</v>
      </c>
      <c r="AM182" s="59">
        <f t="shared" si="113"/>
        <v>293.33333333333894</v>
      </c>
      <c r="AN182" s="59">
        <f ca="1">AVERAGE(OFFSET($AM$3,0,0,'Données projet'!$E$10+1,1))-AVERAGE(OFFSET($H$3,0,0,'Données projet'!$E$10+1,1))</f>
        <v>234.10156575337737</v>
      </c>
      <c r="AO182" s="59">
        <f t="shared" si="144"/>
        <v>285.68635263076646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23.830783620743706</v>
      </c>
      <c r="AV182" s="21">
        <f>EXP(-LN(2)/25)*AV181+(1-EXP(-LN(2)/25))/(LN(2)/25)*Calculateur!AQ182*Calculateur!AS182*VLOOKUP('Données projet'!$B$10,Paramètres!$A$1:$I$89,3,0)*0.475*44/12</f>
        <v>5.9905231275603814</v>
      </c>
      <c r="AW182" s="21">
        <f>EXP(-LN(2)/2)*AW181+(1-EXP(-LN(2)/2))/(LN(2)/2)*AQ182*AT182*VLOOKUP('Données projet'!$B$10,Paramètres!$A$1:$I$89,3,0)*0.475*44/12</f>
        <v>1.6248946200889575E-21</v>
      </c>
      <c r="AX182" s="21">
        <f t="shared" si="166"/>
        <v>29.821306748304089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278.5296012747549</v>
      </c>
      <c r="T183" s="59">
        <f t="shared" si="142"/>
        <v>370.55343097937077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2.1873347577638923E-13</v>
      </c>
      <c r="AK183" s="13">
        <f t="shared" si="164"/>
        <v>2.999861355695181E-12</v>
      </c>
      <c r="AL183" s="20">
        <f t="shared" si="165"/>
        <v>5.6057193314796512E-12</v>
      </c>
      <c r="AM183" s="59">
        <f t="shared" si="113"/>
        <v>293.33333333333894</v>
      </c>
      <c r="AN183" s="59">
        <f ca="1">AVERAGE(OFFSET($AM$3,0,0,'Données projet'!$E$10+1,1))-AVERAGE(OFFSET($H$3,0,0,'Données projet'!$E$10+1,1))</f>
        <v>234.10156575337737</v>
      </c>
      <c r="AO183" s="59">
        <f t="shared" si="144"/>
        <v>285.68635263076646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23.363476489283684</v>
      </c>
      <c r="AV183" s="21">
        <f>EXP(-LN(2)/25)*AV182+(1-EXP(-LN(2)/25))/(LN(2)/25)*Calculateur!AQ183*Calculateur!AS183*VLOOKUP('Données projet'!$B$10,Paramètres!$A$1:$I$89,3,0)*0.475*44/12</f>
        <v>5.8267119576093229</v>
      </c>
      <c r="AW183" s="21">
        <f>EXP(-LN(2)/2)*AW182+(1-EXP(-LN(2)/2))/(LN(2)/2)*AQ183*AT183*VLOOKUP('Données projet'!$B$10,Paramètres!$A$1:$I$89,3,0)*0.475*44/12</f>
        <v>1.1489740045784407E-21</v>
      </c>
      <c r="AX183" s="21">
        <f t="shared" si="166"/>
        <v>29.190188446893007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278.5296012747549</v>
      </c>
      <c r="T184" s="59">
        <f t="shared" si="142"/>
        <v>370.55343097937077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2.1873347577638923E-13</v>
      </c>
      <c r="AK184" s="13">
        <f t="shared" si="164"/>
        <v>2.999861355695181E-12</v>
      </c>
      <c r="AL184" s="20">
        <f t="shared" si="165"/>
        <v>5.6057193314796512E-12</v>
      </c>
      <c r="AM184" s="59">
        <f t="shared" si="113"/>
        <v>293.33333333333894</v>
      </c>
      <c r="AN184" s="59">
        <f ca="1">AVERAGE(OFFSET($AM$3,0,0,'Données projet'!$E$10+1,1))-AVERAGE(OFFSET($H$3,0,0,'Données projet'!$E$10+1,1))</f>
        <v>234.10156575337737</v>
      </c>
      <c r="AO184" s="59">
        <f t="shared" si="144"/>
        <v>285.68635263076646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22.905332965642387</v>
      </c>
      <c r="AV184" s="21">
        <f>EXP(-LN(2)/25)*AV183+(1-EXP(-LN(2)/25))/(LN(2)/25)*Calculateur!AQ184*Calculateur!AS184*VLOOKUP('Données projet'!$B$10,Paramètres!$A$1:$I$89,3,0)*0.475*44/12</f>
        <v>5.667380212715031</v>
      </c>
      <c r="AW184" s="21">
        <f>EXP(-LN(2)/2)*AW183+(1-EXP(-LN(2)/2))/(LN(2)/2)*AQ184*AT184*VLOOKUP('Données projet'!$B$10,Paramètres!$A$1:$I$89,3,0)*0.475*44/12</f>
        <v>8.1244731004447874E-22</v>
      </c>
      <c r="AX184" s="21">
        <f t="shared" si="166"/>
        <v>28.572713178357418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278.5296012747549</v>
      </c>
      <c r="T185" s="59">
        <f t="shared" si="142"/>
        <v>370.55343097937077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2.1873347577638923E-13</v>
      </c>
      <c r="AK185" s="13">
        <f t="shared" si="164"/>
        <v>2.999861355695181E-12</v>
      </c>
      <c r="AL185" s="20">
        <f t="shared" si="165"/>
        <v>5.6057193314796512E-12</v>
      </c>
      <c r="AM185" s="59">
        <f t="shared" si="113"/>
        <v>293.33333333333894</v>
      </c>
      <c r="AN185" s="59">
        <f ca="1">AVERAGE(OFFSET($AM$3,0,0,'Données projet'!$E$10+1,1))-AVERAGE(OFFSET($H$3,0,0,'Données projet'!$E$10+1,1))</f>
        <v>234.10156575337737</v>
      </c>
      <c r="AO185" s="59">
        <f t="shared" si="144"/>
        <v>285.68635263076646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22.45617335705974</v>
      </c>
      <c r="AV185" s="21">
        <f>EXP(-LN(2)/25)*AV184+(1-EXP(-LN(2)/25))/(LN(2)/25)*Calculateur!AQ185*Calculateur!AS185*VLOOKUP('Données projet'!$B$10,Paramètres!$A$1:$I$89,3,0)*0.475*44/12</f>
        <v>5.5124054027637657</v>
      </c>
      <c r="AW185" s="21">
        <f>EXP(-LN(2)/2)*AW184+(1-EXP(-LN(2)/2))/(LN(2)/2)*AQ185*AT185*VLOOKUP('Données projet'!$B$10,Paramètres!$A$1:$I$89,3,0)*0.475*44/12</f>
        <v>5.7448700228922036E-22</v>
      </c>
      <c r="AX185" s="21">
        <f t="shared" si="166"/>
        <v>27.968578759823504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278.5296012747549</v>
      </c>
      <c r="T186" s="59">
        <f t="shared" si="142"/>
        <v>370.55343097937077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2.1873347577638923E-13</v>
      </c>
      <c r="AK186" s="13">
        <f t="shared" si="164"/>
        <v>2.999861355695181E-12</v>
      </c>
      <c r="AL186" s="20">
        <f t="shared" si="165"/>
        <v>5.6057193314796512E-12</v>
      </c>
      <c r="AM186" s="59">
        <f t="shared" si="113"/>
        <v>293.33333333333894</v>
      </c>
      <c r="AN186" s="59">
        <f ca="1">AVERAGE(OFFSET($AM$3,0,0,'Données projet'!$E$10+1,1))-AVERAGE(OFFSET($H$3,0,0,'Données projet'!$E$10+1,1))</f>
        <v>234.10156575337737</v>
      </c>
      <c r="AO186" s="59">
        <f t="shared" si="144"/>
        <v>285.68635263076646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22.015821494441088</v>
      </c>
      <c r="AV186" s="21">
        <f>EXP(-LN(2)/25)*AV185+(1-EXP(-LN(2)/25))/(LN(2)/25)*Calculateur!AQ186*Calculateur!AS186*VLOOKUP('Données projet'!$B$10,Paramètres!$A$1:$I$89,3,0)*0.475*44/12</f>
        <v>5.361668387140389</v>
      </c>
      <c r="AW186" s="21">
        <f>EXP(-LN(2)/2)*AW185+(1-EXP(-LN(2)/2))/(LN(2)/2)*AQ186*AT186*VLOOKUP('Données projet'!$B$10,Paramètres!$A$1:$I$89,3,0)*0.475*44/12</f>
        <v>4.0622365502223937E-22</v>
      </c>
      <c r="AX186" s="21">
        <f t="shared" si="166"/>
        <v>27.377489881581475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278.5296012747549</v>
      </c>
      <c r="T187" s="59">
        <f t="shared" si="142"/>
        <v>370.55343097937077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2.1873347577638923E-13</v>
      </c>
      <c r="AK187" s="13">
        <f t="shared" si="164"/>
        <v>2.999861355695181E-12</v>
      </c>
      <c r="AL187" s="20">
        <f t="shared" si="165"/>
        <v>5.6057193314796512E-12</v>
      </c>
      <c r="AM187" s="59">
        <f t="shared" si="113"/>
        <v>293.33333333333894</v>
      </c>
      <c r="AN187" s="59">
        <f ca="1">AVERAGE(OFFSET($AM$3,0,0,'Données projet'!$E$10+1,1))-AVERAGE(OFFSET($H$3,0,0,'Données projet'!$E$10+1,1))</f>
        <v>234.10156575337737</v>
      </c>
      <c r="AO187" s="59">
        <f t="shared" si="144"/>
        <v>285.68635263076646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21.584104663260273</v>
      </c>
      <c r="AV187" s="21">
        <f>EXP(-LN(2)/25)*AV186+(1-EXP(-LN(2)/25))/(LN(2)/25)*Calculateur!AQ187*Calculateur!AS187*VLOOKUP('Données projet'!$B$10,Paramètres!$A$1:$I$89,3,0)*0.475*44/12</f>
        <v>5.2150532831361485</v>
      </c>
      <c r="AW187" s="21">
        <f>EXP(-LN(2)/2)*AW186+(1-EXP(-LN(2)/2))/(LN(2)/2)*AQ187*AT187*VLOOKUP('Données projet'!$B$10,Paramètres!$A$1:$I$89,3,0)*0.475*44/12</f>
        <v>2.8724350114461018E-22</v>
      </c>
      <c r="AX187" s="21">
        <f t="shared" si="166"/>
        <v>26.79915794639642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278.5296012747549</v>
      </c>
      <c r="T188" s="59">
        <f t="shared" si="142"/>
        <v>370.55343097937077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2.1873347577638923E-13</v>
      </c>
      <c r="AK188" s="13">
        <f t="shared" si="164"/>
        <v>2.999861355695181E-12</v>
      </c>
      <c r="AL188" s="20">
        <f t="shared" si="165"/>
        <v>5.6057193314796512E-12</v>
      </c>
      <c r="AM188" s="59">
        <f t="shared" si="113"/>
        <v>293.33333333333894</v>
      </c>
      <c r="AN188" s="59">
        <f ca="1">AVERAGE(OFFSET($AM$3,0,0,'Données projet'!$E$10+1,1))-AVERAGE(OFFSET($H$3,0,0,'Données projet'!$E$10+1,1))</f>
        <v>234.10156575337737</v>
      </c>
      <c r="AO188" s="59">
        <f t="shared" si="144"/>
        <v>285.68635263076646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21.160853535817647</v>
      </c>
      <c r="AV188" s="21">
        <f>EXP(-LN(2)/25)*AV187+(1-EXP(-LN(2)/25))/(LN(2)/25)*Calculateur!AQ188*Calculateur!AS188*VLOOKUP('Données projet'!$B$10,Paramètres!$A$1:$I$89,3,0)*0.475*44/12</f>
        <v>5.0724473768610574</v>
      </c>
      <c r="AW188" s="21">
        <f>EXP(-LN(2)/2)*AW187+(1-EXP(-LN(2)/2))/(LN(2)/2)*AQ188*AT188*VLOOKUP('Données projet'!$B$10,Paramètres!$A$1:$I$89,3,0)*0.475*44/12</f>
        <v>2.0311182751111968E-22</v>
      </c>
      <c r="AX188" s="21">
        <f t="shared" si="166"/>
        <v>26.233300912678704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278.5296012747549</v>
      </c>
      <c r="T189" s="59">
        <f t="shared" si="142"/>
        <v>370.55343097937077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2.1873347577638923E-13</v>
      </c>
      <c r="AK189" s="13">
        <f t="shared" si="164"/>
        <v>2.999861355695181E-12</v>
      </c>
      <c r="AL189" s="20">
        <f t="shared" si="165"/>
        <v>5.6057193314796512E-12</v>
      </c>
      <c r="AM189" s="59">
        <f t="shared" si="113"/>
        <v>293.33333333333894</v>
      </c>
      <c r="AN189" s="59">
        <f ca="1">AVERAGE(OFFSET($AM$3,0,0,'Données projet'!$E$10+1,1))-AVERAGE(OFFSET($H$3,0,0,'Données projet'!$E$10+1,1))</f>
        <v>234.10156575337737</v>
      </c>
      <c r="AO189" s="59">
        <f t="shared" si="144"/>
        <v>285.68635263076646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20.745902104826474</v>
      </c>
      <c r="AV189" s="21">
        <f>EXP(-LN(2)/25)*AV188+(1-EXP(-LN(2)/25))/(LN(2)/25)*Calculateur!AQ189*Calculateur!AS189*VLOOKUP('Données projet'!$B$10,Paramètres!$A$1:$I$89,3,0)*0.475*44/12</f>
        <v>4.9337410365923775</v>
      </c>
      <c r="AW189" s="21">
        <f>EXP(-LN(2)/2)*AW188+(1-EXP(-LN(2)/2))/(LN(2)/2)*AQ189*AT189*VLOOKUP('Données projet'!$B$10,Paramètres!$A$1:$I$89,3,0)*0.475*44/12</f>
        <v>1.4362175057230509E-22</v>
      </c>
      <c r="AX189" s="21">
        <f t="shared" si="166"/>
        <v>25.67964314141885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278.5296012747549</v>
      </c>
      <c r="T190" s="59">
        <f t="shared" si="142"/>
        <v>370.55343097937077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2.1873347577638923E-13</v>
      </c>
      <c r="AK190" s="13">
        <f t="shared" si="164"/>
        <v>2.999861355695181E-12</v>
      </c>
      <c r="AL190" s="20">
        <f t="shared" si="165"/>
        <v>5.6057193314796512E-12</v>
      </c>
      <c r="AM190" s="59">
        <f t="shared" si="113"/>
        <v>293.33333333333894</v>
      </c>
      <c r="AN190" s="59">
        <f ca="1">AVERAGE(OFFSET($AM$3,0,0,'Données projet'!$E$10+1,1))-AVERAGE(OFFSET($H$3,0,0,'Données projet'!$E$10+1,1))</f>
        <v>234.10156575337737</v>
      </c>
      <c r="AO190" s="59">
        <f t="shared" si="144"/>
        <v>285.68635263076646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20.339087618301658</v>
      </c>
      <c r="AV190" s="21">
        <f>EXP(-LN(2)/25)*AV189+(1-EXP(-LN(2)/25))/(LN(2)/25)*Calculateur!AQ190*Calculateur!AS190*VLOOKUP('Données projet'!$B$10,Paramètres!$A$1:$I$89,3,0)*0.475*44/12</f>
        <v>4.7988276284925941</v>
      </c>
      <c r="AW190" s="21">
        <f>EXP(-LN(2)/2)*AW189+(1-EXP(-LN(2)/2))/(LN(2)/2)*AQ190*AT190*VLOOKUP('Données projet'!$B$10,Paramètres!$A$1:$I$89,3,0)*0.475*44/12</f>
        <v>1.0155591375555984E-22</v>
      </c>
      <c r="AX190" s="21">
        <f t="shared" si="166"/>
        <v>25.13791524679425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278.5296012747549</v>
      </c>
      <c r="T191" s="59">
        <f t="shared" si="142"/>
        <v>370.55343097937077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2.1873347577638923E-13</v>
      </c>
      <c r="AK191" s="13">
        <f t="shared" si="164"/>
        <v>2.999861355695181E-12</v>
      </c>
      <c r="AL191" s="20">
        <f t="shared" si="165"/>
        <v>5.6057193314796512E-12</v>
      </c>
      <c r="AM191" s="59">
        <f t="shared" si="113"/>
        <v>293.33333333333894</v>
      </c>
      <c r="AN191" s="59">
        <f ca="1">AVERAGE(OFFSET($AM$3,0,0,'Données projet'!$E$10+1,1))-AVERAGE(OFFSET($H$3,0,0,'Données projet'!$E$10+1,1))</f>
        <v>234.10156575337737</v>
      </c>
      <c r="AO191" s="59">
        <f t="shared" si="144"/>
        <v>285.68635263076646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19.940250515725257</v>
      </c>
      <c r="AV191" s="21">
        <f>EXP(-LN(2)/25)*AV190+(1-EXP(-LN(2)/25))/(LN(2)/25)*Calculateur!AQ191*Calculateur!AS191*VLOOKUP('Données projet'!$B$10,Paramètres!$A$1:$I$89,3,0)*0.475*44/12</f>
        <v>4.6676034346320874</v>
      </c>
      <c r="AW191" s="21">
        <f>EXP(-LN(2)/2)*AW190+(1-EXP(-LN(2)/2))/(LN(2)/2)*AQ191*AT191*VLOOKUP('Données projet'!$B$10,Paramètres!$A$1:$I$89,3,0)*0.475*44/12</f>
        <v>7.1810875286152544E-23</v>
      </c>
      <c r="AX191" s="21">
        <f t="shared" si="166"/>
        <v>24.607853950357345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278.5296012747549</v>
      </c>
      <c r="T192" s="59">
        <f t="shared" si="142"/>
        <v>370.55343097937077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2.1873347577638923E-13</v>
      </c>
      <c r="AK192" s="13">
        <f t="shared" si="164"/>
        <v>2.999861355695181E-12</v>
      </c>
      <c r="AL192" s="20">
        <f t="shared" si="165"/>
        <v>5.6057193314796512E-12</v>
      </c>
      <c r="AM192" s="59">
        <f t="shared" si="113"/>
        <v>293.33333333333894</v>
      </c>
      <c r="AN192" s="59">
        <f ca="1">AVERAGE(OFFSET($AM$3,0,0,'Données projet'!$E$10+1,1))-AVERAGE(OFFSET($H$3,0,0,'Données projet'!$E$10+1,1))</f>
        <v>234.10156575337737</v>
      </c>
      <c r="AO192" s="59">
        <f t="shared" si="144"/>
        <v>285.68635263076646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19.549234365463768</v>
      </c>
      <c r="AV192" s="21">
        <f>EXP(-LN(2)/25)*AV191+(1-EXP(-LN(2)/25))/(LN(2)/25)*Calculateur!AQ192*Calculateur!AS192*VLOOKUP('Données projet'!$B$10,Paramètres!$A$1:$I$89,3,0)*0.475*44/12</f>
        <v>4.5399675732534766</v>
      </c>
      <c r="AW192" s="21">
        <f>EXP(-LN(2)/2)*AW191+(1-EXP(-LN(2)/2))/(LN(2)/2)*AQ192*AT192*VLOOKUP('Données projet'!$B$10,Paramètres!$A$1:$I$89,3,0)*0.475*44/12</f>
        <v>5.0777956877779921E-23</v>
      </c>
      <c r="AX192" s="21">
        <f t="shared" si="166"/>
        <v>24.089201938717245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278.5296012747549</v>
      </c>
      <c r="T193" s="59">
        <f t="shared" si="142"/>
        <v>370.55343097937077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2.1873347577638923E-13</v>
      </c>
      <c r="AK193" s="13">
        <f t="shared" si="164"/>
        <v>2.999861355695181E-12</v>
      </c>
      <c r="AL193" s="20">
        <f t="shared" si="165"/>
        <v>5.6057193314796512E-12</v>
      </c>
      <c r="AM193" s="59">
        <f t="shared" si="113"/>
        <v>293.33333333333894</v>
      </c>
      <c r="AN193" s="59">
        <f ca="1">AVERAGE(OFFSET($AM$3,0,0,'Données projet'!$E$10+1,1))-AVERAGE(OFFSET($H$3,0,0,'Données projet'!$E$10+1,1))</f>
        <v>234.10156575337737</v>
      </c>
      <c r="AO193" s="59">
        <f t="shared" si="144"/>
        <v>285.68635263076646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19.165885803412603</v>
      </c>
      <c r="AV193" s="21">
        <f>EXP(-LN(2)/25)*AV192+(1-EXP(-LN(2)/25))/(LN(2)/25)*Calculateur!AQ193*Calculateur!AS193*VLOOKUP('Données projet'!$B$10,Paramètres!$A$1:$I$89,3,0)*0.475*44/12</f>
        <v>4.4158219212163417</v>
      </c>
      <c r="AW193" s="21">
        <f>EXP(-LN(2)/2)*AW192+(1-EXP(-LN(2)/2))/(LN(2)/2)*AQ193*AT193*VLOOKUP('Données projet'!$B$10,Paramètres!$A$1:$I$89,3,0)*0.475*44/12</f>
        <v>3.5905437643076272E-23</v>
      </c>
      <c r="AX193" s="21">
        <f t="shared" si="166"/>
        <v>23.581707724628945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278.5296012747549</v>
      </c>
      <c r="T194" s="59">
        <f t="shared" si="142"/>
        <v>370.55343097937077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2.1873347577638923E-13</v>
      </c>
      <c r="AK194" s="13">
        <f t="shared" si="164"/>
        <v>2.999861355695181E-12</v>
      </c>
      <c r="AL194" s="20">
        <f t="shared" si="165"/>
        <v>5.6057193314796512E-12</v>
      </c>
      <c r="AM194" s="59">
        <f t="shared" si="113"/>
        <v>293.33333333333894</v>
      </c>
      <c r="AN194" s="59">
        <f ca="1">AVERAGE(OFFSET($AM$3,0,0,'Données projet'!$E$10+1,1))-AVERAGE(OFFSET($H$3,0,0,'Données projet'!$E$10+1,1))</f>
        <v>234.10156575337737</v>
      </c>
      <c r="AO194" s="59">
        <f t="shared" si="144"/>
        <v>285.68635263076646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18.790054472843728</v>
      </c>
      <c r="AV194" s="21">
        <f>EXP(-LN(2)/25)*AV193+(1-EXP(-LN(2)/25))/(LN(2)/25)*Calculateur!AQ194*Calculateur!AS194*VLOOKUP('Données projet'!$B$10,Paramètres!$A$1:$I$89,3,0)*0.475*44/12</f>
        <v>4.295071038562698</v>
      </c>
      <c r="AW194" s="21">
        <f>EXP(-LN(2)/2)*AW193+(1-EXP(-LN(2)/2))/(LN(2)/2)*AQ194*AT194*VLOOKUP('Données projet'!$B$10,Paramètres!$A$1:$I$89,3,0)*0.475*44/12</f>
        <v>2.5388978438889961E-23</v>
      </c>
      <c r="AX194" s="21">
        <f t="shared" si="166"/>
        <v>23.085125511406424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278.5296012747549</v>
      </c>
      <c r="T195" s="59">
        <f t="shared" si="142"/>
        <v>370.55343097937077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2.1873347577638923E-13</v>
      </c>
      <c r="AK195" s="13">
        <f t="shared" si="164"/>
        <v>2.999861355695181E-12</v>
      </c>
      <c r="AL195" s="20">
        <f t="shared" si="165"/>
        <v>5.6057193314796512E-12</v>
      </c>
      <c r="AM195" s="59">
        <f t="shared" si="113"/>
        <v>293.33333333333894</v>
      </c>
      <c r="AN195" s="59">
        <f ca="1">AVERAGE(OFFSET($AM$3,0,0,'Données projet'!$E$10+1,1))-AVERAGE(OFFSET($H$3,0,0,'Données projet'!$E$10+1,1))</f>
        <v>234.10156575337737</v>
      </c>
      <c r="AO195" s="59">
        <f t="shared" si="144"/>
        <v>285.68635263076646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18.421592965432829</v>
      </c>
      <c r="AV195" s="21">
        <f>EXP(-LN(2)/25)*AV194+(1-EXP(-LN(2)/25))/(LN(2)/25)*Calculateur!AQ195*Calculateur!AS195*VLOOKUP('Données projet'!$B$10,Paramètres!$A$1:$I$89,3,0)*0.475*44/12</f>
        <v>4.1776220951452316</v>
      </c>
      <c r="AW195" s="21">
        <f>EXP(-LN(2)/2)*AW194+(1-EXP(-LN(2)/2))/(LN(2)/2)*AQ195*AT195*VLOOKUP('Données projet'!$B$10,Paramètres!$A$1:$I$89,3,0)*0.475*44/12</f>
        <v>1.7952718821538136E-23</v>
      </c>
      <c r="AX195" s="21">
        <f t="shared" si="166"/>
        <v>22.599215060578061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278.5296012747549</v>
      </c>
      <c r="T196" s="59">
        <f t="shared" si="142"/>
        <v>370.55343097937077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2.1873347577638923E-13</v>
      </c>
      <c r="AK196" s="13">
        <f t="shared" si="164"/>
        <v>2.999861355695181E-12</v>
      </c>
      <c r="AL196" s="20">
        <f t="shared" si="165"/>
        <v>5.6057193314796512E-12</v>
      </c>
      <c r="AM196" s="59">
        <f t="shared" ref="AM196:AM203" si="193">AL196+(AD196+AE196)*44/12</f>
        <v>293.33333333333894</v>
      </c>
      <c r="AN196" s="59">
        <f ca="1">AVERAGE(OFFSET($AM$3,0,0,'Données projet'!$E$10+1,1))-AVERAGE(OFFSET($H$3,0,0,'Données projet'!$E$10+1,1))</f>
        <v>234.10156575337737</v>
      </c>
      <c r="AO196" s="59">
        <f t="shared" si="144"/>
        <v>285.68635263076646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18.060356763442933</v>
      </c>
      <c r="AV196" s="21">
        <f>EXP(-LN(2)/25)*AV195+(1-EXP(-LN(2)/25))/(LN(2)/25)*Calculateur!AQ196*Calculateur!AS196*VLOOKUP('Données projet'!$B$10,Paramètres!$A$1:$I$89,3,0)*0.475*44/12</f>
        <v>4.063384799261887</v>
      </c>
      <c r="AW196" s="21">
        <f>EXP(-LN(2)/2)*AW195+(1-EXP(-LN(2)/2))/(LN(2)/2)*AQ196*AT196*VLOOKUP('Données projet'!$B$10,Paramètres!$A$1:$I$89,3,0)*0.475*44/12</f>
        <v>1.269448921944498E-23</v>
      </c>
      <c r="AX196" s="21">
        <f t="shared" si="166"/>
        <v>22.123741562704819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278.5296012747549</v>
      </c>
      <c r="T197" s="59">
        <f t="shared" ref="T197:T203" si="204">$T$3</f>
        <v>370.55343097937077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2.1873347577638923E-13</v>
      </c>
      <c r="AK197" s="13">
        <f t="shared" si="164"/>
        <v>2.999861355695181E-12</v>
      </c>
      <c r="AL197" s="20">
        <f t="shared" si="165"/>
        <v>5.6057193314796512E-12</v>
      </c>
      <c r="AM197" s="59">
        <f t="shared" si="193"/>
        <v>293.33333333333894</v>
      </c>
      <c r="AN197" s="59">
        <f ca="1">AVERAGE(OFFSET($AM$3,0,0,'Données projet'!$E$10+1,1))-AVERAGE(OFFSET($H$3,0,0,'Données projet'!$E$10+1,1))</f>
        <v>234.10156575337737</v>
      </c>
      <c r="AO197" s="59">
        <f t="shared" ref="AO197:AO203" si="205">$AO$3</f>
        <v>285.68635263076646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17.706204183041731</v>
      </c>
      <c r="AV197" s="21">
        <f>EXP(-LN(2)/25)*AV196+(1-EXP(-LN(2)/25))/(LN(2)/25)*Calculateur!AQ197*Calculateur!AS197*VLOOKUP('Données projet'!$B$10,Paramètres!$A$1:$I$89,3,0)*0.475*44/12</f>
        <v>3.952271328241951</v>
      </c>
      <c r="AW197" s="21">
        <f>EXP(-LN(2)/2)*AW196+(1-EXP(-LN(2)/2))/(LN(2)/2)*AQ197*AT197*VLOOKUP('Données projet'!$B$10,Paramètres!$A$1:$I$89,3,0)*0.475*44/12</f>
        <v>8.9763594107690681E-24</v>
      </c>
      <c r="AX197" s="21">
        <f t="shared" si="166"/>
        <v>21.658475511283683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278.5296012747549</v>
      </c>
      <c r="T198" s="59">
        <f t="shared" si="204"/>
        <v>370.55343097937077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2.1873347577638923E-13</v>
      </c>
      <c r="AK198" s="13">
        <f t="shared" si="164"/>
        <v>2.999861355695181E-12</v>
      </c>
      <c r="AL198" s="20">
        <f t="shared" si="165"/>
        <v>5.6057193314796512E-12</v>
      </c>
      <c r="AM198" s="59">
        <f t="shared" si="193"/>
        <v>293.33333333333894</v>
      </c>
      <c r="AN198" s="59">
        <f ca="1">AVERAGE(OFFSET($AM$3,0,0,'Données projet'!$E$10+1,1))-AVERAGE(OFFSET($H$3,0,0,'Données projet'!$E$10+1,1))</f>
        <v>234.10156575337737</v>
      </c>
      <c r="AO198" s="59">
        <f t="shared" si="205"/>
        <v>285.68635263076646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17.358996318730451</v>
      </c>
      <c r="AV198" s="21">
        <f>EXP(-LN(2)/25)*AV197+(1-EXP(-LN(2)/25))/(LN(2)/25)*Calculateur!AQ198*Calculateur!AS198*VLOOKUP('Données projet'!$B$10,Paramètres!$A$1:$I$89,3,0)*0.475*44/12</f>
        <v>3.8441962609302589</v>
      </c>
      <c r="AW198" s="21">
        <f>EXP(-LN(2)/2)*AW197+(1-EXP(-LN(2)/2))/(LN(2)/2)*AQ198*AT198*VLOOKUP('Données projet'!$B$10,Paramètres!$A$1:$I$89,3,0)*0.475*44/12</f>
        <v>6.3472446097224902E-24</v>
      </c>
      <c r="AX198" s="21">
        <f t="shared" si="166"/>
        <v>21.203192579660708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278.5296012747549</v>
      </c>
      <c r="T199" s="59">
        <f t="shared" si="204"/>
        <v>370.55343097937077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2.1873347577638923E-13</v>
      </c>
      <c r="AK199" s="13">
        <f t="shared" si="164"/>
        <v>2.999861355695181E-12</v>
      </c>
      <c r="AL199" s="20">
        <f t="shared" si="165"/>
        <v>5.6057193314796512E-12</v>
      </c>
      <c r="AM199" s="59">
        <f t="shared" si="193"/>
        <v>293.33333333333894</v>
      </c>
      <c r="AN199" s="59">
        <f ca="1">AVERAGE(OFFSET($AM$3,0,0,'Données projet'!$E$10+1,1))-AVERAGE(OFFSET($H$3,0,0,'Données projet'!$E$10+1,1))</f>
        <v>234.10156575337737</v>
      </c>
      <c r="AO199" s="59">
        <f t="shared" si="205"/>
        <v>285.68635263076646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17.018596988862431</v>
      </c>
      <c r="AV199" s="21">
        <f>EXP(-LN(2)/25)*AV198+(1-EXP(-LN(2)/25))/(LN(2)/25)*Calculateur!AQ199*Calculateur!AS199*VLOOKUP('Données projet'!$B$10,Paramètres!$A$1:$I$89,3,0)*0.475*44/12</f>
        <v>3.7390765120176255</v>
      </c>
      <c r="AW199" s="21">
        <f>EXP(-LN(2)/2)*AW198+(1-EXP(-LN(2)/2))/(LN(2)/2)*AQ199*AT199*VLOOKUP('Données projet'!$B$10,Paramètres!$A$1:$I$89,3,0)*0.475*44/12</f>
        <v>4.488179705384534E-24</v>
      </c>
      <c r="AX199" s="21">
        <f t="shared" si="166"/>
        <v>20.757673500880056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278.5296012747549</v>
      </c>
      <c r="T200" s="59">
        <f t="shared" si="204"/>
        <v>370.55343097937077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2.1873347577638923E-13</v>
      </c>
      <c r="AK200" s="13">
        <f t="shared" si="164"/>
        <v>2.999861355695181E-12</v>
      </c>
      <c r="AL200" s="20">
        <f t="shared" si="165"/>
        <v>5.6057193314796512E-12</v>
      </c>
      <c r="AM200" s="59">
        <f t="shared" si="193"/>
        <v>293.33333333333894</v>
      </c>
      <c r="AN200" s="59">
        <f ca="1">AVERAGE(OFFSET($AM$3,0,0,'Données projet'!$E$10+1,1))-AVERAGE(OFFSET($H$3,0,0,'Données projet'!$E$10+1,1))</f>
        <v>234.10156575337737</v>
      </c>
      <c r="AO200" s="59">
        <f t="shared" si="205"/>
        <v>285.68635263076646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16.684872682230029</v>
      </c>
      <c r="AV200" s="21">
        <f>EXP(-LN(2)/25)*AV199+(1-EXP(-LN(2)/25))/(LN(2)/25)*Calculateur!AQ200*Calculateur!AS200*VLOOKUP('Données projet'!$B$10,Paramètres!$A$1:$I$89,3,0)*0.475*44/12</f>
        <v>3.6368312681670156</v>
      </c>
      <c r="AW200" s="21">
        <f>EXP(-LN(2)/2)*AW199+(1-EXP(-LN(2)/2))/(LN(2)/2)*AQ200*AT200*VLOOKUP('Données projet'!$B$10,Paramètres!$A$1:$I$89,3,0)*0.475*44/12</f>
        <v>3.1736223048612451E-24</v>
      </c>
      <c r="AX200" s="21">
        <f t="shared" si="166"/>
        <v>20.321703950397044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278.5296012747549</v>
      </c>
      <c r="T201" s="59">
        <f t="shared" si="204"/>
        <v>370.55343097937077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2.1873347577638923E-13</v>
      </c>
      <c r="AK201" s="13">
        <f t="shared" si="164"/>
        <v>2.999861355695181E-12</v>
      </c>
      <c r="AL201" s="20">
        <f t="shared" si="165"/>
        <v>5.6057193314796512E-12</v>
      </c>
      <c r="AM201" s="59">
        <f t="shared" si="193"/>
        <v>293.33333333333894</v>
      </c>
      <c r="AN201" s="59">
        <f ca="1">AVERAGE(OFFSET($AM$3,0,0,'Données projet'!$E$10+1,1))-AVERAGE(OFFSET($H$3,0,0,'Données projet'!$E$10+1,1))</f>
        <v>234.10156575337737</v>
      </c>
      <c r="AO201" s="59">
        <f t="shared" si="205"/>
        <v>285.68635263076646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16.357692505698964</v>
      </c>
      <c r="AV201" s="21">
        <f>EXP(-LN(2)/25)*AV200+(1-EXP(-LN(2)/25))/(LN(2)/25)*Calculateur!AQ201*Calculateur!AS201*VLOOKUP('Données projet'!$B$10,Paramètres!$A$1:$I$89,3,0)*0.475*44/12</f>
        <v>3.5373819258863444</v>
      </c>
      <c r="AW201" s="21">
        <f>EXP(-LN(2)/2)*AW200+(1-EXP(-LN(2)/2))/(LN(2)/2)*AQ201*AT201*VLOOKUP('Données projet'!$B$10,Paramètres!$A$1:$I$89,3,0)*0.475*44/12</f>
        <v>2.244089852692267E-24</v>
      </c>
      <c r="AX201" s="21">
        <f t="shared" si="166"/>
        <v>19.895074431585307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278.5296012747549</v>
      </c>
      <c r="T202" s="59">
        <f t="shared" si="204"/>
        <v>370.55343097937077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2.1873347577638923E-13</v>
      </c>
      <c r="AK202" s="13">
        <f t="shared" si="164"/>
        <v>2.999861355695181E-12</v>
      </c>
      <c r="AL202" s="20">
        <f t="shared" si="165"/>
        <v>5.6057193314796512E-12</v>
      </c>
      <c r="AM202" s="59">
        <f t="shared" si="193"/>
        <v>293.33333333333894</v>
      </c>
      <c r="AN202" s="59">
        <f ca="1">AVERAGE(OFFSET($AM$3,0,0,'Données projet'!$E$10+1,1))-AVERAGE(OFFSET($H$3,0,0,'Données projet'!$E$10+1,1))</f>
        <v>234.10156575337737</v>
      </c>
      <c r="AO202" s="59">
        <f t="shared" si="205"/>
        <v>285.68635263076646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16.03692813286947</v>
      </c>
      <c r="AV202" s="21">
        <f>EXP(-LN(2)/25)*AV201+(1-EXP(-LN(2)/25))/(LN(2)/25)*Calculateur!AQ202*Calculateur!AS202*VLOOKUP('Données projet'!$B$10,Paramètres!$A$1:$I$89,3,0)*0.475*44/12</f>
        <v>3.4406520311001514</v>
      </c>
      <c r="AW202" s="21">
        <f>EXP(-LN(2)/2)*AW201+(1-EXP(-LN(2)/2))/(LN(2)/2)*AQ202*AT202*VLOOKUP('Données projet'!$B$10,Paramètres!$A$1:$I$89,3,0)*0.475*44/12</f>
        <v>1.5868111524306225E-24</v>
      </c>
      <c r="AX202" s="21">
        <f t="shared" si="166"/>
        <v>19.47758016396962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278.5296012747549</v>
      </c>
      <c r="T203" s="59">
        <f t="shared" si="204"/>
        <v>370.55343097937077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2.1873347577638923E-13</v>
      </c>
      <c r="AK203" s="13">
        <f t="shared" si="164"/>
        <v>2.999861355695181E-12</v>
      </c>
      <c r="AL203" s="20">
        <f t="shared" si="165"/>
        <v>5.6057193314796512E-12</v>
      </c>
      <c r="AM203" s="59">
        <f t="shared" si="193"/>
        <v>293.33333333333894</v>
      </c>
      <c r="AN203" s="59">
        <f ca="1">AVERAGE(OFFSET($AM$3,0,0,'Données projet'!$E$10+1,1))-AVERAGE(OFFSET($H$3,0,0,'Données projet'!$E$10+1,1))</f>
        <v>234.10156575337737</v>
      </c>
      <c r="AO203" s="59">
        <f t="shared" si="205"/>
        <v>285.68635263076646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15.722453753744212</v>
      </c>
      <c r="AV203" s="21">
        <f>EXP(-LN(2)/25)*AV202+(1-EXP(-LN(2)/25))/(LN(2)/25)*Calculateur!AQ203*Calculateur!AS203*VLOOKUP('Données projet'!$B$10,Paramètres!$A$1:$I$89,3,0)*0.475*44/12</f>
        <v>3.3465672203736911</v>
      </c>
      <c r="AW203" s="21">
        <f>EXP(-LN(2)/2)*AW202+(1-EXP(-LN(2)/2))/(LN(2)/2)*AQ203*AT203*VLOOKUP('Données projet'!$B$10,Paramètres!$A$1:$I$89,3,0)*0.475*44/12</f>
        <v>1.1220449263461335E-24</v>
      </c>
      <c r="AX203" s="21">
        <f t="shared" si="166"/>
        <v>19.069020974117905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1.2484549330391677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zoomScale="90" zoomScaleNormal="90" workbookViewId="0">
      <selection activeCell="H19" sqref="H19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12</v>
      </c>
      <c r="C6" s="147">
        <f ca="1">IF(OR('Données projet'!B9="",'Données projet'!C9="",'Données projet'!C9=0%),0,Calculateur!S3)</f>
        <v>278.5296012747549</v>
      </c>
      <c r="D6" s="147">
        <f>IF(OR('Données projet'!B9="",'Données projet'!C9="",'Données projet'!C9=0%),0,Calculateur!T3)</f>
        <v>370.55343097937077</v>
      </c>
      <c r="E6" s="147">
        <f ca="1">MIN(C6,D6)</f>
        <v>278.5296012747549</v>
      </c>
      <c r="F6" s="147">
        <f ca="1">E6*B6</f>
        <v>3342.3552152970587</v>
      </c>
      <c r="G6" s="147">
        <f ca="1">F6*(100%-'Données projet'!$C$24)*(100%-'Données projet'!$C$25)*(100%-'Données projet'!$C$26)*(100%-'Données projet'!$C$27)</f>
        <v>2707.3077243906178</v>
      </c>
      <c r="H6" s="148">
        <f>IF(OR('Données projet'!B9="",'Données projet'!C9="",'Données projet'!C9=0%),0,AVERAGE(Calculateur!$AC$3:$AC$33)*B6)</f>
        <v>146.54876617865395</v>
      </c>
      <c r="I6" s="149">
        <f>H6*(100%-'Données projet'!$C$24)*(100%-'Données projet'!$C$25)*(100%-'Données projet'!$C$26)*(100%-'Données projet'!$C$27)</f>
        <v>118.70450060470969</v>
      </c>
      <c r="J6" s="150">
        <f>IF(OR('Données projet'!B9="",'Données projet'!C9="",'Données projet'!C9=0%),0,SUM(Calculateur!$V$3:$V$33)*VLOOKUP('Données projet'!$B$9,Paramètres!$A$1:$I$89,9,0)*B6)</f>
        <v>916.49538461538441</v>
      </c>
      <c r="K6" s="151">
        <f>J6*(100%-'Données projet'!$C$24)*(100%-'Données projet'!$C$25)*(100%-'Données projet'!$C$26)*(100%-'Données projet'!$C$27)</f>
        <v>742.36126153846135</v>
      </c>
      <c r="L6" s="152">
        <f ca="1">G6+I6+K6</f>
        <v>3568.3734865337888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Epicéa commun</v>
      </c>
      <c r="B7" s="154">
        <f>'Données projet'!D10</f>
        <v>3</v>
      </c>
      <c r="C7" s="147">
        <f ca="1">IF(OR('Données projet'!B10="",'Données projet'!C10="",'Données projet'!C10=0%),0,Calculateur!AN3)</f>
        <v>234.10156575337737</v>
      </c>
      <c r="D7" s="147">
        <f>IF(OR('Données projet'!B10="",'Données projet'!C10="",'Données projet'!C10=0%),0,Calculateur!AO3)</f>
        <v>285.68635263076646</v>
      </c>
      <c r="E7" s="147">
        <f t="shared" ref="E7:E15" ca="1" si="0">MIN(C7,D7)</f>
        <v>234.10156575337737</v>
      </c>
      <c r="F7" s="147">
        <f t="shared" ref="F7:F15" ca="1" si="1">E7*B7</f>
        <v>702.30469726013212</v>
      </c>
      <c r="G7" s="147">
        <f ca="1">F7*(100%-'Données projet'!$C$24)*(100%-'Données projet'!$C$25)*(100%-'Données projet'!$C$26)*(100%-'Données projet'!$C$27)</f>
        <v>568.86680478070707</v>
      </c>
      <c r="H7" s="155">
        <f>IF(OR('Données projet'!B10="",'Données projet'!C10="",'Données projet'!C10=0%),0,AVERAGE(Calculateur!$AX$3:$AX$33)*B7)</f>
        <v>15.52852046613271</v>
      </c>
      <c r="I7" s="149">
        <f>H7*(100%-'Données projet'!$C$24)*(100%-'Données projet'!$C$25)*(100%-'Données projet'!$C$26)*(100%-'Données projet'!$C$27)</f>
        <v>12.578101577567494</v>
      </c>
      <c r="J7" s="150">
        <f>IF(OR('Données projet'!B10="",'Données projet'!C10="",'Données projet'!C10=0%),0,SUM(Calculateur!$AQ$3:$AQ$33)*VLOOKUP('Données projet'!$B$10,Paramètres!$A$1:$I$89,9,0)*B7)</f>
        <v>202.81776923076922</v>
      </c>
      <c r="K7" s="151">
        <f>J7*(100%-'Données projet'!$C$24)*(100%-'Données projet'!$C$25)*(100%-'Données projet'!$C$26)*(100%-'Données projet'!$C$27)</f>
        <v>164.28239307692309</v>
      </c>
      <c r="L7" s="152">
        <f t="shared" ref="L7:L15" ca="1" si="2">G7+I7+K7</f>
        <v>745.72729943519766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4044.6599125571911</v>
      </c>
      <c r="G16" s="166">
        <f t="shared" ca="1" si="3"/>
        <v>3276.174529171325</v>
      </c>
      <c r="H16" s="167">
        <f t="shared" si="3"/>
        <v>162.07728664478665</v>
      </c>
      <c r="I16" s="167">
        <f t="shared" si="3"/>
        <v>131.28260218227717</v>
      </c>
      <c r="J16" s="168">
        <f t="shared" si="3"/>
        <v>1119.3131538461537</v>
      </c>
      <c r="K16" s="168">
        <f t="shared" si="3"/>
        <v>906.64365461538443</v>
      </c>
      <c r="L16" s="169">
        <f t="shared" ca="1" si="3"/>
        <v>4314.1007859689862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Epicéa commun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80" zoomScaleNormal="80" workbookViewId="0">
      <selection activeCell="S32" sqref="S32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6" t="s">
        <v>315</v>
      </c>
      <c r="I4" s="266"/>
      <c r="K4" s="308" t="s">
        <v>253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3022.9768973417813</v>
      </c>
      <c r="U10" s="178">
        <f>'Données projet'!D9</f>
        <v>12</v>
      </c>
      <c r="V10" s="177">
        <f>U10*T10</f>
        <v>36275.722768101376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Epicéa commun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2008.9698641453965</v>
      </c>
      <c r="U11" s="178">
        <f>'Données projet'!D10</f>
        <v>3</v>
      </c>
      <c r="V11" s="177">
        <f t="shared" ref="V11" si="0">U11*T11</f>
        <v>6026.90959243619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1"/>
      <c r="H16" s="190"/>
      <c r="I16" s="191"/>
      <c r="J16" s="202"/>
      <c r="K16" s="208"/>
      <c r="L16" s="308" t="s">
        <v>254</v>
      </c>
      <c r="M16" s="309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11"/>
      <c r="J17" s="202"/>
      <c r="K17" s="208"/>
      <c r="L17" s="268" t="s">
        <v>289</v>
      </c>
      <c r="M17" s="270"/>
      <c r="N17" s="175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11"/>
      <c r="J18" s="202"/>
      <c r="K18" s="208"/>
      <c r="L18" s="268" t="s">
        <v>255</v>
      </c>
      <c r="M18" s="270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11"/>
      <c r="H19" s="212" t="s">
        <v>178</v>
      </c>
      <c r="I19" s="212" t="s">
        <v>287</v>
      </c>
      <c r="J19" s="93"/>
      <c r="K19" s="173"/>
      <c r="L19" s="308" t="s">
        <v>288</v>
      </c>
      <c r="M19" s="309"/>
      <c r="N19" s="179">
        <f>N17*N18</f>
        <v>5000.0000000000045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11"/>
      <c r="H20" s="190">
        <v>1</v>
      </c>
      <c r="I20" s="191">
        <v>4562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>
        <v>150</v>
      </c>
      <c r="F23" s="230"/>
      <c r="H23" s="190"/>
      <c r="I23" s="191"/>
      <c r="K23" s="208"/>
      <c r="L23" s="310" t="s">
        <v>260</v>
      </c>
      <c r="M23" s="310"/>
      <c r="N23" s="310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-23180.62122797918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8303.2237474239191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65.669230769230765</v>
      </c>
      <c r="C25" s="193">
        <v>10</v>
      </c>
      <c r="D25" s="182">
        <f t="shared" si="2"/>
        <v>656.69230769230762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7">
        <f ca="1">T23-T24</f>
        <v>-31483.844975403099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69.3</v>
      </c>
      <c r="C26" s="193">
        <v>18</v>
      </c>
      <c r="D26" s="182">
        <f t="shared" si="2"/>
        <v>1247.3999999999999</v>
      </c>
      <c r="E26" s="193">
        <v>150</v>
      </c>
      <c r="F26" s="233"/>
      <c r="G26" s="229"/>
      <c r="H26" s="190"/>
      <c r="I26" s="191"/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81.330769230769235</v>
      </c>
      <c r="C28" s="193">
        <v>25</v>
      </c>
      <c r="D28" s="182">
        <f t="shared" si="2"/>
        <v>2033.2692307692309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566.79999999999995</v>
      </c>
      <c r="C29" s="193">
        <v>35</v>
      </c>
      <c r="D29" s="182">
        <f t="shared" si="2"/>
        <v>19838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Epicéa commun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25</v>
      </c>
      <c r="B54" s="181">
        <f>'Données projet'!D62</f>
        <v>67.207692307692312</v>
      </c>
      <c r="C54" s="191">
        <v>10</v>
      </c>
      <c r="D54" s="179">
        <f>B54*C54</f>
        <v>672.07692307692309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30</v>
      </c>
      <c r="B55" s="181">
        <f>'Données projet'!D63</f>
        <v>90.015384615384605</v>
      </c>
      <c r="C55" s="191">
        <v>10</v>
      </c>
      <c r="D55" s="179">
        <f t="shared" ref="D55:D73" si="4">B55*C55</f>
        <v>900.15384615384608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36</v>
      </c>
      <c r="B56" s="181">
        <f>'Données projet'!D64</f>
        <v>85.407692307692301</v>
      </c>
      <c r="C56" s="191">
        <v>10</v>
      </c>
      <c r="D56" s="179">
        <f t="shared" si="4"/>
        <v>854.07692307692298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42</v>
      </c>
      <c r="B57" s="181">
        <f>'Données projet'!D65</f>
        <v>78.223076923076917</v>
      </c>
      <c r="C57" s="191">
        <v>18</v>
      </c>
      <c r="D57" s="179">
        <f t="shared" si="4"/>
        <v>1408.0153846153844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48</v>
      </c>
      <c r="B58" s="181">
        <f>'Données projet'!D66</f>
        <v>85.953846153846143</v>
      </c>
      <c r="C58" s="191">
        <v>25</v>
      </c>
      <c r="D58" s="179">
        <f t="shared" si="4"/>
        <v>2148.8461538461534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55</v>
      </c>
      <c r="B59" s="181">
        <f>'Données projet'!D67</f>
        <v>83.638461538461542</v>
      </c>
      <c r="C59" s="191">
        <v>30</v>
      </c>
      <c r="D59" s="179">
        <f t="shared" si="4"/>
        <v>2509.1538461538462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62</v>
      </c>
      <c r="B60" s="181">
        <f>'Données projet'!D68</f>
        <v>101.43076923076924</v>
      </c>
      <c r="C60" s="191">
        <v>40</v>
      </c>
      <c r="D60" s="179">
        <f t="shared" si="4"/>
        <v>4057.2307692307695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69</v>
      </c>
      <c r="B61" s="181">
        <f>'Données projet'!D69</f>
        <v>93.461538461538453</v>
      </c>
      <c r="C61" s="191">
        <v>40</v>
      </c>
      <c r="D61" s="179">
        <f t="shared" si="4"/>
        <v>3738.4615384615381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77</v>
      </c>
      <c r="B62" s="181">
        <f>'Données projet'!D70</f>
        <v>459.09230769230771</v>
      </c>
      <c r="C62" s="191">
        <v>40</v>
      </c>
      <c r="D62" s="179">
        <f t="shared" si="4"/>
        <v>18363.692307692309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/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FD02EC-A356-4339-B4D0-D83A2F311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Mazeau guillaume</cp:lastModifiedBy>
  <dcterms:created xsi:type="dcterms:W3CDTF">2021-02-01T08:22:39Z</dcterms:created>
  <dcterms:modified xsi:type="dcterms:W3CDTF">2024-08-22T12:09:19Z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