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4\Saint-Cassin\"/>
    </mc:Choice>
  </mc:AlternateContent>
  <bookViews>
    <workbookView xWindow="0" yWindow="0" windowWidth="17925" windowHeight="2340" tabRatio="866" activeTab="2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2" i="1" l="1"/>
  <c r="D122" i="1" s="1"/>
  <c r="B121" i="1"/>
  <c r="B120" i="1"/>
  <c r="D119" i="1"/>
  <c r="B119" i="1"/>
  <c r="B118" i="1"/>
  <c r="D117" i="1"/>
  <c r="B117" i="1"/>
  <c r="B116" i="1"/>
  <c r="B115" i="1"/>
  <c r="B114" i="1"/>
  <c r="D96" i="1"/>
  <c r="D89" i="1"/>
  <c r="B89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B49" i="1"/>
  <c r="D49" i="1" s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B37" i="1"/>
  <c r="D39" i="1"/>
  <c r="B39" i="1"/>
  <c r="B38" i="1"/>
  <c r="D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HH156" i="2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H163" i="2"/>
  <c r="HG163" i="2"/>
  <c r="HI163" i="2"/>
  <c r="EV163" i="2"/>
  <c r="EY163" i="2" s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Y202" i="2" s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AX200" i="2"/>
  <c r="BX107" i="2" l="1" a="1"/>
  <c r="BX107" i="2" s="1"/>
  <c r="HJ202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J30" i="2" l="1"/>
  <c r="FJ118" i="2"/>
  <c r="FJ32" i="2"/>
  <c r="FJ23" i="2"/>
  <c r="FJ53" i="2"/>
  <c r="FJ133" i="2"/>
  <c r="FJ198" i="2"/>
  <c r="FJ161" i="2"/>
  <c r="FJ173" i="2"/>
  <c r="FJ70" i="2"/>
  <c r="FJ177" i="2"/>
  <c r="FJ28" i="2"/>
  <c r="FJ146" i="2"/>
  <c r="FJ144" i="2"/>
  <c r="FJ113" i="2"/>
  <c r="FJ190" i="2"/>
  <c r="FJ120" i="2"/>
  <c r="FJ131" i="2"/>
  <c r="FJ116" i="2"/>
  <c r="FJ83" i="2"/>
  <c r="FJ63" i="2"/>
  <c r="FJ85" i="2"/>
  <c r="FJ121" i="2"/>
  <c r="FJ135" i="2"/>
  <c r="FJ119" i="2"/>
  <c r="FJ175" i="2"/>
  <c r="FJ162" i="2"/>
  <c r="FJ130" i="2"/>
  <c r="FJ123" i="2"/>
  <c r="FJ65" i="2"/>
  <c r="FJ128" i="2"/>
  <c r="FJ199" i="2"/>
  <c r="FJ139" i="2"/>
  <c r="FJ103" i="2"/>
  <c r="FJ170" i="2"/>
  <c r="FJ197" i="2"/>
  <c r="FJ62" i="2"/>
  <c r="FJ57" i="2"/>
  <c r="FJ150" i="2"/>
  <c r="FJ91" i="2"/>
  <c r="FJ114" i="2"/>
  <c r="FJ186" i="2"/>
  <c r="FJ126" i="2"/>
  <c r="FJ6" i="2"/>
  <c r="FJ95" i="2"/>
  <c r="FJ145" i="2"/>
  <c r="FJ193" i="2"/>
  <c r="FJ35" i="2"/>
  <c r="FJ184" i="2"/>
  <c r="FJ189" i="2"/>
  <c r="FJ107" i="2"/>
  <c r="FJ93" i="2"/>
  <c r="FJ41" i="2"/>
  <c r="FJ136" i="2"/>
  <c r="FJ17" i="2"/>
  <c r="FJ15" i="2"/>
  <c r="FJ203" i="2"/>
  <c r="FJ122" i="2"/>
  <c r="FJ137" i="2"/>
  <c r="FJ71" i="2"/>
  <c r="FJ76" i="2"/>
  <c r="FJ101" i="2"/>
  <c r="FJ96" i="2"/>
  <c r="FJ155" i="2"/>
  <c r="FJ111" i="2"/>
  <c r="FJ98" i="2"/>
  <c r="FJ69" i="2"/>
  <c r="FJ110" i="2"/>
  <c r="FJ124" i="2"/>
  <c r="FJ194" i="2"/>
  <c r="FJ180" i="2"/>
  <c r="FJ11" i="2"/>
  <c r="FJ166" i="2"/>
  <c r="FJ94" i="2"/>
  <c r="FJ27" i="2"/>
  <c r="FJ5" i="2"/>
  <c r="FJ90" i="2"/>
  <c r="FJ64" i="2"/>
  <c r="FJ43" i="2"/>
  <c r="FJ46" i="2"/>
  <c r="FJ79" i="2"/>
  <c r="FJ12" i="2"/>
  <c r="FJ179" i="2"/>
  <c r="FJ22" i="2"/>
  <c r="FJ100" i="2"/>
  <c r="FJ16" i="2"/>
  <c r="FJ29" i="2"/>
  <c r="FJ112" i="2"/>
  <c r="FJ134" i="2"/>
  <c r="FJ183" i="2"/>
  <c r="FJ45" i="2"/>
  <c r="FJ68" i="2"/>
  <c r="FJ140" i="2"/>
  <c r="FJ109" i="2"/>
  <c r="FJ33" i="2"/>
  <c r="FJ152" i="2"/>
  <c r="FJ182" i="2"/>
  <c r="FJ59" i="2"/>
  <c r="FJ66" i="2"/>
  <c r="FJ151" i="2"/>
  <c r="FJ39" i="2"/>
  <c r="FJ156" i="2"/>
  <c r="FJ132" i="2"/>
  <c r="FJ149" i="2"/>
  <c r="FJ158" i="2"/>
  <c r="FJ160" i="2"/>
  <c r="FJ56" i="2"/>
  <c r="FJ14" i="2"/>
  <c r="FJ80" i="2"/>
  <c r="FJ20" i="2"/>
  <c r="FJ24" i="2"/>
  <c r="FJ104" i="2"/>
  <c r="FJ172" i="2"/>
  <c r="FJ157" i="2"/>
  <c r="FJ153" i="2"/>
  <c r="FJ67" i="2"/>
  <c r="FJ188" i="2"/>
  <c r="FJ200" i="2"/>
  <c r="FJ192" i="2"/>
  <c r="FJ9" i="2"/>
  <c r="FJ195" i="2"/>
  <c r="FJ55" i="2"/>
  <c r="FJ168" i="2"/>
  <c r="FJ174" i="2"/>
  <c r="FJ75" i="2"/>
  <c r="FJ165" i="2"/>
  <c r="FJ3" i="2"/>
  <c r="C13" i="4" s="1"/>
  <c r="E13" i="4" s="1"/>
  <c r="F13" i="4" s="1"/>
  <c r="G13" i="4" s="1"/>
  <c r="L13" i="4" s="1"/>
  <c r="FJ74" i="2"/>
  <c r="FJ37" i="2"/>
  <c r="FJ87" i="2"/>
  <c r="FJ44" i="2"/>
  <c r="FJ163" i="2"/>
  <c r="FJ176" i="2"/>
  <c r="FJ49" i="2"/>
  <c r="FJ97" i="2"/>
  <c r="FJ51" i="2"/>
  <c r="FJ72" i="2"/>
  <c r="FJ40" i="2"/>
  <c r="FJ31" i="2"/>
  <c r="FJ52" i="2"/>
  <c r="FJ105" i="2"/>
  <c r="FJ60" i="2"/>
  <c r="FJ167" i="2"/>
  <c r="FJ191" i="2"/>
  <c r="FJ82" i="2"/>
  <c r="FJ25" i="2"/>
  <c r="FJ141" i="2"/>
  <c r="FJ8" i="2"/>
  <c r="FJ106" i="2"/>
  <c r="FJ115" i="2"/>
  <c r="FJ108" i="2"/>
  <c r="FJ202" i="2"/>
  <c r="FJ34" i="2"/>
  <c r="FJ78" i="2"/>
  <c r="FJ81" i="2"/>
  <c r="FJ42" i="2"/>
  <c r="FJ125" i="2"/>
  <c r="FJ7" i="2"/>
  <c r="FJ48" i="2"/>
  <c r="FJ181" i="2"/>
  <c r="FJ54" i="2"/>
  <c r="FJ117" i="2"/>
  <c r="FJ26" i="2"/>
  <c r="FJ89" i="2"/>
  <c r="FJ178" i="2"/>
  <c r="FJ18" i="2"/>
  <c r="FJ58" i="2"/>
  <c r="FJ171" i="2"/>
  <c r="FJ196" i="2"/>
  <c r="FJ185" i="2"/>
  <c r="FJ36" i="2"/>
  <c r="FJ127" i="2"/>
  <c r="FJ159" i="2"/>
  <c r="FJ129" i="2"/>
  <c r="FJ10" i="2"/>
  <c r="FJ201" i="2"/>
  <c r="FJ99" i="2"/>
  <c r="FJ84" i="2"/>
  <c r="FJ86" i="2"/>
  <c r="FJ21" i="2"/>
  <c r="FJ61" i="2"/>
  <c r="FJ73" i="2"/>
  <c r="FJ143" i="2"/>
  <c r="FJ50" i="2"/>
  <c r="FJ19" i="2"/>
  <c r="FJ169" i="2"/>
  <c r="FJ147" i="2"/>
  <c r="FJ138" i="2"/>
  <c r="FJ187" i="2"/>
  <c r="FJ4" i="2"/>
  <c r="FJ77" i="2"/>
  <c r="FJ92" i="2"/>
  <c r="FJ88" i="2"/>
  <c r="FJ102" i="2"/>
  <c r="FJ154" i="2"/>
  <c r="FJ148" i="2"/>
  <c r="FJ164" i="2"/>
  <c r="FJ38" i="2"/>
  <c r="FJ47" i="2"/>
  <c r="FJ13" i="2"/>
  <c r="FJ142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28" i="2" l="1"/>
  <c r="DT186" i="2"/>
  <c r="DT20" i="2"/>
  <c r="DT166" i="2"/>
  <c r="DT121" i="2"/>
  <c r="DT167" i="2"/>
  <c r="DT156" i="2"/>
  <c r="DT93" i="2"/>
  <c r="DT193" i="2"/>
  <c r="DT87" i="2"/>
  <c r="DT73" i="2"/>
  <c r="DT113" i="2"/>
  <c r="DT71" i="2"/>
  <c r="DT11" i="2"/>
  <c r="DT195" i="2"/>
  <c r="DT62" i="2"/>
  <c r="DT94" i="2"/>
  <c r="DT201" i="2"/>
  <c r="DT182" i="2"/>
  <c r="DT108" i="2"/>
  <c r="DT4" i="2"/>
  <c r="DT189" i="2"/>
  <c r="DT163" i="2"/>
  <c r="DT191" i="2"/>
  <c r="DT134" i="2"/>
  <c r="DT97" i="2"/>
  <c r="DT15" i="2"/>
  <c r="DT82" i="2"/>
  <c r="DT43" i="2"/>
  <c r="DT36" i="2"/>
  <c r="DT39" i="2"/>
  <c r="DT150" i="2"/>
  <c r="DT37" i="2"/>
  <c r="DT179" i="2"/>
  <c r="DT32" i="2"/>
  <c r="DT136" i="2"/>
  <c r="DT98" i="2"/>
  <c r="DT100" i="2"/>
  <c r="DT60" i="2"/>
  <c r="DT117" i="2"/>
  <c r="DT188" i="2"/>
  <c r="DT181" i="2"/>
  <c r="DT57" i="2"/>
  <c r="DT104" i="2"/>
  <c r="DT190" i="2"/>
  <c r="DT175" i="2"/>
  <c r="DT96" i="2"/>
  <c r="DT152" i="2"/>
  <c r="DT146" i="2"/>
  <c r="DT154" i="2"/>
  <c r="DT176" i="2"/>
  <c r="DT95" i="2"/>
  <c r="DT125" i="2"/>
  <c r="DT141" i="2"/>
  <c r="DT185" i="2"/>
  <c r="DT24" i="2"/>
  <c r="DT54" i="2"/>
  <c r="DT177" i="2"/>
  <c r="DT79" i="2"/>
  <c r="DT33" i="2"/>
  <c r="DT74" i="2"/>
  <c r="DT169" i="2"/>
  <c r="DT7" i="2"/>
  <c r="DT159" i="2"/>
  <c r="DT63" i="2"/>
  <c r="DT38" i="2"/>
  <c r="DT162" i="2"/>
  <c r="DT50" i="2"/>
  <c r="DT165" i="2"/>
  <c r="DT147" i="2"/>
  <c r="DT132" i="2"/>
  <c r="DT10" i="2"/>
  <c r="DT99" i="2"/>
  <c r="DT101" i="2"/>
  <c r="DT198" i="2"/>
  <c r="DT53" i="2"/>
  <c r="DT76" i="2"/>
  <c r="DT116" i="2"/>
  <c r="DT158" i="2"/>
  <c r="DT144" i="2"/>
  <c r="DT119" i="2"/>
  <c r="DT157" i="2"/>
  <c r="DT86" i="2"/>
  <c r="DT103" i="2"/>
  <c r="DT84" i="2"/>
  <c r="DT16" i="2"/>
  <c r="DT149" i="2"/>
  <c r="DT102" i="2"/>
  <c r="DT42" i="2"/>
  <c r="DT56" i="2"/>
  <c r="DT90" i="2"/>
  <c r="DT184" i="2"/>
  <c r="DT69" i="2"/>
  <c r="DT6" i="2"/>
  <c r="DT51" i="2"/>
  <c r="DT148" i="2"/>
  <c r="DT19" i="2"/>
  <c r="DT64" i="2"/>
  <c r="DT170" i="2"/>
  <c r="DT129" i="2"/>
  <c r="DT55" i="2"/>
  <c r="DT145" i="2"/>
  <c r="DT61" i="2"/>
  <c r="DT85" i="2"/>
  <c r="DT81" i="2"/>
  <c r="DT131" i="2"/>
  <c r="DT26" i="2"/>
  <c r="DT199" i="2"/>
  <c r="DT46" i="2"/>
  <c r="DT183" i="2"/>
  <c r="DT168" i="2"/>
  <c r="DT109" i="2"/>
  <c r="DT171" i="2"/>
  <c r="DT110" i="2"/>
  <c r="DT91" i="2"/>
  <c r="DT45" i="2"/>
  <c r="DT126" i="2"/>
  <c r="DT123" i="2"/>
  <c r="DT58" i="2"/>
  <c r="DT41" i="2"/>
  <c r="DT27" i="2"/>
  <c r="DT22" i="2"/>
  <c r="DT9" i="2"/>
  <c r="DT72" i="2"/>
  <c r="DT5" i="2"/>
  <c r="DT59" i="2"/>
  <c r="DT47" i="2"/>
  <c r="DT174" i="2"/>
  <c r="DT65" i="2"/>
  <c r="DT127" i="2"/>
  <c r="DT139" i="2"/>
  <c r="DT120" i="2"/>
  <c r="DT67" i="2"/>
  <c r="DT122" i="2"/>
  <c r="DT66" i="2"/>
  <c r="DT31" i="2"/>
  <c r="DT164" i="2"/>
  <c r="DT124" i="2"/>
  <c r="DT114" i="2"/>
  <c r="DT52" i="2"/>
  <c r="DT48" i="2"/>
  <c r="DT192" i="2"/>
  <c r="DT14" i="2"/>
  <c r="DT78" i="2"/>
  <c r="DT133" i="2"/>
  <c r="DT40" i="2"/>
  <c r="DT173" i="2"/>
  <c r="DT106" i="2"/>
  <c r="DT172" i="2"/>
  <c r="DT111" i="2"/>
  <c r="DT23" i="2"/>
  <c r="DT25" i="2"/>
  <c r="DT70" i="2"/>
  <c r="DT49" i="2"/>
  <c r="DT197" i="2"/>
  <c r="DT28" i="2"/>
  <c r="DT142" i="2"/>
  <c r="DT83" i="2"/>
  <c r="DT105" i="2"/>
  <c r="DT118" i="2"/>
  <c r="DT180" i="2"/>
  <c r="DT140" i="2"/>
  <c r="DT92" i="2"/>
  <c r="DT35" i="2"/>
  <c r="DT153" i="2"/>
  <c r="DT68" i="2"/>
  <c r="DT130" i="2"/>
  <c r="DT88" i="2"/>
  <c r="DT135" i="2"/>
  <c r="DT160" i="2"/>
  <c r="DT200" i="2"/>
  <c r="DT137" i="2"/>
  <c r="DT203" i="2"/>
  <c r="DT138" i="2"/>
  <c r="DT8" i="2"/>
  <c r="DT13" i="2"/>
  <c r="DT151" i="2"/>
  <c r="DT202" i="2"/>
  <c r="DT196" i="2"/>
  <c r="DT17" i="2"/>
  <c r="DT155" i="2"/>
  <c r="DT115" i="2"/>
  <c r="DT178" i="2"/>
  <c r="DT143" i="2"/>
  <c r="DT18" i="2"/>
  <c r="DT187" i="2"/>
  <c r="DT112" i="2"/>
  <c r="DT44" i="2"/>
  <c r="DT80" i="2"/>
  <c r="DT77" i="2"/>
  <c r="DT30" i="2"/>
  <c r="DT34" i="2"/>
  <c r="DT89" i="2"/>
  <c r="DT21" i="2"/>
  <c r="DT75" i="2"/>
  <c r="DT161" i="2"/>
  <c r="DT194" i="2"/>
  <c r="DT107" i="2"/>
  <c r="DT12" i="2"/>
  <c r="DT3" i="2"/>
  <c r="C11" i="4" s="1"/>
  <c r="E11" i="4" s="1"/>
  <c r="F11" i="4" s="1"/>
  <c r="G11" i="4" s="1"/>
  <c r="L11" i="4" s="1"/>
  <c r="DT29" i="2"/>
  <c r="CD60" i="2"/>
  <c r="CD171" i="2"/>
  <c r="CD16" i="2"/>
  <c r="CD97" i="2"/>
  <c r="CD113" i="2"/>
  <c r="CD184" i="2"/>
  <c r="CD78" i="2"/>
  <c r="CD114" i="2"/>
  <c r="CD23" i="2"/>
  <c r="CD121" i="2"/>
  <c r="CD195" i="2"/>
  <c r="CD163" i="2"/>
  <c r="CD106" i="2"/>
  <c r="CD194" i="2"/>
  <c r="CD158" i="2"/>
  <c r="CD130" i="2"/>
  <c r="CD142" i="2"/>
  <c r="CD94" i="2"/>
  <c r="CD144" i="2"/>
  <c r="CD123" i="2"/>
  <c r="CD61" i="2"/>
  <c r="CD3" i="2"/>
  <c r="C9" i="4" s="1"/>
  <c r="E9" i="4" s="1"/>
  <c r="F9" i="4" s="1"/>
  <c r="G9" i="4" s="1"/>
  <c r="L9" i="4" s="1"/>
  <c r="CD8" i="2"/>
  <c r="CD104" i="2"/>
  <c r="CD90" i="2"/>
  <c r="CD39" i="2"/>
  <c r="CD48" i="2"/>
  <c r="CD56" i="2"/>
  <c r="CD19" i="2"/>
  <c r="CD185" i="2"/>
  <c r="CD188" i="2"/>
  <c r="CD120" i="2"/>
  <c r="CD179" i="2"/>
  <c r="CD132" i="2"/>
  <c r="CD200" i="2"/>
  <c r="CD45" i="2"/>
  <c r="CD172" i="2"/>
  <c r="CD160" i="2"/>
  <c r="CD84" i="2"/>
  <c r="CD110" i="2"/>
  <c r="CD162" i="2"/>
  <c r="CD27" i="2"/>
  <c r="CD118" i="2"/>
  <c r="CD25" i="2"/>
  <c r="CD29" i="2"/>
  <c r="CD133" i="2"/>
  <c r="CD181" i="2"/>
  <c r="CD86" i="2"/>
  <c r="CD7" i="2"/>
  <c r="CD77" i="2"/>
  <c r="CD12" i="2"/>
  <c r="CD157" i="2"/>
  <c r="CD51" i="2"/>
  <c r="CD71" i="2"/>
  <c r="CD196" i="2"/>
  <c r="CD44" i="2"/>
  <c r="CD46" i="2"/>
  <c r="CD82" i="2"/>
  <c r="CD139" i="2"/>
  <c r="CD64" i="2"/>
  <c r="CD129" i="2"/>
  <c r="CD99" i="2"/>
  <c r="CD108" i="2"/>
  <c r="CD55" i="2"/>
  <c r="CD189" i="2"/>
  <c r="CD156" i="2"/>
  <c r="CD140" i="2"/>
  <c r="CD111" i="2"/>
  <c r="CD38" i="2"/>
  <c r="CD54" i="2"/>
  <c r="CD155" i="2"/>
  <c r="CD89" i="2"/>
  <c r="CD93" i="2"/>
  <c r="CD116" i="2"/>
  <c r="CD202" i="2"/>
  <c r="CD187" i="2"/>
  <c r="CD24" i="2"/>
  <c r="CD36" i="2"/>
  <c r="CD59" i="2"/>
  <c r="CD76" i="2"/>
  <c r="CD10" i="2"/>
  <c r="CD119" i="2"/>
  <c r="CD80" i="2"/>
  <c r="CD62" i="2"/>
  <c r="CD186" i="2"/>
  <c r="CD13" i="2"/>
  <c r="CD68" i="2"/>
  <c r="CD83" i="2"/>
  <c r="CD50" i="2"/>
  <c r="CD146" i="2"/>
  <c r="CD145" i="2"/>
  <c r="CD203" i="2"/>
  <c r="CD75" i="2"/>
  <c r="CD11" i="2"/>
  <c r="CD128" i="2"/>
  <c r="CD26" i="2"/>
  <c r="CD18" i="2"/>
  <c r="CD100" i="2"/>
  <c r="CD81" i="2"/>
  <c r="CD63" i="2"/>
  <c r="CD141" i="2"/>
  <c r="CD125" i="2"/>
  <c r="CD28" i="2"/>
  <c r="CD67" i="2"/>
  <c r="CD35" i="2"/>
  <c r="CD69" i="2"/>
  <c r="CD175" i="2"/>
  <c r="CD41" i="2"/>
  <c r="CD112" i="2"/>
  <c r="CD183" i="2"/>
  <c r="CD115" i="2"/>
  <c r="CD191" i="2"/>
  <c r="CD105" i="2"/>
  <c r="CD73" i="2"/>
  <c r="CD153" i="2"/>
  <c r="CD122" i="2"/>
  <c r="CD150" i="2"/>
  <c r="CD143" i="2"/>
  <c r="CD136" i="2"/>
  <c r="CD182" i="2"/>
  <c r="CD135" i="2"/>
  <c r="CD147" i="2"/>
  <c r="CD53" i="2"/>
  <c r="CD161" i="2"/>
  <c r="CD137" i="2"/>
  <c r="CD165" i="2"/>
  <c r="CD151" i="2"/>
  <c r="CD79" i="2"/>
  <c r="CD178" i="2"/>
  <c r="CD47" i="2"/>
  <c r="CD14" i="2"/>
  <c r="CD20" i="2"/>
  <c r="CD166" i="2"/>
  <c r="CD124" i="2"/>
  <c r="CD70" i="2"/>
  <c r="CD87" i="2"/>
  <c r="CD32" i="2"/>
  <c r="CD180" i="2"/>
  <c r="CD49" i="2"/>
  <c r="CD91" i="2"/>
  <c r="CD149" i="2"/>
  <c r="CD95" i="2"/>
  <c r="CD74" i="2"/>
  <c r="CD30" i="2"/>
  <c r="CD109" i="2"/>
  <c r="CD190" i="2"/>
  <c r="CD65" i="2"/>
  <c r="CD127" i="2"/>
  <c r="CD5" i="2"/>
  <c r="CD42" i="2"/>
  <c r="CD131" i="2"/>
  <c r="CD164" i="2"/>
  <c r="CD9" i="2"/>
  <c r="CD152" i="2"/>
  <c r="CD52" i="2"/>
  <c r="CD192" i="2"/>
  <c r="CD117" i="2"/>
  <c r="CD148" i="2"/>
  <c r="CD17" i="2"/>
  <c r="CD22" i="2"/>
  <c r="CD57" i="2"/>
  <c r="CD31" i="2"/>
  <c r="CD88" i="2"/>
  <c r="CD174" i="2"/>
  <c r="CD198" i="2"/>
  <c r="CD167" i="2"/>
  <c r="CD170" i="2"/>
  <c r="CD173" i="2"/>
  <c r="CD107" i="2"/>
  <c r="CD201" i="2"/>
  <c r="CD134" i="2"/>
  <c r="CD85" i="2"/>
  <c r="CD169" i="2"/>
  <c r="CD168" i="2"/>
  <c r="CD4" i="2"/>
  <c r="CD102" i="2"/>
  <c r="CD34" i="2"/>
  <c r="CD199" i="2"/>
  <c r="CD176" i="2"/>
  <c r="CD40" i="2"/>
  <c r="CD96" i="2"/>
  <c r="CD154" i="2"/>
  <c r="CD193" i="2"/>
  <c r="CD43" i="2"/>
  <c r="CD98" i="2"/>
  <c r="CD58" i="2"/>
  <c r="CD138" i="2"/>
  <c r="CD103" i="2"/>
  <c r="CD92" i="2"/>
  <c r="CD37" i="2"/>
  <c r="CD159" i="2"/>
  <c r="CD101" i="2"/>
  <c r="CD197" i="2"/>
  <c r="CD6" i="2"/>
  <c r="CD126" i="2"/>
  <c r="CD72" i="2"/>
  <c r="CD177" i="2"/>
  <c r="CD33" i="2"/>
  <c r="CD21" i="2"/>
  <c r="CD66" i="2"/>
  <c r="CD15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<sst xmlns="http://schemas.openxmlformats.org/spreadsheetml/2006/main" count="1173" uniqueCount="324">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</sst>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032512"/>
        <c:axId val="-1828030880"/>
      </c:scatterChart>
      <c:valAx>
        <c:axId val="-1828032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030880"/>
        <c:crosses val="autoZero"/>
        <c:crossBetween val="midCat"/>
      </c:valAx>
      <c:valAx>
        <c:axId val="-182803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032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8200144"/>
        <c:axId val="-1878199600"/>
      </c:scatterChart>
      <c:valAx>
        <c:axId val="-1878200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9600"/>
        <c:crosses val="autoZero"/>
        <c:crossBetween val="midCat"/>
      </c:valAx>
      <c:valAx>
        <c:axId val="-187819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20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106.595922899923</c:v>
                </c:pt>
                <c:pt idx="22">
                  <c:v>126.66372945155246</c:v>
                </c:pt>
                <c:pt idx="23">
                  <c:v>146.65432993091889</c:v>
                </c:pt>
                <c:pt idx="24">
                  <c:v>166.57974956981329</c:v>
                </c:pt>
                <c:pt idx="25">
                  <c:v>186.44889028681465</c:v>
                </c:pt>
                <c:pt idx="26">
                  <c:v>205.47668575959185</c:v>
                </c:pt>
                <c:pt idx="27">
                  <c:v>224.46374350828043</c:v>
                </c:pt>
                <c:pt idx="28">
                  <c:v>243.41399447605218</c:v>
                </c:pt>
                <c:pt idx="29">
                  <c:v>262.33070707949565</c:v>
                </c:pt>
                <c:pt idx="30">
                  <c:v>281.21663963435122</c:v>
                </c:pt>
                <c:pt idx="31">
                  <c:v>209.87882372311779</c:v>
                </c:pt>
                <c:pt idx="32">
                  <c:v>226.92928209637023</c:v>
                </c:pt>
                <c:pt idx="33">
                  <c:v>243.95041558309245</c:v>
                </c:pt>
                <c:pt idx="34">
                  <c:v>260.94455828531221</c:v>
                </c:pt>
                <c:pt idx="35">
                  <c:v>277.91371532173889</c:v>
                </c:pt>
                <c:pt idx="36">
                  <c:v>292.75438923139654</c:v>
                </c:pt>
                <c:pt idx="37">
                  <c:v>307.5782714772098</c:v>
                </c:pt>
                <c:pt idx="38">
                  <c:v>322.38628533250755</c:v>
                </c:pt>
                <c:pt idx="39">
                  <c:v>337.17926231862225</c:v>
                </c:pt>
                <c:pt idx="40">
                  <c:v>351.95795503306766</c:v>
                </c:pt>
                <c:pt idx="41">
                  <c:v>276.96986127985076</c:v>
                </c:pt>
                <c:pt idx="42">
                  <c:v>289.86306359345843</c:v>
                </c:pt>
                <c:pt idx="43">
                  <c:v>302.74345277160899</c:v>
                </c:pt>
                <c:pt idx="44">
                  <c:v>315.61165089864329</c:v>
                </c:pt>
                <c:pt idx="45">
                  <c:v>328.46822517413688</c:v>
                </c:pt>
                <c:pt idx="46">
                  <c:v>339.62247001500663</c:v>
                </c:pt>
                <c:pt idx="47">
                  <c:v>350.7686571294899</c:v>
                </c:pt>
                <c:pt idx="48">
                  <c:v>361.90707874377085</c:v>
                </c:pt>
                <c:pt idx="49">
                  <c:v>373.03800762204258</c:v>
                </c:pt>
                <c:pt idx="50">
                  <c:v>384.16169891713162</c:v>
                </c:pt>
                <c:pt idx="51">
                  <c:v>333.82704752096635</c:v>
                </c:pt>
                <c:pt idx="52">
                  <c:v>343.41181011684756</c:v>
                </c:pt>
                <c:pt idx="53">
                  <c:v>352.99069486894427</c:v>
                </c:pt>
                <c:pt idx="54">
                  <c:v>362.56388385830974</c:v>
                </c:pt>
                <c:pt idx="55">
                  <c:v>372.13154876074583</c:v>
                </c:pt>
                <c:pt idx="56">
                  <c:v>380.19423086102802</c:v>
                </c:pt>
                <c:pt idx="57">
                  <c:v>388.25319368287614</c:v>
                </c:pt>
                <c:pt idx="58">
                  <c:v>396.30852536623382</c:v>
                </c:pt>
                <c:pt idx="59">
                  <c:v>404.36031017336609</c:v>
                </c:pt>
                <c:pt idx="60">
                  <c:v>412.40862873496354</c:v>
                </c:pt>
                <c:pt idx="61">
                  <c:v>379.85054964335399</c:v>
                </c:pt>
                <c:pt idx="62">
                  <c:v>386.62920156078945</c:v>
                </c:pt>
                <c:pt idx="63">
                  <c:v>393.40527244934259</c:v>
                </c:pt>
                <c:pt idx="64">
                  <c:v>400.17881307294584</c:v>
                </c:pt>
                <c:pt idx="65">
                  <c:v>406.94987233545288</c:v>
                </c:pt>
                <c:pt idx="66">
                  <c:v>412.8140738490336</c:v>
                </c:pt>
                <c:pt idx="67">
                  <c:v>418.6764779546981</c:v>
                </c:pt>
                <c:pt idx="68">
                  <c:v>424.53711339270086</c:v>
                </c:pt>
                <c:pt idx="69">
                  <c:v>430.39600804438186</c:v>
                </c:pt>
                <c:pt idx="70">
                  <c:v>436.25318896943878</c:v>
                </c:pt>
                <c:pt idx="71">
                  <c:v>408.97759393697305</c:v>
                </c:pt>
                <c:pt idx="72">
                  <c:v>414.2798422447338</c:v>
                </c:pt>
                <c:pt idx="73">
                  <c:v>419.58062680583197</c:v>
                </c:pt>
                <c:pt idx="74">
                  <c:v>424.87996873918178</c:v>
                </c:pt>
                <c:pt idx="75">
                  <c:v>430.17788859341562</c:v>
                </c:pt>
                <c:pt idx="76">
                  <c:v>434.82020588115535</c:v>
                </c:pt>
                <c:pt idx="77">
                  <c:v>439.46145923224771</c:v>
                </c:pt>
                <c:pt idx="78">
                  <c:v>444.10166147950622</c:v>
                </c:pt>
                <c:pt idx="79">
                  <c:v>448.74082516544513</c:v>
                </c:pt>
                <c:pt idx="80">
                  <c:v>453.3789625518466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029792"/>
        <c:axId val="-1828029248"/>
      </c:scatterChart>
      <c:valAx>
        <c:axId val="-1828029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029248"/>
        <c:crosses val="autoZero"/>
        <c:crossBetween val="midCat"/>
      </c:valAx>
      <c:valAx>
        <c:axId val="-182802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02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028704"/>
        <c:axId val="-1828028160"/>
      </c:scatterChart>
      <c:valAx>
        <c:axId val="-1828028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028160"/>
        <c:crosses val="autoZero"/>
        <c:crossBetween val="midCat"/>
      </c:valAx>
      <c:valAx>
        <c:axId val="-182802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028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188.43805162103794</c:v>
                </c:pt>
                <c:pt idx="12">
                  <c:v>209.5635422593634</c:v>
                </c:pt>
                <c:pt idx="13">
                  <c:v>230.63988637237389</c:v>
                </c:pt>
                <c:pt idx="14">
                  <c:v>251.67220666437959</c:v>
                </c:pt>
                <c:pt idx="15">
                  <c:v>272.6646989766358</c:v>
                </c:pt>
                <c:pt idx="16">
                  <c:v>292.06972985560304</c:v>
                </c:pt>
                <c:pt idx="17">
                  <c:v>311.445977545365</c:v>
                </c:pt>
                <c:pt idx="18">
                  <c:v>330.79548404889391</c:v>
                </c:pt>
                <c:pt idx="19">
                  <c:v>350.1200330013915</c:v>
                </c:pt>
                <c:pt idx="20">
                  <c:v>369.42119511414558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355.91277070439509</c:v>
                </c:pt>
                <c:pt idx="27">
                  <c:v>369.42119511414558</c:v>
                </c:pt>
                <c:pt idx="28">
                  <c:v>382.9188457551441</c:v>
                </c:pt>
                <c:pt idx="29">
                  <c:v>396.40615590256044</c:v>
                </c:pt>
                <c:pt idx="30">
                  <c:v>409.88352694182049</c:v>
                </c:pt>
                <c:pt idx="31">
                  <c:v>382.14783395214198</c:v>
                </c:pt>
                <c:pt idx="32">
                  <c:v>392.93895526469396</c:v>
                </c:pt>
                <c:pt idx="33">
                  <c:v>403.72365187948748</c:v>
                </c:pt>
                <c:pt idx="34">
                  <c:v>414.50211965810939</c:v>
                </c:pt>
                <c:pt idx="35">
                  <c:v>425.27454344239959</c:v>
                </c:pt>
                <c:pt idx="36">
                  <c:v>434.88781420496633</c:v>
                </c:pt>
                <c:pt idx="37">
                  <c:v>444.49652417922852</c:v>
                </c:pt>
                <c:pt idx="38">
                  <c:v>454.10078588624373</c:v>
                </c:pt>
                <c:pt idx="39">
                  <c:v>463.70070669781398</c:v>
                </c:pt>
                <c:pt idx="40">
                  <c:v>473.29638917614938</c:v>
                </c:pt>
                <c:pt idx="41">
                  <c:v>482.88793138455003</c:v>
                </c:pt>
                <c:pt idx="42">
                  <c:v>492.47542717211553</c:v>
                </c:pt>
                <c:pt idx="43">
                  <c:v>502.05896643512551</c:v>
                </c:pt>
                <c:pt idx="44">
                  <c:v>511.63863535742729</c:v>
                </c:pt>
                <c:pt idx="45">
                  <c:v>521.21451663187679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8034688"/>
        <c:axId val="-1828034144"/>
      </c:scatterChart>
      <c:valAx>
        <c:axId val="-1828034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034144"/>
        <c:crosses val="autoZero"/>
        <c:crossBetween val="midCat"/>
      </c:valAx>
      <c:valAx>
        <c:axId val="-182803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8034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8197424"/>
        <c:axId val="-1878195248"/>
      </c:scatterChart>
      <c:valAx>
        <c:axId val="-1878197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5248"/>
        <c:crosses val="autoZero"/>
        <c:crossBetween val="midCat"/>
      </c:valAx>
      <c:valAx>
        <c:axId val="-187819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7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8197968"/>
        <c:axId val="-1878194704"/>
      </c:scatterChart>
      <c:valAx>
        <c:axId val="-1878197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4704"/>
        <c:crosses val="autoZero"/>
        <c:crossBetween val="midCat"/>
      </c:valAx>
      <c:valAx>
        <c:axId val="-187819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7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8193616"/>
        <c:axId val="-1878196880"/>
      </c:scatterChart>
      <c:valAx>
        <c:axId val="-1878193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6880"/>
        <c:crosses val="autoZero"/>
        <c:crossBetween val="midCat"/>
      </c:valAx>
      <c:valAx>
        <c:axId val="-187819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3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8196336"/>
        <c:axId val="-1878195792"/>
      </c:scatterChart>
      <c:valAx>
        <c:axId val="-1878196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5792"/>
        <c:crosses val="autoZero"/>
        <c:crossBetween val="midCat"/>
      </c:valAx>
      <c:valAx>
        <c:axId val="-187819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6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8194160"/>
        <c:axId val="-1878193072"/>
      </c:scatterChart>
      <c:valAx>
        <c:axId val="-1878194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3072"/>
        <c:crosses val="autoZero"/>
        <c:crossBetween val="midCat"/>
      </c:valAx>
      <c:valAx>
        <c:axId val="-18781930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8194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25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25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25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25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25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25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2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25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25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25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25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25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25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25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25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25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25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5" t="s">
        <v>192</v>
      </c>
      <c r="C3" s="296"/>
      <c r="D3" s="296"/>
      <c r="E3" s="296"/>
      <c r="F3" s="297"/>
      <c r="G3" s="92"/>
      <c r="I3" s="225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4"/>
      <c r="B4" s="94"/>
      <c r="C4" s="94"/>
      <c r="D4" s="94"/>
      <c r="E4" s="94"/>
      <c r="F4" s="94"/>
      <c r="G4" s="235"/>
      <c r="I4" s="225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1" t="s">
        <v>231</v>
      </c>
      <c r="B5" s="301"/>
      <c r="C5" s="26">
        <v>1.68</v>
      </c>
      <c r="D5" s="302" t="s">
        <v>229</v>
      </c>
      <c r="E5" s="303"/>
      <c r="F5" s="94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5"/>
      <c r="B6" s="95"/>
      <c r="C6" s="96"/>
      <c r="D6" s="90"/>
      <c r="E6" s="90"/>
      <c r="F6" s="29"/>
      <c r="G6" s="237"/>
      <c r="H6" s="238"/>
      <c r="I6" s="238"/>
      <c r="J6" s="245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6.25" x14ac:dyDescent="0.25">
      <c r="A7" s="299" t="s">
        <v>226</v>
      </c>
      <c r="B7" s="299"/>
      <c r="C7" s="94"/>
      <c r="D7" s="94"/>
      <c r="E7" s="5"/>
      <c r="F7" s="94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23</v>
      </c>
      <c r="C9" s="35">
        <v>0.25</v>
      </c>
      <c r="D9" s="36">
        <f t="shared" ref="D9:D18" si="0">C9*$C$5</f>
        <v>0.42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</v>
      </c>
      <c r="C10" s="35">
        <v>0.25</v>
      </c>
      <c r="D10" s="36">
        <f t="shared" si="0"/>
        <v>0.42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29</v>
      </c>
      <c r="C11" s="35">
        <v>0.25</v>
      </c>
      <c r="D11" s="36">
        <f t="shared" si="0"/>
        <v>0.42</v>
      </c>
      <c r="E11" s="37">
        <v>69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44</v>
      </c>
      <c r="C12" s="35">
        <v>0.25</v>
      </c>
      <c r="D12" s="36">
        <f t="shared" si="0"/>
        <v>0.42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7"/>
      <c r="B19" s="39" t="s">
        <v>175</v>
      </c>
      <c r="C19" s="40">
        <f>SUM(C9:C18)</f>
        <v>1</v>
      </c>
      <c r="D19" s="41">
        <f>SUM(D9:D18)</f>
        <v>1.68</v>
      </c>
      <c r="E19" s="5"/>
      <c r="F19" s="98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7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8" t="s">
        <v>232</v>
      </c>
      <c r="B22" s="298"/>
      <c r="C22" s="96"/>
      <c r="H22" s="227"/>
      <c r="I22" s="245"/>
      <c r="J22" s="245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25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99"/>
      <c r="F26" s="99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0" t="s">
        <v>227</v>
      </c>
      <c r="B30" s="300"/>
      <c r="D30" s="247"/>
      <c r="H30" s="245"/>
      <c r="I30" s="245"/>
      <c r="J30" s="245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25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Erable sycomore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1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1">
        <f>22.3+15.1</f>
        <v>37.4</v>
      </c>
      <c r="C36" s="61"/>
      <c r="D36" s="61"/>
      <c r="E36" s="54"/>
      <c r="F36" s="54"/>
      <c r="G36" s="54"/>
      <c r="H36" s="54"/>
      <c r="I36" s="52">
        <f>IFERROR(B36/A36,"")</f>
        <v>2.4933333333333332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1">
        <f>52+15.1+28</f>
        <v>95.1</v>
      </c>
      <c r="C37" s="61">
        <v>1</v>
      </c>
      <c r="D37" s="61">
        <f>15.1+28</f>
        <v>43.1</v>
      </c>
      <c r="E37" s="54"/>
      <c r="F37" s="54"/>
      <c r="G37" s="54"/>
      <c r="H37" s="54">
        <v>1</v>
      </c>
      <c r="I37" s="56">
        <f t="shared" ref="I37:I55" si="1">IF(A37&lt;&gt;0,(B37-(B36-D36))/(A37-A36),"")</f>
        <v>11.54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1">
        <f>86.5+28</f>
        <v>114.5</v>
      </c>
      <c r="C38" s="61"/>
      <c r="D38" s="61"/>
      <c r="E38" s="54"/>
      <c r="F38" s="54"/>
      <c r="G38" s="54"/>
      <c r="H38" s="54"/>
      <c r="I38" s="56">
        <f t="shared" si="1"/>
        <v>12.500000000000002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1">
        <f>118.5+28+28</f>
        <v>174.5</v>
      </c>
      <c r="C39" s="61">
        <v>2</v>
      </c>
      <c r="D39" s="61">
        <f>28+28</f>
        <v>56</v>
      </c>
      <c r="E39" s="54"/>
      <c r="F39" s="54"/>
      <c r="G39" s="54"/>
      <c r="H39" s="54">
        <v>1</v>
      </c>
      <c r="I39" s="52">
        <f t="shared" si="1"/>
        <v>12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1">
        <f>144.4+28</f>
        <v>172.4</v>
      </c>
      <c r="C40" s="61"/>
      <c r="D40" s="61"/>
      <c r="E40" s="54"/>
      <c r="F40" s="54"/>
      <c r="G40" s="54"/>
      <c r="H40" s="54"/>
      <c r="I40" s="52">
        <f t="shared" si="1"/>
        <v>10.780000000000001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1">
        <f>163.6+28+28</f>
        <v>219.6</v>
      </c>
      <c r="C41" s="61">
        <v>3</v>
      </c>
      <c r="D41" s="61">
        <f>28+28</f>
        <v>56</v>
      </c>
      <c r="E41" s="54"/>
      <c r="F41" s="54"/>
      <c r="G41" s="54"/>
      <c r="H41" s="54"/>
      <c r="I41" s="56">
        <f t="shared" si="1"/>
        <v>9.4399999999999977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1">
        <f>182.8+21.8</f>
        <v>204.60000000000002</v>
      </c>
      <c r="C42" s="61"/>
      <c r="D42" s="61"/>
      <c r="E42" s="54"/>
      <c r="F42" s="54"/>
      <c r="G42" s="54"/>
      <c r="H42" s="54"/>
      <c r="I42" s="56">
        <f t="shared" si="1"/>
        <v>8.2000000000000064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0">
        <v>50</v>
      </c>
      <c r="B43" s="61">
        <f>201.9+21.8+16.5</f>
        <v>240.20000000000002</v>
      </c>
      <c r="C43" s="61">
        <v>4</v>
      </c>
      <c r="D43" s="61">
        <f>21.8+16.5</f>
        <v>38.299999999999997</v>
      </c>
      <c r="E43" s="54"/>
      <c r="F43" s="54"/>
      <c r="G43" s="54"/>
      <c r="H43" s="54"/>
      <c r="I43" s="52">
        <f t="shared" si="1"/>
        <v>7.1199999999999992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0">
        <v>55</v>
      </c>
      <c r="B44" s="61">
        <f>219.1+13.4</f>
        <v>232.5</v>
      </c>
      <c r="C44" s="61"/>
      <c r="D44" s="61"/>
      <c r="E44" s="54"/>
      <c r="F44" s="54"/>
      <c r="G44" s="54"/>
      <c r="H44" s="54"/>
      <c r="I44" s="52">
        <f t="shared" si="1"/>
        <v>6.119999999999993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0">
        <v>60</v>
      </c>
      <c r="B45" s="61">
        <f>233.1+13.4+11.8</f>
        <v>258.3</v>
      </c>
      <c r="C45" s="61">
        <v>5</v>
      </c>
      <c r="D45" s="61">
        <f>13.4+11.8</f>
        <v>25.200000000000003</v>
      </c>
      <c r="E45" s="54"/>
      <c r="F45" s="54"/>
      <c r="G45" s="54"/>
      <c r="H45" s="54"/>
      <c r="I45" s="52">
        <f t="shared" si="1"/>
        <v>5.1600000000000019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0">
        <v>65</v>
      </c>
      <c r="B46" s="61">
        <f>243.9+10.9</f>
        <v>254.8</v>
      </c>
      <c r="C46" s="61"/>
      <c r="D46" s="61"/>
      <c r="E46" s="54"/>
      <c r="F46" s="54"/>
      <c r="G46" s="54"/>
      <c r="H46" s="54"/>
      <c r="I46" s="52">
        <f t="shared" si="1"/>
        <v>4.3399999999999981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0">
        <v>70</v>
      </c>
      <c r="B47" s="61">
        <f>252.7+10.9+10</f>
        <v>273.59999999999997</v>
      </c>
      <c r="C47" s="61">
        <v>6</v>
      </c>
      <c r="D47" s="61">
        <f>10.9+10</f>
        <v>20.9</v>
      </c>
      <c r="E47" s="54"/>
      <c r="F47" s="54"/>
      <c r="G47" s="54"/>
      <c r="H47" s="54"/>
      <c r="I47" s="52">
        <f t="shared" si="1"/>
        <v>3.7599999999999909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0">
        <v>75</v>
      </c>
      <c r="B48" s="61">
        <f>260.6+9.1</f>
        <v>269.70000000000005</v>
      </c>
      <c r="C48" s="61"/>
      <c r="D48" s="61"/>
      <c r="E48" s="54"/>
      <c r="F48" s="54"/>
      <c r="G48" s="54"/>
      <c r="H48" s="54"/>
      <c r="I48" s="52">
        <f t="shared" si="1"/>
        <v>3.4000000000000172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0">
        <v>80</v>
      </c>
      <c r="B49" s="61">
        <f>267.3+9.1+8.2</f>
        <v>284.60000000000002</v>
      </c>
      <c r="C49" s="61">
        <v>7</v>
      </c>
      <c r="D49" s="61">
        <f>B49</f>
        <v>284.60000000000002</v>
      </c>
      <c r="E49" s="54"/>
      <c r="F49" s="54"/>
      <c r="G49" s="54"/>
      <c r="H49" s="54"/>
      <c r="I49" s="52">
        <f t="shared" si="1"/>
        <v>2.9799999999999955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0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0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0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0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0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0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Châtaignier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1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f>22.3+15.1</f>
        <v>37.4</v>
      </c>
      <c r="C62" s="61"/>
      <c r="D62" s="61"/>
      <c r="E62" s="54"/>
      <c r="F62" s="54"/>
      <c r="G62" s="54"/>
      <c r="H62" s="54"/>
      <c r="I62" s="56">
        <f>IFERROR(B62/A62,"")</f>
        <v>2.4933333333333332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f>52+15.1+28</f>
        <v>95.1</v>
      </c>
      <c r="C63" s="61">
        <v>1</v>
      </c>
      <c r="D63" s="61">
        <f>15.1+28</f>
        <v>43.1</v>
      </c>
      <c r="E63" s="54"/>
      <c r="F63" s="54"/>
      <c r="G63" s="54"/>
      <c r="H63" s="54">
        <v>1</v>
      </c>
      <c r="I63" s="52">
        <f>IF(A63&lt;&gt;0,(B63-(B62-D62))/(A63-A62),"")</f>
        <v>11.54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f>86.5+28</f>
        <v>114.5</v>
      </c>
      <c r="C64" s="61"/>
      <c r="D64" s="61"/>
      <c r="E64" s="54"/>
      <c r="F64" s="54"/>
      <c r="G64" s="54"/>
      <c r="H64" s="54"/>
      <c r="I64" s="52">
        <f>IF(A64&lt;&gt;0,(B64-(B63-D63))/(A64-A63),"")</f>
        <v>12.500000000000002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f>118.5+28+28</f>
        <v>174.5</v>
      </c>
      <c r="C65" s="61">
        <v>2</v>
      </c>
      <c r="D65" s="61">
        <f>28+28</f>
        <v>56</v>
      </c>
      <c r="E65" s="54"/>
      <c r="F65" s="54"/>
      <c r="G65" s="54"/>
      <c r="H65" s="54">
        <v>1</v>
      </c>
      <c r="I65" s="52">
        <f>IF(A65&lt;&gt;0,(B65-(B64-D64))/(A65-A64),"")</f>
        <v>12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f>144.4+28</f>
        <v>172.4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10.780000000000001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1">
        <f>163.6+28+28</f>
        <v>219.6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9.4399999999999977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1">
        <f>182.8+21.8</f>
        <v>204.60000000000002</v>
      </c>
      <c r="C68" s="61"/>
      <c r="D68" s="61"/>
      <c r="E68" s="54"/>
      <c r="F68" s="54"/>
      <c r="G68" s="54"/>
      <c r="H68" s="54"/>
      <c r="I68" s="52">
        <f t="shared" si="2"/>
        <v>8.2000000000000064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0">
        <v>50</v>
      </c>
      <c r="B69" s="61">
        <f>201.9+21.8+16.5</f>
        <v>240.20000000000002</v>
      </c>
      <c r="C69" s="61">
        <v>4</v>
      </c>
      <c r="D69" s="61">
        <f>21.8+16.5</f>
        <v>38.299999999999997</v>
      </c>
      <c r="E69" s="54"/>
      <c r="F69" s="54"/>
      <c r="G69" s="54"/>
      <c r="H69" s="54"/>
      <c r="I69" s="52">
        <f t="shared" si="2"/>
        <v>7.1199999999999992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0">
        <v>55</v>
      </c>
      <c r="B70" s="61">
        <f>219.1+13.4</f>
        <v>232.5</v>
      </c>
      <c r="C70" s="61"/>
      <c r="D70" s="61"/>
      <c r="E70" s="54"/>
      <c r="F70" s="54"/>
      <c r="G70" s="54"/>
      <c r="H70" s="54"/>
      <c r="I70" s="52">
        <f t="shared" si="2"/>
        <v>6.119999999999993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0">
        <v>60</v>
      </c>
      <c r="B71" s="61">
        <f>233.1+13.4+11.8</f>
        <v>258.3</v>
      </c>
      <c r="C71" s="61">
        <v>5</v>
      </c>
      <c r="D71" s="61">
        <f>13.4+11.8</f>
        <v>25.200000000000003</v>
      </c>
      <c r="E71" s="54"/>
      <c r="F71" s="54"/>
      <c r="G71" s="54"/>
      <c r="H71" s="54"/>
      <c r="I71" s="52">
        <f t="shared" si="2"/>
        <v>5.1600000000000019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0">
        <v>65</v>
      </c>
      <c r="B72" s="61">
        <f>243.9+10.9</f>
        <v>254.8</v>
      </c>
      <c r="C72" s="61"/>
      <c r="D72" s="61"/>
      <c r="E72" s="54"/>
      <c r="F72" s="54"/>
      <c r="G72" s="54"/>
      <c r="H72" s="54"/>
      <c r="I72" s="52">
        <f t="shared" si="2"/>
        <v>4.3399999999999981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0">
        <v>70</v>
      </c>
      <c r="B73" s="61">
        <f>252.7+10.9+10</f>
        <v>273.59999999999997</v>
      </c>
      <c r="C73" s="61">
        <v>6</v>
      </c>
      <c r="D73" s="61">
        <f>10.9+10</f>
        <v>20.9</v>
      </c>
      <c r="E73" s="54"/>
      <c r="F73" s="54"/>
      <c r="G73" s="54"/>
      <c r="H73" s="54"/>
      <c r="I73" s="52">
        <f t="shared" si="2"/>
        <v>3.7599999999999909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0">
        <v>75</v>
      </c>
      <c r="B74" s="61">
        <f>260.6+9.1</f>
        <v>269.70000000000005</v>
      </c>
      <c r="C74" s="61"/>
      <c r="D74" s="61"/>
      <c r="E74" s="54"/>
      <c r="F74" s="54"/>
      <c r="G74" s="54"/>
      <c r="H74" s="54"/>
      <c r="I74" s="52">
        <f t="shared" si="2"/>
        <v>3.4000000000000172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0">
        <v>80</v>
      </c>
      <c r="B75" s="61">
        <f>267.3+9.1+8.2</f>
        <v>284.60000000000002</v>
      </c>
      <c r="C75" s="61">
        <v>7</v>
      </c>
      <c r="D75" s="61">
        <f>B75</f>
        <v>284.60000000000002</v>
      </c>
      <c r="E75" s="54"/>
      <c r="F75" s="54"/>
      <c r="G75" s="54"/>
      <c r="H75" s="54"/>
      <c r="I75" s="52">
        <f t="shared" si="2"/>
        <v>2.9799999999999955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1"/>
      <c r="B76" s="53"/>
      <c r="C76" s="61"/>
      <c r="D76" s="53"/>
      <c r="E76" s="57"/>
      <c r="F76" s="57"/>
      <c r="G76" s="57"/>
      <c r="H76" s="57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Merisier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v>40</v>
      </c>
      <c r="C88" s="61"/>
      <c r="D88" s="61"/>
      <c r="E88" s="54"/>
      <c r="F88" s="54"/>
      <c r="G88" s="54"/>
      <c r="H88" s="54"/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85+3</f>
        <v>88</v>
      </c>
      <c r="C89" s="61">
        <v>1</v>
      </c>
      <c r="D89" s="61">
        <f>3+25</f>
        <v>28</v>
      </c>
      <c r="E89" s="54"/>
      <c r="F89" s="54"/>
      <c r="G89" s="54"/>
      <c r="H89" s="54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v>113</v>
      </c>
      <c r="C90" s="61">
        <v>2</v>
      </c>
      <c r="D90" s="61">
        <v>27</v>
      </c>
      <c r="E90" s="54"/>
      <c r="F90" s="54"/>
      <c r="G90" s="54"/>
      <c r="H90" s="54">
        <v>1</v>
      </c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31</v>
      </c>
      <c r="B91" s="61">
        <v>155</v>
      </c>
      <c r="C91" s="61">
        <v>3</v>
      </c>
      <c r="D91" s="61">
        <v>36</v>
      </c>
      <c r="E91" s="54"/>
      <c r="F91" s="54"/>
      <c r="G91" s="54"/>
      <c r="H91" s="54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37</v>
      </c>
      <c r="B92" s="61">
        <v>188</v>
      </c>
      <c r="C92" s="61">
        <v>4</v>
      </c>
      <c r="D92" s="61">
        <v>36</v>
      </c>
      <c r="E92" s="54"/>
      <c r="F92" s="54"/>
      <c r="G92" s="54"/>
      <c r="H92" s="54"/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44</v>
      </c>
      <c r="B93" s="61">
        <v>230</v>
      </c>
      <c r="C93" s="61">
        <v>5</v>
      </c>
      <c r="D93" s="61">
        <v>43</v>
      </c>
      <c r="E93" s="54"/>
      <c r="F93" s="54"/>
      <c r="G93" s="54"/>
      <c r="H93" s="54"/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1">
        <v>52</v>
      </c>
      <c r="B94" s="61">
        <v>270</v>
      </c>
      <c r="C94" s="61">
        <v>6</v>
      </c>
      <c r="D94" s="61">
        <v>48</v>
      </c>
      <c r="E94" s="54"/>
      <c r="F94" s="54"/>
      <c r="G94" s="54"/>
      <c r="H94" s="54"/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60</v>
      </c>
      <c r="B95" s="61">
        <v>297</v>
      </c>
      <c r="C95" s="61">
        <v>7</v>
      </c>
      <c r="D95" s="61">
        <v>47</v>
      </c>
      <c r="E95" s="54"/>
      <c r="F95" s="54"/>
      <c r="G95" s="54"/>
      <c r="H95" s="54"/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69</v>
      </c>
      <c r="B96" s="61">
        <v>328</v>
      </c>
      <c r="C96" s="61">
        <v>8</v>
      </c>
      <c r="D96" s="61">
        <f>B96</f>
        <v>328</v>
      </c>
      <c r="E96" s="54"/>
      <c r="F96" s="54"/>
      <c r="G96" s="54"/>
      <c r="H96" s="54"/>
      <c r="I96" s="56">
        <f t="shared" si="3"/>
        <v>8.6666666666666661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/>
      <c r="B97" s="61"/>
      <c r="C97" s="61"/>
      <c r="D97" s="61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/>
      <c r="B98" s="61"/>
      <c r="C98" s="61"/>
      <c r="D98" s="61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/>
      <c r="B99" s="61"/>
      <c r="C99" s="61"/>
      <c r="D99" s="61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/>
      <c r="B100" s="61"/>
      <c r="C100" s="61"/>
      <c r="D100" s="61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/>
      <c r="B101" s="61"/>
      <c r="C101" s="61"/>
      <c r="D101" s="61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0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0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0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0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0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0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Robinier faux-acacia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5</v>
      </c>
      <c r="B114" s="61">
        <f>24+4</f>
        <v>28</v>
      </c>
      <c r="C114" s="61"/>
      <c r="D114" s="61"/>
      <c r="E114" s="54"/>
      <c r="F114" s="54"/>
      <c r="G114" s="54"/>
      <c r="H114" s="54"/>
      <c r="I114" s="56">
        <f>IFERROR(B114/A114,"")</f>
        <v>5.6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10</v>
      </c>
      <c r="B115" s="61">
        <f>58+4+21</f>
        <v>83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11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15</v>
      </c>
      <c r="B116" s="61">
        <f>95+4+21+17</f>
        <v>137</v>
      </c>
      <c r="C116" s="61"/>
      <c r="D116" s="61"/>
      <c r="E116" s="54"/>
      <c r="F116" s="54"/>
      <c r="G116" s="54"/>
      <c r="H116" s="54"/>
      <c r="I116" s="56">
        <f t="shared" si="4"/>
        <v>10.8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20</v>
      </c>
      <c r="B117" s="61">
        <f>131+4+21+17+14</f>
        <v>187</v>
      </c>
      <c r="C117" s="61">
        <v>1</v>
      </c>
      <c r="D117" s="61">
        <f>4+21+17+14</f>
        <v>56</v>
      </c>
      <c r="E117" s="54"/>
      <c r="F117" s="54"/>
      <c r="G117" s="54"/>
      <c r="H117" s="54">
        <v>1</v>
      </c>
      <c r="I117" s="56">
        <f t="shared" si="4"/>
        <v>10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25</v>
      </c>
      <c r="B118" s="61">
        <f>162+11</f>
        <v>173</v>
      </c>
      <c r="C118" s="61"/>
      <c r="D118" s="61"/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30</v>
      </c>
      <c r="B119" s="61">
        <f>188+11+9</f>
        <v>208</v>
      </c>
      <c r="C119" s="61">
        <v>2</v>
      </c>
      <c r="D119" s="61">
        <f>11+9</f>
        <v>20</v>
      </c>
      <c r="E119" s="54"/>
      <c r="F119" s="54"/>
      <c r="G119" s="54"/>
      <c r="H119" s="54">
        <v>1</v>
      </c>
      <c r="I119" s="56">
        <f t="shared" si="4"/>
        <v>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35</v>
      </c>
      <c r="B120" s="61">
        <f>209+7</f>
        <v>216</v>
      </c>
      <c r="C120" s="61"/>
      <c r="D120" s="61"/>
      <c r="E120" s="54"/>
      <c r="F120" s="54"/>
      <c r="G120" s="54"/>
      <c r="H120" s="54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40</v>
      </c>
      <c r="B121" s="53">
        <f>228+7+6</f>
        <v>241</v>
      </c>
      <c r="C121" s="53"/>
      <c r="D121" s="53"/>
      <c r="E121" s="54"/>
      <c r="F121" s="54"/>
      <c r="G121" s="54"/>
      <c r="H121" s="54"/>
      <c r="I121" s="56">
        <f t="shared" si="4"/>
        <v>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45</v>
      </c>
      <c r="B122" s="53">
        <f>247+7+6+6</f>
        <v>266</v>
      </c>
      <c r="C122" s="53">
        <v>3</v>
      </c>
      <c r="D122" s="53">
        <f>B122</f>
        <v>266</v>
      </c>
      <c r="E122" s="54"/>
      <c r="F122" s="54"/>
      <c r="G122" s="54"/>
      <c r="H122" s="54"/>
      <c r="I122" s="56">
        <f t="shared" si="4"/>
        <v>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/>
      <c r="B123" s="53"/>
      <c r="C123" s="53"/>
      <c r="D123" s="5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/>
      <c r="B124" s="53"/>
      <c r="C124" s="53"/>
      <c r="D124" s="5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/>
      <c r="B125" s="53"/>
      <c r="C125" s="53"/>
      <c r="D125" s="5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/>
      <c r="B126" s="53"/>
      <c r="C126" s="53"/>
      <c r="D126" s="5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/>
      <c r="B127" s="53"/>
      <c r="C127" s="53"/>
      <c r="D127" s="5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1"/>
      <c r="C140" s="61"/>
      <c r="D140" s="61"/>
      <c r="E140" s="54"/>
      <c r="F140" s="54"/>
      <c r="G140" s="54"/>
      <c r="H140" s="54"/>
      <c r="I140" s="59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1"/>
      <c r="C141" s="61"/>
      <c r="D141" s="61"/>
      <c r="E141" s="54"/>
      <c r="F141" s="54"/>
      <c r="G141" s="54"/>
      <c r="H141" s="54"/>
      <c r="I141" s="59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1"/>
      <c r="C142" s="61"/>
      <c r="D142" s="61"/>
      <c r="E142" s="54"/>
      <c r="F142" s="54"/>
      <c r="G142" s="54"/>
      <c r="H142" s="54"/>
      <c r="I142" s="59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1"/>
      <c r="C143" s="61"/>
      <c r="D143" s="61"/>
      <c r="E143" s="54"/>
      <c r="F143" s="54"/>
      <c r="G143" s="54"/>
      <c r="H143" s="54"/>
      <c r="I143" s="59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1"/>
      <c r="C144" s="61"/>
      <c r="D144" s="61"/>
      <c r="E144" s="54"/>
      <c r="F144" s="54"/>
      <c r="G144" s="54"/>
      <c r="H144" s="54"/>
      <c r="I144" s="59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1"/>
      <c r="C145" s="61"/>
      <c r="D145" s="61"/>
      <c r="E145" s="54"/>
      <c r="F145" s="54"/>
      <c r="G145" s="54"/>
      <c r="H145" s="54"/>
      <c r="I145" s="59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1"/>
      <c r="C146" s="61"/>
      <c r="D146" s="61"/>
      <c r="E146" s="54"/>
      <c r="F146" s="54"/>
      <c r="G146" s="54"/>
      <c r="H146" s="54"/>
      <c r="I146" s="59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53"/>
      <c r="C147" s="53"/>
      <c r="D147" s="53"/>
      <c r="E147" s="54"/>
      <c r="F147" s="54"/>
      <c r="G147" s="54"/>
      <c r="H147" s="54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53"/>
      <c r="C148" s="53"/>
      <c r="D148" s="53"/>
      <c r="E148" s="54"/>
      <c r="F148" s="54"/>
      <c r="G148" s="54"/>
      <c r="H148" s="54"/>
      <c r="I148" s="59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53"/>
      <c r="C149" s="53"/>
      <c r="D149" s="53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53"/>
      <c r="C150" s="53"/>
      <c r="D150" s="53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53"/>
      <c r="C151" s="53"/>
      <c r="D151" s="53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53"/>
      <c r="C152" s="53"/>
      <c r="D152" s="53"/>
      <c r="E152" s="54"/>
      <c r="F152" s="54"/>
      <c r="G152" s="54"/>
      <c r="H152" s="54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53"/>
      <c r="C153" s="53"/>
      <c r="D153" s="53"/>
      <c r="E153" s="54"/>
      <c r="F153" s="54"/>
      <c r="G153" s="54"/>
      <c r="H153" s="54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/>
      <c r="B154" s="53"/>
      <c r="C154" s="53"/>
      <c r="D154" s="53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53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53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53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53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53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53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53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61"/>
      <c r="C199" s="53"/>
      <c r="D199" s="61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61"/>
      <c r="C200" s="53"/>
      <c r="D200" s="61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61"/>
      <c r="C201" s="53"/>
      <c r="D201" s="61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61"/>
      <c r="C202" s="53"/>
      <c r="D202" s="61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61"/>
      <c r="C203" s="53"/>
      <c r="D203" s="61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61"/>
      <c r="C204" s="53"/>
      <c r="D204" s="61"/>
      <c r="E204" s="57"/>
      <c r="F204" s="57"/>
      <c r="G204" s="57"/>
      <c r="H204" s="57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1"/>
      <c r="B205" s="61"/>
      <c r="C205" s="61"/>
      <c r="D205" s="61"/>
      <c r="E205" s="66"/>
      <c r="F205" s="66"/>
      <c r="G205" s="66"/>
      <c r="H205" s="66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1"/>
      <c r="B206" s="53"/>
      <c r="C206" s="61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280"/>
      <c r="B225" s="61"/>
      <c r="C225" s="61"/>
      <c r="D225" s="61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280"/>
      <c r="B226" s="61"/>
      <c r="C226" s="61"/>
      <c r="D226" s="61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280"/>
      <c r="B227" s="61"/>
      <c r="C227" s="61"/>
      <c r="D227" s="61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280"/>
      <c r="B228" s="61"/>
      <c r="C228" s="61"/>
      <c r="D228" s="61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280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280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280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280"/>
      <c r="B232" s="53"/>
      <c r="C232" s="53"/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280"/>
      <c r="B233" s="53"/>
      <c r="C233" s="53"/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280"/>
      <c r="B234" s="53"/>
      <c r="C234" s="53"/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280"/>
      <c r="B235" s="53"/>
      <c r="C235" s="53"/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280"/>
      <c r="B236" s="53"/>
      <c r="C236" s="53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280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/>
      <c r="B251" s="53"/>
      <c r="C251" s="53"/>
      <c r="D251" s="53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/>
      <c r="B252" s="53"/>
      <c r="C252" s="53"/>
      <c r="D252" s="53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1"/>
      <c r="B257" s="61"/>
      <c r="C257" s="91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280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280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280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280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280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280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280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280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280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280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280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280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280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abSelected="1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5"/>
      <c r="B7" s="29" t="s">
        <v>295</v>
      </c>
      <c r="C7" s="106" t="s">
        <v>214</v>
      </c>
      <c r="D7" s="232"/>
      <c r="E7" s="107"/>
      <c r="F7" s="29" t="s">
        <v>295</v>
      </c>
      <c r="G7" s="106" t="s">
        <v>215</v>
      </c>
      <c r="H7" s="233"/>
      <c r="I7" s="233"/>
      <c r="J7" s="233"/>
      <c r="K7" s="233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25">
      <c r="A8" s="111">
        <v>1</v>
      </c>
      <c r="B8" s="62">
        <v>0</v>
      </c>
      <c r="C8" s="52" t="s">
        <v>177</v>
      </c>
      <c r="D8" s="25"/>
      <c r="E8" s="111">
        <v>4</v>
      </c>
      <c r="F8" s="62">
        <v>1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1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3"/>
      <c r="B13" s="113"/>
      <c r="C13" s="104" t="s">
        <v>273</v>
      </c>
      <c r="D13" s="233"/>
      <c r="E13" s="105"/>
      <c r="F13" s="113"/>
      <c r="G13" s="104" t="s">
        <v>301</v>
      </c>
      <c r="H13" s="233"/>
      <c r="I13" s="233"/>
      <c r="J13" s="233"/>
      <c r="K13" s="233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25">
      <c r="A14" s="233"/>
      <c r="B14" s="113"/>
      <c r="C14" s="104" t="s">
        <v>309</v>
      </c>
      <c r="D14" s="233"/>
      <c r="E14" s="105"/>
      <c r="F14" s="113"/>
      <c r="G14" s="104" t="s">
        <v>294</v>
      </c>
      <c r="H14" s="233"/>
      <c r="I14" s="233"/>
      <c r="J14" s="233"/>
      <c r="K14" s="233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2">
        <f>SUM(B16:B18)</f>
        <v>0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Erable sycomore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Châtaignier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Merisier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Robinier faux-acacia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/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238.47463071449789</v>
      </c>
      <c r="T3" s="60">
        <f>IF('Données projet'!E9&gt;30,$R$33-$H$33,LOOKUP('Données projet'!$E$9,$A$3:$A$203,R3:R203)-LOOKUP('Données projet'!$E$9,$A$3:$A$203,$H$3:$H$203))</f>
        <v>270.92950919803718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216.80783650073869</v>
      </c>
      <c r="AO3" s="60">
        <f>IF('Données projet'!E10&gt;30,$AM$33-$H$33,LOOKUP('Données projet'!$E$10,$A$3:$A$203,AM3:AM203)-LOOKUP('Données projet'!$E$10,$A$3:$A$203,$H$3:$H$203))</f>
        <v>247.59561829759309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222.34562513006574</v>
      </c>
      <c r="BJ3" s="60">
        <f>IF('Données projet'!E11&gt;30,$BH$33-$H$33,LOOKUP('Données projet'!$E$11,$A$3:$A$203,BH3:BH203)-LOOKUP('Données projet'!$E$11,$A$3:$A$203,$H$3:$H$203))</f>
        <v>213.19969928771548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274.84847548786672</v>
      </c>
      <c r="CE3" s="60">
        <f>IF('Données projet'!E12&gt;30,$CC$33-$H$33,LOOKUP('Données projet'!$E$12,$A$3:$A$203,CC3:CC203)-LOOKUP('Données projet'!$E$12,$A$3:$A$203,$H$3:$H$203))</f>
        <v>376.2625056050623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0" t="e">
        <f>CW3+(CO3+CP3)*44/12</f>
        <v>#N/A</v>
      </c>
      <c r="CY3" s="60" t="e">
        <f ca="1">AVERAGE(OFFSET($CX$3,0,0,'Données projet'!$E$13+1,1))-AVERAGE(OFFSET($H$3,0,0,'Données projet'!$E$13+1,1))</f>
        <v>#N/A</v>
      </c>
      <c r="CZ3" s="60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8">
        <f t="shared" ref="H4:H67" si="1">(B4+E4+F4)*44/12+(C4+D4)*0.475*44/12</f>
        <v>294.5914728578652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2.4933333333333332</v>
      </c>
      <c r="N4" s="14">
        <f>IF('Données projet'!$A$36&gt;35,N3+M4-V3,IF(A4&lt;'Données projet'!$A$36,$K$205^A4,IF(A4='Données projet'!$A$36,'Données projet'!$B$36,N3+M4-V3)))</f>
        <v>1.2730870686066207</v>
      </c>
      <c r="O4" s="14">
        <f>N4*VLOOKUP('Données projet'!$B$9,Paramètres!$A$1:$I$89,3,0)*VLOOKUP('Données projet'!$B$9,Paramètres!$A$1:$I$89,5,0)</f>
        <v>1.0128680717834275</v>
      </c>
      <c r="P4" s="14">
        <f>EXP(-1.0587+0.8836*LN(O4)+0.284)</f>
        <v>0.46607798613582108</v>
      </c>
      <c r="Q4" s="22">
        <f t="shared" ref="Q4:Q34" si="2">(O4+P4)*0.475*44/12</f>
        <v>2.5758310508760247</v>
      </c>
      <c r="R4" s="60">
        <f t="shared" si="0"/>
        <v>295.90916438420936</v>
      </c>
      <c r="S4" s="60">
        <f ca="1">AVERAGE(OFFSET($R$3,0,0,'Données projet'!$E$9+1,1))-AVERAGE(OFFSET($H$3,0,0,'Données projet'!$E$9+1,1))</f>
        <v>238.47463071449789</v>
      </c>
      <c r="T4" s="60">
        <f>$T$3</f>
        <v>270.92950919803718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2.4933333333333332</v>
      </c>
      <c r="AI4" s="14">
        <f>IF('Données projet'!$A$62&gt;35,AI3+AH4-AQ3,IF(A4&lt;'Données projet'!$A$62,$AF$205^A4,IF(A4='Données projet'!$A$62,'Données projet'!$B$62,AI3+AH4-AQ3)))</f>
        <v>1.2730870686066207</v>
      </c>
      <c r="AJ4" s="14">
        <f>AI4*VLOOKUP('Données projet'!$B$10,Paramètres!$A$1:$I$89,3,0)*VLOOKUP('Données projet'!$B$10,Paramètres!$A$1:$I$89,5,0)</f>
        <v>0.93342743870237421</v>
      </c>
      <c r="AK4" s="14">
        <f>EXP(-1.0587+0.8836*LN(AJ4)+0.284)</f>
        <v>0.43362593613342421</v>
      </c>
      <c r="AL4" s="22">
        <f t="shared" ref="AL4:AL67" si="4">(AJ4+AK4)*0.475*44/12</f>
        <v>2.3809512945056821</v>
      </c>
      <c r="AM4" s="60">
        <f t="shared" ref="AM4:AM67" si="5">AL4+(AD4+AE4)*44/12</f>
        <v>295.71428462783899</v>
      </c>
      <c r="AN4" s="60">
        <f ca="1">AVERAGE(OFFSET($AM$3,0,0,'Données projet'!$E$10+1,1))-AVERAGE(OFFSET($H$3,0,0,'Données projet'!$E$10+1,1))</f>
        <v>216.80783650073869</v>
      </c>
      <c r="AO4" s="60">
        <f>$AO$3</f>
        <v>247.59561829759309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0.99746715073179792</v>
      </c>
      <c r="BF4" s="14">
        <f>EXP(-1.0587+0.8836*LN(BE4)+0.284)</f>
        <v>0.45981048445793882</v>
      </c>
      <c r="BG4" s="22">
        <f t="shared" ref="BG4:BG67" si="7">(BE4+BF4)*0.475*44/12</f>
        <v>2.5380918812887914</v>
      </c>
      <c r="BH4" s="60">
        <f t="shared" ref="BH4:BH67" si="8">BG4+(AY4+AZ4)*44/12</f>
        <v>295.87142521462209</v>
      </c>
      <c r="BI4" s="60">
        <f ca="1">AVERAGE(OFFSET($BH$3,0,0,'Données projet'!$E$11+1,1))-AVERAGE(OFFSET($H$3,0,0,'Données projet'!$E$11+1,1))</f>
        <v>222.34562513006574</v>
      </c>
      <c r="BJ4" s="60">
        <f>$BJ$3</f>
        <v>213.19969928771548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5.6</v>
      </c>
      <c r="BY4" s="13">
        <f>IF('Données projet'!$A$114&gt;35,BY3+BX4-CG3,IF(A4&lt;'Données projet'!$A$114,$BV$205^A4,IF(A4='Données projet'!$A$114,'Données projet'!$B$114,BY3+BX4-CG3)))</f>
        <v>1.9472943612303364</v>
      </c>
      <c r="BZ4" s="14">
        <f>BY4*VLOOKUP('Données projet'!$B$12,Paramètres!$A$1:$I$89,3,0)*VLOOKUP('Données projet'!$B$12,Paramètres!$A$1:$I$89,5,0)</f>
        <v>1.7619119380412083</v>
      </c>
      <c r="CA4" s="14">
        <f>EXP(-1.0587+0.8836*LN(BZ4)+0.284)</f>
        <v>0.76015770586189668</v>
      </c>
      <c r="CB4" s="22">
        <f t="shared" ref="CB4:CB67" si="10">(BZ4+CA4)*0.475*44/12</f>
        <v>4.3926046297979076</v>
      </c>
      <c r="CC4" s="60">
        <f t="shared" ref="CC4:CC67" si="11">CB4+(BT4+BU4)*44/12</f>
        <v>297.72593796313123</v>
      </c>
      <c r="CD4" s="60">
        <f ca="1">AVERAGE(OFFSET($CC$3,0,0,'Données projet'!$E$12+1,1))-AVERAGE(OFFSET($H$3,0,0,'Données projet'!$E$12+1,1))</f>
        <v>274.84847548786672</v>
      </c>
      <c r="CE4" s="60">
        <f>$CE$3</f>
        <v>376.2625056050623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0" t="e">
        <f t="shared" ref="CX4:CX67" si="14">CW4+(CO4+CP4)*44/12</f>
        <v>#N/A</v>
      </c>
      <c r="CY4" s="60" t="e">
        <f ca="1">AVERAGE(OFFSET($CX$3,0,0,'Données projet'!$E$13+1,1))-AVERAGE(OFFSET($H$3,0,0,'Données projet'!$E$13+1,1))</f>
        <v>#N/A</v>
      </c>
      <c r="CZ4" s="60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8">
        <f t="shared" si="1"/>
        <v>295.78443952307919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2.4933333333333332</v>
      </c>
      <c r="N5" s="14">
        <f>IF('Données projet'!$A$36&gt;35,N4+M5-V4,IF(A5&lt;'Données projet'!$A$36,$K$205^A5,IF(A5='Données projet'!$A$36,'Données projet'!$B$36,N4+M5-V4)))</f>
        <v>1.6207506842533985</v>
      </c>
      <c r="O5" s="14">
        <f>N5*VLOOKUP('Données projet'!$B$9,Paramètres!$A$1:$I$89,3,0)*VLOOKUP('Données projet'!$B$9,Paramètres!$A$1:$I$89,5,0)</f>
        <v>1.2894692443920039</v>
      </c>
      <c r="P5" s="14">
        <f t="shared" ref="P5:P68" si="33">EXP(-1.0587+0.8836*LN(O5)+0.284)</f>
        <v>0.57691418040252707</v>
      </c>
      <c r="Q5" s="22">
        <f t="shared" si="2"/>
        <v>3.2506177981838085</v>
      </c>
      <c r="R5" s="60">
        <f t="shared" si="0"/>
        <v>296.5839511315171</v>
      </c>
      <c r="S5" s="60">
        <f ca="1">AVERAGE(OFFSET($R$3,0,0,'Données projet'!$E$9+1,1))-AVERAGE(OFFSET($H$3,0,0,'Données projet'!$E$9+1,1))</f>
        <v>238.47463071449789</v>
      </c>
      <c r="T5" s="60">
        <f t="shared" ref="T5:T68" si="34">$T$3</f>
        <v>270.92950919803718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2.4933333333333332</v>
      </c>
      <c r="AI5" s="14">
        <f>IF('Données projet'!$A$62&gt;35,AI4+AH5-AQ4,IF(A5&lt;'Données projet'!$A$62,$AF$205^A5,IF(A5='Données projet'!$A$62,'Données projet'!$B$62,AI4+AH5-AQ4)))</f>
        <v>1.6207506842533985</v>
      </c>
      <c r="AJ5" s="14">
        <f>AI5*VLOOKUP('Données projet'!$B$10,Paramètres!$A$1:$I$89,3,0)*VLOOKUP('Données projet'!$B$10,Paramètres!$A$1:$I$89,5,0)</f>
        <v>1.1883344016945918</v>
      </c>
      <c r="AK5" s="14">
        <f t="shared" ref="AK5:AK68" si="35">EXP(-1.0587+0.8836*LN(AJ5)+0.284)</f>
        <v>0.5367448345281679</v>
      </c>
      <c r="AL5" s="22">
        <f t="shared" si="4"/>
        <v>3.0045130030879732</v>
      </c>
      <c r="AM5" s="60">
        <f t="shared" si="5"/>
        <v>296.33784633642131</v>
      </c>
      <c r="AN5" s="60">
        <f ca="1">AVERAGE(OFFSET($AM$3,0,0,'Données projet'!$E$10+1,1))-AVERAGE(OFFSET($H$3,0,0,'Données projet'!$E$10+1,1))</f>
        <v>216.80783650073869</v>
      </c>
      <c r="AO5" s="60">
        <f t="shared" ref="AO5:AO68" si="36">$AO$3</f>
        <v>247.59561829759309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1.2755650215243732</v>
      </c>
      <c r="BF5" s="14">
        <f t="shared" ref="BF5:BF68" si="37">EXP(-1.0587+0.8836*LN(BE5)+0.284)</f>
        <v>0.57141400910743001</v>
      </c>
      <c r="BG5" s="22">
        <f t="shared" si="7"/>
        <v>3.2168218116837237</v>
      </c>
      <c r="BH5" s="60">
        <f t="shared" si="8"/>
        <v>296.55015514501702</v>
      </c>
      <c r="BI5" s="60">
        <f ca="1">AVERAGE(OFFSET($BH$3,0,0,'Données projet'!$E$11+1,1))-AVERAGE(OFFSET($H$3,0,0,'Données projet'!$E$11+1,1))</f>
        <v>222.34562513006574</v>
      </c>
      <c r="BJ5" s="60">
        <f t="shared" ref="BJ5:BJ68" si="38">$BJ$3</f>
        <v>213.19969928771548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5.6</v>
      </c>
      <c r="BY5" s="13">
        <f>IF('Données projet'!$A$114&gt;35,BY4+BX5-CG4,IF(A5&lt;'Données projet'!$A$114,$BV$205^A5,IF(A5='Données projet'!$A$114,'Données projet'!$B$114,BY4+BX5-CG4)))</f>
        <v>3.7919553292794639</v>
      </c>
      <c r="BZ5" s="14">
        <f>BY5*VLOOKUP('Données projet'!$B$12,Paramètres!$A$1:$I$89,3,0)*VLOOKUP('Données projet'!$B$12,Paramètres!$A$1:$I$89,5,0)</f>
        <v>3.4309611819320587</v>
      </c>
      <c r="CA5" s="14">
        <f t="shared" ref="CA5:CA68" si="39">EXP(-1.0587+0.8836*LN(BZ5)+0.284)</f>
        <v>1.3697631223860498</v>
      </c>
      <c r="CB5" s="22">
        <f t="shared" si="10"/>
        <v>8.3612614966873711</v>
      </c>
      <c r="CC5" s="60">
        <f t="shared" si="11"/>
        <v>301.69459483002066</v>
      </c>
      <c r="CD5" s="60">
        <f ca="1">AVERAGE(OFFSET($CC$3,0,0,'Données projet'!$E$12+1,1))-AVERAGE(OFFSET($H$3,0,0,'Données projet'!$E$12+1,1))</f>
        <v>274.84847548786672</v>
      </c>
      <c r="CE5" s="60">
        <f t="shared" ref="CE5:CE68" si="40">$CE$3</f>
        <v>376.2625056050623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0" t="e">
        <f t="shared" si="14"/>
        <v>#N/A</v>
      </c>
      <c r="CY5" s="60" t="e">
        <f ca="1">AVERAGE(OFFSET($CX$3,0,0,'Données projet'!$E$13+1,1))-AVERAGE(OFFSET($H$3,0,0,'Données projet'!$E$13+1,1))</f>
        <v>#N/A</v>
      </c>
      <c r="CZ5" s="60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8">
        <f t="shared" si="1"/>
        <v>296.95635862620634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2.4933333333333332</v>
      </c>
      <c r="N6" s="14">
        <f>IF('Données projet'!$A$36&gt;35,N5+M6-V5,IF(A6&lt;'Données projet'!$A$36,$K$205^A6,IF(A6='Données projet'!$A$36,'Données projet'!$B$36,N5+M6-V5)))</f>
        <v>2.0633567375583337</v>
      </c>
      <c r="O6" s="14">
        <f>N6*VLOOKUP('Données projet'!$B$9,Paramètres!$A$1:$I$89,3,0)*VLOOKUP('Données projet'!$B$9,Paramètres!$A$1:$I$89,5,0)</f>
        <v>1.6416066204014104</v>
      </c>
      <c r="P6" s="14">
        <f t="shared" si="33"/>
        <v>0.71410789921437878</v>
      </c>
      <c r="Q6" s="22">
        <f t="shared" si="2"/>
        <v>4.1028694549974993</v>
      </c>
      <c r="R6" s="60">
        <f t="shared" si="0"/>
        <v>297.43620278833083</v>
      </c>
      <c r="S6" s="60">
        <f ca="1">AVERAGE(OFFSET($R$3,0,0,'Données projet'!$E$9+1,1))-AVERAGE(OFFSET($H$3,0,0,'Données projet'!$E$9+1,1))</f>
        <v>238.47463071449789</v>
      </c>
      <c r="T6" s="60">
        <f t="shared" si="34"/>
        <v>270.92950919803718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2.4933333333333332</v>
      </c>
      <c r="AI6" s="14">
        <f>IF('Données projet'!$A$62&gt;35,AI5+AH6-AQ5,IF(A6&lt;'Données projet'!$A$62,$AF$205^A6,IF(A6='Données projet'!$A$62,'Données projet'!$B$62,AI5+AH6-AQ5)))</f>
        <v>2.0633567375583337</v>
      </c>
      <c r="AJ6" s="14">
        <f>AI6*VLOOKUP('Données projet'!$B$10,Paramètres!$A$1:$I$89,3,0)*VLOOKUP('Données projet'!$B$10,Paramètres!$A$1:$I$89,5,0)</f>
        <v>1.5128531599777704</v>
      </c>
      <c r="AK6" s="14">
        <f t="shared" si="35"/>
        <v>0.66438603733339674</v>
      </c>
      <c r="AL6" s="22">
        <f t="shared" si="4"/>
        <v>3.7920249353169493</v>
      </c>
      <c r="AM6" s="60">
        <f t="shared" si="5"/>
        <v>297.12535826865025</v>
      </c>
      <c r="AN6" s="60">
        <f ca="1">AVERAGE(OFFSET($AM$3,0,0,'Données projet'!$E$10+1,1))-AVERAGE(OFFSET($H$3,0,0,'Données projet'!$E$10+1,1))</f>
        <v>216.80783650073869</v>
      </c>
      <c r="AO6" s="60">
        <f t="shared" si="36"/>
        <v>247.59561829759309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1.6311977020423858</v>
      </c>
      <c r="BF6" s="14">
        <f t="shared" si="37"/>
        <v>0.71010553443370616</v>
      </c>
      <c r="BG6" s="22">
        <f t="shared" si="7"/>
        <v>4.0777698035291934</v>
      </c>
      <c r="BH6" s="60">
        <f t="shared" si="8"/>
        <v>297.41110313686249</v>
      </c>
      <c r="BI6" s="60">
        <f ca="1">AVERAGE(OFFSET($BH$3,0,0,'Données projet'!$E$11+1,1))-AVERAGE(OFFSET($H$3,0,0,'Données projet'!$E$11+1,1))</f>
        <v>222.34562513006574</v>
      </c>
      <c r="BJ6" s="60">
        <f t="shared" si="38"/>
        <v>213.19969928771548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5.6</v>
      </c>
      <c r="BY6" s="13">
        <f>IF('Données projet'!$A$114&gt;35,BY5+BX6-CG5,IF(A6&lt;'Données projet'!$A$114,$BV$205^A6,IF(A6='Données projet'!$A$114,'Données projet'!$B$114,BY5+BX6-CG5)))</f>
        <v>7.3840532307432234</v>
      </c>
      <c r="BZ6" s="14">
        <f>BY6*VLOOKUP('Données projet'!$B$12,Paramètres!$A$1:$I$89,3,0)*VLOOKUP('Données projet'!$B$12,Paramètres!$A$1:$I$89,5,0)</f>
        <v>6.6810913631764679</v>
      </c>
      <c r="CA6" s="14">
        <f t="shared" si="39"/>
        <v>2.4682391521919964</v>
      </c>
      <c r="CB6" s="22">
        <f t="shared" si="10"/>
        <v>15.935083980933408</v>
      </c>
      <c r="CC6" s="60">
        <f t="shared" si="11"/>
        <v>309.26841731426674</v>
      </c>
      <c r="CD6" s="60">
        <f ca="1">AVERAGE(OFFSET($CC$3,0,0,'Données projet'!$E$12+1,1))-AVERAGE(OFFSET($H$3,0,0,'Données projet'!$E$12+1,1))</f>
        <v>274.84847548786672</v>
      </c>
      <c r="CE6" s="60">
        <f t="shared" si="40"/>
        <v>376.2625056050623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0" t="e">
        <f t="shared" si="14"/>
        <v>#N/A</v>
      </c>
      <c r="CY6" s="60" t="e">
        <f ca="1">AVERAGE(OFFSET($CX$3,0,0,'Données projet'!$E$13+1,1))-AVERAGE(OFFSET($H$3,0,0,'Données projet'!$E$13+1,1))</f>
        <v>#N/A</v>
      </c>
      <c r="CZ6" s="60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8">
        <f t="shared" si="1"/>
        <v>298.11530352234041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2.4933333333333332</v>
      </c>
      <c r="N7" s="14">
        <f>IF('Données projet'!$A$36&gt;35,N6+M7-V6,IF(A7&lt;'Données projet'!$A$36,$K$205^A7,IF(A7='Données projet'!$A$36,'Données projet'!$B$36,N6+M7-V6)))</f>
        <v>2.6268327805078595</v>
      </c>
      <c r="O7" s="14">
        <f>N7*VLOOKUP('Données projet'!$B$9,Paramètres!$A$1:$I$89,3,0)*VLOOKUP('Données projet'!$B$9,Paramètres!$A$1:$I$89,5,0)</f>
        <v>2.0899081601720533</v>
      </c>
      <c r="P7" s="14">
        <f t="shared" si="33"/>
        <v>0.88392712303339283</v>
      </c>
      <c r="Q7" s="22">
        <f t="shared" si="2"/>
        <v>5.1794297849161515</v>
      </c>
      <c r="R7" s="60">
        <f t="shared" si="0"/>
        <v>298.51276311824944</v>
      </c>
      <c r="S7" s="60">
        <f ca="1">AVERAGE(OFFSET($R$3,0,0,'Données projet'!$E$9+1,1))-AVERAGE(OFFSET($H$3,0,0,'Données projet'!$E$9+1,1))</f>
        <v>238.47463071449789</v>
      </c>
      <c r="T7" s="60">
        <f t="shared" si="34"/>
        <v>270.92950919803718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2.4933333333333332</v>
      </c>
      <c r="AI7" s="14">
        <f>IF('Données projet'!$A$62&gt;35,AI6+AH7-AQ6,IF(A7&lt;'Données projet'!$A$62,$AF$205^A7,IF(A7='Données projet'!$A$62,'Données projet'!$B$62,AI6+AH7-AQ6)))</f>
        <v>2.6268327805078595</v>
      </c>
      <c r="AJ7" s="14">
        <f>AI7*VLOOKUP('Données projet'!$B$10,Paramètres!$A$1:$I$89,3,0)*VLOOKUP('Données projet'!$B$10,Paramètres!$A$1:$I$89,5,0)</f>
        <v>1.9259937946683627</v>
      </c>
      <c r="AK7" s="14">
        <f t="shared" si="35"/>
        <v>0.82238109844429064</v>
      </c>
      <c r="AL7" s="22">
        <f t="shared" si="4"/>
        <v>4.7867529388378705</v>
      </c>
      <c r="AM7" s="60">
        <f t="shared" si="5"/>
        <v>298.12008627217119</v>
      </c>
      <c r="AN7" s="60">
        <f ca="1">AVERAGE(OFFSET($AM$3,0,0,'Données projet'!$E$10+1,1))-AVERAGE(OFFSET($H$3,0,0,'Données projet'!$E$10+1,1))</f>
        <v>216.80783650073869</v>
      </c>
      <c r="AO7" s="60">
        <f t="shared" si="36"/>
        <v>247.59561829759309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2.0859822104313781</v>
      </c>
      <c r="BF7" s="14">
        <f t="shared" si="37"/>
        <v>0.88245976121767966</v>
      </c>
      <c r="BG7" s="22">
        <f t="shared" si="7"/>
        <v>5.1700364339554419</v>
      </c>
      <c r="BH7" s="60">
        <f t="shared" si="8"/>
        <v>298.50336976728875</v>
      </c>
      <c r="BI7" s="60">
        <f ca="1">AVERAGE(OFFSET($BH$3,0,0,'Données projet'!$E$11+1,1))-AVERAGE(OFFSET($H$3,0,0,'Données projet'!$E$11+1,1))</f>
        <v>222.34562513006574</v>
      </c>
      <c r="BJ7" s="60">
        <f t="shared" si="38"/>
        <v>213.19969928771548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5.6</v>
      </c>
      <c r="BY7" s="13">
        <f>IF('Données projet'!$A$114&gt;35,BY6+BX7-CG6,IF(A7&lt;'Données projet'!$A$114,$BV$205^A7,IF(A7='Données projet'!$A$114,'Données projet'!$B$114,BY6+BX7-CG6)))</f>
        <v>14.378925219250927</v>
      </c>
      <c r="BZ7" s="14">
        <f>BY7*VLOOKUP('Données projet'!$B$12,Paramètres!$A$1:$I$89,3,0)*VLOOKUP('Données projet'!$B$12,Paramètres!$A$1:$I$89,5,0)</f>
        <v>13.010051538378239</v>
      </c>
      <c r="CA7" s="14">
        <f t="shared" si="39"/>
        <v>4.4476336184326453</v>
      </c>
      <c r="CB7" s="22">
        <f t="shared" si="10"/>
        <v>30.405468314778947</v>
      </c>
      <c r="CC7" s="60">
        <f t="shared" si="11"/>
        <v>323.73880164811226</v>
      </c>
      <c r="CD7" s="60">
        <f ca="1">AVERAGE(OFFSET($CC$3,0,0,'Données projet'!$E$12+1,1))-AVERAGE(OFFSET($H$3,0,0,'Données projet'!$E$12+1,1))</f>
        <v>274.84847548786672</v>
      </c>
      <c r="CE7" s="60">
        <f t="shared" si="40"/>
        <v>376.2625056050623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0" t="e">
        <f t="shared" si="14"/>
        <v>#N/A</v>
      </c>
      <c r="CY7" s="60" t="e">
        <f ca="1">AVERAGE(OFFSET($CX$3,0,0,'Données projet'!$E$13+1,1))-AVERAGE(OFFSET($H$3,0,0,'Données projet'!$E$13+1,1))</f>
        <v>#N/A</v>
      </c>
      <c r="CZ7" s="60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8">
        <f t="shared" si="1"/>
        <v>299.26493332067207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2.4933333333333332</v>
      </c>
      <c r="N8" s="14">
        <f>IF('Données projet'!$A$36&gt;35,N7+M8-V7,IF(A8&lt;'Données projet'!$A$36,$K$205^A8,IF(A8='Données projet'!$A$36,'Données projet'!$B$36,N7+M8-V7)))</f>
        <v>3.3441868442565297</v>
      </c>
      <c r="O8" s="14">
        <f>N8*VLOOKUP('Données projet'!$B$9,Paramètres!$A$1:$I$89,3,0)*VLOOKUP('Données projet'!$B$9,Paramètres!$A$1:$I$89,5,0)</f>
        <v>2.6606350532904952</v>
      </c>
      <c r="P8" s="14">
        <f t="shared" si="33"/>
        <v>1.0941303963920053</v>
      </c>
      <c r="Q8" s="22">
        <f t="shared" si="2"/>
        <v>6.5395498248636885</v>
      </c>
      <c r="R8" s="60">
        <f t="shared" si="0"/>
        <v>299.872883158197</v>
      </c>
      <c r="S8" s="60">
        <f ca="1">AVERAGE(OFFSET($R$3,0,0,'Données projet'!$E$9+1,1))-AVERAGE(OFFSET($H$3,0,0,'Données projet'!$E$9+1,1))</f>
        <v>238.47463071449789</v>
      </c>
      <c r="T8" s="60">
        <f t="shared" si="34"/>
        <v>270.92950919803718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2.4933333333333332</v>
      </c>
      <c r="AI8" s="14">
        <f>IF('Données projet'!$A$62&gt;35,AI7+AH8-AQ7,IF(A8&lt;'Données projet'!$A$62,$AF$205^A8,IF(A8='Données projet'!$A$62,'Données projet'!$B$62,AI7+AH8-AQ7)))</f>
        <v>3.3441868442565297</v>
      </c>
      <c r="AJ8" s="14">
        <f>AI8*VLOOKUP('Données projet'!$B$10,Paramètres!$A$1:$I$89,3,0)*VLOOKUP('Données projet'!$B$10,Paramètres!$A$1:$I$89,5,0)</f>
        <v>2.4519577942088877</v>
      </c>
      <c r="AK8" s="14">
        <f t="shared" si="35"/>
        <v>1.017948350920953</v>
      </c>
      <c r="AL8" s="22">
        <f t="shared" si="4"/>
        <v>6.0434198694344721</v>
      </c>
      <c r="AM8" s="60">
        <f t="shared" si="5"/>
        <v>299.37675320276776</v>
      </c>
      <c r="AN8" s="60">
        <f ca="1">AVERAGE(OFFSET($AM$3,0,0,'Données projet'!$E$10+1,1))-AVERAGE(OFFSET($H$3,0,0,'Données projet'!$E$10+1,1))</f>
        <v>216.80783650073869</v>
      </c>
      <c r="AO8" s="60">
        <f t="shared" si="36"/>
        <v>247.59561829759309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2.6675624768156463</v>
      </c>
      <c r="BF8" s="14">
        <f t="shared" si="37"/>
        <v>1.0966471776471767</v>
      </c>
      <c r="BG8" s="22">
        <f t="shared" si="7"/>
        <v>6.5559984815227494</v>
      </c>
      <c r="BH8" s="60">
        <f t="shared" si="8"/>
        <v>299.88933181485606</v>
      </c>
      <c r="BI8" s="60">
        <f ca="1">AVERAGE(OFFSET($BH$3,0,0,'Données projet'!$E$11+1,1))-AVERAGE(OFFSET($H$3,0,0,'Données projet'!$E$11+1,1))</f>
        <v>222.34562513006574</v>
      </c>
      <c r="BJ8" s="60">
        <f t="shared" si="38"/>
        <v>213.19969928771548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>
        <f>VLOOKUP(A8,'Données projet'!$A$113:$I$133,2,0)</f>
        <v>28</v>
      </c>
      <c r="BW8" s="13">
        <f>VLOOKUP(A8,'Données projet'!$A$113:$I$133,9,0)</f>
        <v>5.6</v>
      </c>
      <c r="BX8" s="13">
        <f t="array" ref="BX8">INDEX(BW:BW,MIN(IF(ISNUMBER(BW8:BW204),ROW(BW8:BW204),"")))</f>
        <v>5.6</v>
      </c>
      <c r="BY8" s="13">
        <f>IF('Données projet'!$A$114&gt;35,BY7+BX8-CG7,IF(A8&lt;'Données projet'!$A$114,$BV$205^A8,IF(A8='Données projet'!$A$114,'Données projet'!$B$114,BY7+BX8-CG7)))</f>
        <v>28</v>
      </c>
      <c r="BZ8" s="14">
        <f>BY8*VLOOKUP('Données projet'!$B$12,Paramètres!$A$1:$I$89,3,0)*VLOOKUP('Données projet'!$B$12,Paramètres!$A$1:$I$89,5,0)</f>
        <v>25.334399999999999</v>
      </c>
      <c r="CA8" s="14">
        <f t="shared" si="39"/>
        <v>8.0143955200794572</v>
      </c>
      <c r="CB8" s="22">
        <f t="shared" si="10"/>
        <v>58.082485530805052</v>
      </c>
      <c r="CC8" s="60">
        <f t="shared" si="11"/>
        <v>351.41581886413837</v>
      </c>
      <c r="CD8" s="60">
        <f ca="1">AVERAGE(OFFSET($CC$3,0,0,'Données projet'!$E$12+1,1))-AVERAGE(OFFSET($H$3,0,0,'Données projet'!$E$12+1,1))</f>
        <v>274.84847548786672</v>
      </c>
      <c r="CE8" s="60">
        <f t="shared" si="40"/>
        <v>376.2625056050623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0" t="e">
        <f t="shared" si="14"/>
        <v>#N/A</v>
      </c>
      <c r="CY8" s="60" t="e">
        <f ca="1">AVERAGE(OFFSET($CX$3,0,0,'Données projet'!$E$13+1,1))-AVERAGE(OFFSET($H$3,0,0,'Données projet'!$E$13+1,1))</f>
        <v>#N/A</v>
      </c>
      <c r="CZ8" s="60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8">
        <f t="shared" si="1"/>
        <v>300.40733532985558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2.4933333333333332</v>
      </c>
      <c r="N9" s="14">
        <f>IF('Données projet'!$A$36&gt;35,N8+M9-V8,IF(A9&lt;'Données projet'!$A$36,$K$205^A9,IF(A9='Données projet'!$A$36,'Données projet'!$B$36,N8+M9-V8)))</f>
        <v>4.2574410264273705</v>
      </c>
      <c r="O9" s="14">
        <f>N9*VLOOKUP('Données projet'!$B$9,Paramètres!$A$1:$I$89,3,0)*VLOOKUP('Données projet'!$B$9,Paramètres!$A$1:$I$89,5,0)</f>
        <v>3.3872200806256161</v>
      </c>
      <c r="P9" s="14">
        <f t="shared" si="33"/>
        <v>1.3543212931409303</v>
      </c>
      <c r="Q9" s="22">
        <f t="shared" si="2"/>
        <v>8.2581845593100685</v>
      </c>
      <c r="R9" s="60">
        <f t="shared" si="0"/>
        <v>301.59151789264337</v>
      </c>
      <c r="S9" s="60">
        <f ca="1">AVERAGE(OFFSET($R$3,0,0,'Données projet'!$E$9+1,1))-AVERAGE(OFFSET($H$3,0,0,'Données projet'!$E$9+1,1))</f>
        <v>238.47463071449789</v>
      </c>
      <c r="T9" s="60">
        <f t="shared" si="34"/>
        <v>270.92950919803718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2.4933333333333332</v>
      </c>
      <c r="AI9" s="14">
        <f>IF('Données projet'!$A$62&gt;35,AI8+AH9-AQ8,IF(A9&lt;'Données projet'!$A$62,$AF$205^A9,IF(A9='Données projet'!$A$62,'Données projet'!$B$62,AI8+AH9-AQ8)))</f>
        <v>4.2574410264273705</v>
      </c>
      <c r="AJ9" s="14">
        <f>AI9*VLOOKUP('Données projet'!$B$10,Paramètres!$A$1:$I$89,3,0)*VLOOKUP('Données projet'!$B$10,Paramètres!$A$1:$I$89,5,0)</f>
        <v>3.1215557605765478</v>
      </c>
      <c r="AK9" s="14">
        <f t="shared" si="35"/>
        <v>1.2600226915512978</v>
      </c>
      <c r="AL9" s="22">
        <f t="shared" si="4"/>
        <v>7.6312491374559963</v>
      </c>
      <c r="AM9" s="60">
        <f t="shared" si="5"/>
        <v>300.96458247078931</v>
      </c>
      <c r="AN9" s="60">
        <f ca="1">AVERAGE(OFFSET($AM$3,0,0,'Données projet'!$E$10+1,1))-AVERAGE(OFFSET($H$3,0,0,'Données projet'!$E$10+1,1))</f>
        <v>216.80783650073869</v>
      </c>
      <c r="AO9" s="60">
        <f t="shared" si="36"/>
        <v>247.59561829759309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3.4112896707030256</v>
      </c>
      <c r="BF9" s="14">
        <f t="shared" si="37"/>
        <v>1.3628213830192535</v>
      </c>
      <c r="BG9" s="22">
        <f t="shared" si="7"/>
        <v>8.3149100852329703</v>
      </c>
      <c r="BH9" s="60">
        <f t="shared" si="8"/>
        <v>301.64824341856627</v>
      </c>
      <c r="BI9" s="60">
        <f ca="1">AVERAGE(OFFSET($BH$3,0,0,'Données projet'!$E$11+1,1))-AVERAGE(OFFSET($H$3,0,0,'Données projet'!$E$11+1,1))</f>
        <v>222.34562513006574</v>
      </c>
      <c r="BJ9" s="60">
        <f t="shared" si="38"/>
        <v>213.19969928771548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</v>
      </c>
      <c r="BY9" s="13">
        <f>IF('Données projet'!$A$114&gt;35,BY8+BX9-CG8,IF(A9&lt;'Données projet'!$A$114,$BV$205^A9,IF(A9='Données projet'!$A$114,'Données projet'!$B$114,BY8+BX9-CG8)))</f>
        <v>39</v>
      </c>
      <c r="BZ9" s="14">
        <f>BY9*VLOOKUP('Données projet'!$B$12,Paramètres!$A$1:$I$89,3,0)*VLOOKUP('Données projet'!$B$12,Paramètres!$A$1:$I$89,5,0)</f>
        <v>35.287199999999999</v>
      </c>
      <c r="CA9" s="14">
        <f t="shared" si="39"/>
        <v>10.740552489323523</v>
      </c>
      <c r="CB9" s="22">
        <f t="shared" si="10"/>
        <v>80.165002252238452</v>
      </c>
      <c r="CC9" s="60">
        <f t="shared" si="11"/>
        <v>373.49833558557179</v>
      </c>
      <c r="CD9" s="60">
        <f ca="1">AVERAGE(OFFSET($CC$3,0,0,'Données projet'!$E$12+1,1))-AVERAGE(OFFSET($H$3,0,0,'Données projet'!$E$12+1,1))</f>
        <v>274.84847548786672</v>
      </c>
      <c r="CE9" s="60">
        <f t="shared" si="40"/>
        <v>376.2625056050623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0" t="e">
        <f t="shared" si="14"/>
        <v>#N/A</v>
      </c>
      <c r="CY9" s="60" t="e">
        <f ca="1">AVERAGE(OFFSET($CX$3,0,0,'Données projet'!$E$13+1,1))-AVERAGE(OFFSET($H$3,0,0,'Données projet'!$E$13+1,1))</f>
        <v>#N/A</v>
      </c>
      <c r="CZ9" s="60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8">
        <f t="shared" si="1"/>
        <v>301.54385515707349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2.4933333333333332</v>
      </c>
      <c r="N10" s="14">
        <f>IF('Données projet'!$A$36&gt;35,N9+M10-V9,IF(A10&lt;'Données projet'!$A$36,$K$205^A10,IF(A10='Données projet'!$A$36,'Données projet'!$B$36,N9+M10-V9)))</f>
        <v>5.4200931160999835</v>
      </c>
      <c r="O10" s="14">
        <f>N10*VLOOKUP('Données projet'!$B$9,Paramètres!$A$1:$I$89,3,0)*VLOOKUP('Données projet'!$B$9,Paramètres!$A$1:$I$89,5,0)</f>
        <v>4.312226083169147</v>
      </c>
      <c r="P10" s="14">
        <f t="shared" si="33"/>
        <v>1.6763871756998234</v>
      </c>
      <c r="Q10" s="22">
        <f t="shared" si="2"/>
        <v>10.430168092530124</v>
      </c>
      <c r="R10" s="60">
        <f t="shared" si="0"/>
        <v>303.76350142586341</v>
      </c>
      <c r="S10" s="60">
        <f ca="1">AVERAGE(OFFSET($R$3,0,0,'Données projet'!$E$9+1,1))-AVERAGE(OFFSET($H$3,0,0,'Données projet'!$E$9+1,1))</f>
        <v>238.47463071449789</v>
      </c>
      <c r="T10" s="60">
        <f t="shared" si="34"/>
        <v>270.92950919803718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2.4933333333333332</v>
      </c>
      <c r="AI10" s="14">
        <f>IF('Données projet'!$A$62&gt;35,AI9+AH10-AQ9,IF(A10&lt;'Données projet'!$A$62,$AF$205^A10,IF(A10='Données projet'!$A$62,'Données projet'!$B$62,AI9+AH10-AQ9)))</f>
        <v>5.4200931160999835</v>
      </c>
      <c r="AJ10" s="14">
        <f>AI10*VLOOKUP('Données projet'!$B$10,Paramètres!$A$1:$I$89,3,0)*VLOOKUP('Données projet'!$B$10,Paramètres!$A$1:$I$89,5,0)</f>
        <v>3.974012272724508</v>
      </c>
      <c r="AK10" s="14">
        <f t="shared" si="35"/>
        <v>1.5596637901989818</v>
      </c>
      <c r="AL10" s="22">
        <f t="shared" si="4"/>
        <v>9.6378191429250784</v>
      </c>
      <c r="AM10" s="60">
        <f t="shared" si="5"/>
        <v>302.9711524762584</v>
      </c>
      <c r="AN10" s="60">
        <f ca="1">AVERAGE(OFFSET($AM$3,0,0,'Données projet'!$E$10+1,1))-AVERAGE(OFFSET($H$3,0,0,'Données projet'!$E$10+1,1))</f>
        <v>216.80783650073869</v>
      </c>
      <c r="AO10" s="60">
        <f t="shared" si="36"/>
        <v>247.59561829759309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4.3623710104576414</v>
      </c>
      <c r="BF10" s="14">
        <f t="shared" si="37"/>
        <v>1.6936004212396314</v>
      </c>
      <c r="BG10" s="22">
        <f t="shared" si="7"/>
        <v>10.54748357687275</v>
      </c>
      <c r="BH10" s="60">
        <f t="shared" si="8"/>
        <v>303.88081691020608</v>
      </c>
      <c r="BI10" s="60">
        <f ca="1">AVERAGE(OFFSET($BH$3,0,0,'Données projet'!$E$11+1,1))-AVERAGE(OFFSET($H$3,0,0,'Données projet'!$E$11+1,1))</f>
        <v>222.34562513006574</v>
      </c>
      <c r="BJ10" s="60">
        <f t="shared" si="38"/>
        <v>213.19969928771548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</v>
      </c>
      <c r="BY10" s="13">
        <f>IF('Données projet'!$A$114&gt;35,BY9+BX10-CG9,IF(A10&lt;'Données projet'!$A$114,$BV$205^A10,IF(A10='Données projet'!$A$114,'Données projet'!$B$114,BY9+BX10-CG9)))</f>
        <v>50</v>
      </c>
      <c r="BZ10" s="14">
        <f>BY10*VLOOKUP('Données projet'!$B$12,Paramètres!$A$1:$I$89,3,0)*VLOOKUP('Données projet'!$B$12,Paramètres!$A$1:$I$89,5,0)</f>
        <v>45.239999999999995</v>
      </c>
      <c r="CA10" s="14">
        <f t="shared" si="39"/>
        <v>13.377403626687906</v>
      </c>
      <c r="CB10" s="22">
        <f t="shared" si="10"/>
        <v>102.09197798314808</v>
      </c>
      <c r="CC10" s="60">
        <f t="shared" si="11"/>
        <v>395.42531131648138</v>
      </c>
      <c r="CD10" s="60">
        <f ca="1">AVERAGE(OFFSET($CC$3,0,0,'Données projet'!$E$12+1,1))-AVERAGE(OFFSET($H$3,0,0,'Données projet'!$E$12+1,1))</f>
        <v>274.84847548786672</v>
      </c>
      <c r="CE10" s="60">
        <f t="shared" si="40"/>
        <v>376.2625056050623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0" t="e">
        <f t="shared" si="14"/>
        <v>#N/A</v>
      </c>
      <c r="CY10" s="60" t="e">
        <f ca="1">AVERAGE(OFFSET($CX$3,0,0,'Données projet'!$E$13+1,1))-AVERAGE(OFFSET($H$3,0,0,'Données projet'!$E$13+1,1))</f>
        <v>#N/A</v>
      </c>
      <c r="CZ10" s="60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8">
        <f t="shared" si="1"/>
        <v>302.675430070853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2.4933333333333332</v>
      </c>
      <c r="N11" s="14">
        <f>IF('Données projet'!$A$36&gt;35,N10+M11-V10,IF(A11&lt;'Données projet'!$A$36,$K$205^A11,IF(A11='Données projet'!$A$36,'Données projet'!$B$36,N10+M11-V10)))</f>
        <v>6.9002504567506522</v>
      </c>
      <c r="O11" s="14">
        <f>N11*VLOOKUP('Données projet'!$B$9,Paramètres!$A$1:$I$89,3,0)*VLOOKUP('Données projet'!$B$9,Paramètres!$A$1:$I$89,5,0)</f>
        <v>5.4898392633908193</v>
      </c>
      <c r="P11" s="14">
        <f t="shared" si="33"/>
        <v>2.0750422939399171</v>
      </c>
      <c r="Q11" s="22">
        <f t="shared" si="2"/>
        <v>13.175502045684366</v>
      </c>
      <c r="R11" s="60">
        <f t="shared" si="0"/>
        <v>306.50883537901768</v>
      </c>
      <c r="S11" s="60">
        <f ca="1">AVERAGE(OFFSET($R$3,0,0,'Données projet'!$E$9+1,1))-AVERAGE(OFFSET($H$3,0,0,'Données projet'!$E$9+1,1))</f>
        <v>238.47463071449789</v>
      </c>
      <c r="T11" s="60">
        <f t="shared" si="34"/>
        <v>270.92950919803718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2.4933333333333332</v>
      </c>
      <c r="AI11" s="14">
        <f>IF('Données projet'!$A$62&gt;35,AI10+AH11-AQ10,IF(A11&lt;'Données projet'!$A$62,$AF$205^A11,IF(A11='Données projet'!$A$62,'Données projet'!$B$62,AI10+AH11-AQ10)))</f>
        <v>6.9002504567506522</v>
      </c>
      <c r="AJ11" s="14">
        <f>AI11*VLOOKUP('Données projet'!$B$10,Paramètres!$A$1:$I$89,3,0)*VLOOKUP('Données projet'!$B$10,Paramètres!$A$1:$I$89,5,0)</f>
        <v>5.0592636348895788</v>
      </c>
      <c r="AK11" s="14">
        <f t="shared" si="35"/>
        <v>1.9305613738296874</v>
      </c>
      <c r="AL11" s="22">
        <f t="shared" si="4"/>
        <v>12.173945223519388</v>
      </c>
      <c r="AM11" s="60">
        <f t="shared" si="5"/>
        <v>305.50727855685273</v>
      </c>
      <c r="AN11" s="60">
        <f ca="1">AVERAGE(OFFSET($AM$3,0,0,'Données projet'!$E$10+1,1))-AVERAGE(OFFSET($H$3,0,0,'Données projet'!$E$10+1,1))</f>
        <v>216.80783650073869</v>
      </c>
      <c r="AO11" s="60">
        <f t="shared" si="36"/>
        <v>247.59561829759309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5.5786176695335605</v>
      </c>
      <c r="BF11" s="14">
        <f t="shared" si="37"/>
        <v>2.1046649418345189</v>
      </c>
      <c r="BG11" s="22">
        <f t="shared" si="7"/>
        <v>13.381717214799407</v>
      </c>
      <c r="BH11" s="60">
        <f t="shared" si="8"/>
        <v>306.71505054813269</v>
      </c>
      <c r="BI11" s="60">
        <f ca="1">AVERAGE(OFFSET($BH$3,0,0,'Données projet'!$E$11+1,1))-AVERAGE(OFFSET($H$3,0,0,'Données projet'!$E$11+1,1))</f>
        <v>222.34562513006574</v>
      </c>
      <c r="BJ11" s="60">
        <f t="shared" si="38"/>
        <v>213.19969928771548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</v>
      </c>
      <c r="BY11" s="13">
        <f>IF('Données projet'!$A$114&gt;35,BY10+BX11-CG10,IF(A11&lt;'Données projet'!$A$114,$BV$205^A11,IF(A11='Données projet'!$A$114,'Données projet'!$B$114,BY10+BX11-CG10)))</f>
        <v>61</v>
      </c>
      <c r="BZ11" s="14">
        <f>BY11*VLOOKUP('Données projet'!$B$12,Paramètres!$A$1:$I$89,3,0)*VLOOKUP('Données projet'!$B$12,Paramètres!$A$1:$I$89,5,0)</f>
        <v>55.192799999999998</v>
      </c>
      <c r="CA11" s="14">
        <f t="shared" si="39"/>
        <v>15.94701406628168</v>
      </c>
      <c r="CB11" s="22">
        <f t="shared" si="10"/>
        <v>123.90184283210725</v>
      </c>
      <c r="CC11" s="60">
        <f t="shared" si="11"/>
        <v>417.23517616544058</v>
      </c>
      <c r="CD11" s="60">
        <f ca="1">AVERAGE(OFFSET($CC$3,0,0,'Données projet'!$E$12+1,1))-AVERAGE(OFFSET($H$3,0,0,'Données projet'!$E$12+1,1))</f>
        <v>274.84847548786672</v>
      </c>
      <c r="CE11" s="60">
        <f t="shared" si="40"/>
        <v>376.2625056050623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0" t="e">
        <f t="shared" si="14"/>
        <v>#N/A</v>
      </c>
      <c r="CY11" s="60" t="e">
        <f ca="1">AVERAGE(OFFSET($CX$3,0,0,'Données projet'!$E$13+1,1))-AVERAGE(OFFSET($H$3,0,0,'Données projet'!$E$13+1,1))</f>
        <v>#N/A</v>
      </c>
      <c r="CZ11" s="60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8">
        <f t="shared" si="1"/>
        <v>303.80274897548452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2.4933333333333332</v>
      </c>
      <c r="N12" s="14">
        <f>IF('Données projet'!$A$36&gt;35,N11+M12-V11,IF(A12&lt;'Données projet'!$A$36,$K$205^A12,IF(A12='Données projet'!$A$36,'Données projet'!$B$36,N11+M12-V11)))</f>
        <v>8.784619626636184</v>
      </c>
      <c r="O12" s="14">
        <f>N12*VLOOKUP('Données projet'!$B$9,Paramètres!$A$1:$I$89,3,0)*VLOOKUP('Données projet'!$B$9,Paramètres!$A$1:$I$89,5,0)</f>
        <v>6.9890433749517484</v>
      </c>
      <c r="P12" s="14">
        <f t="shared" si="33"/>
        <v>2.5685000363009434</v>
      </c>
      <c r="Q12" s="22">
        <f t="shared" si="2"/>
        <v>16.646054774598436</v>
      </c>
      <c r="R12" s="60">
        <f t="shared" si="0"/>
        <v>309.97938810793175</v>
      </c>
      <c r="S12" s="60">
        <f ca="1">AVERAGE(OFFSET($R$3,0,0,'Données projet'!$E$9+1,1))-AVERAGE(OFFSET($H$3,0,0,'Données projet'!$E$9+1,1))</f>
        <v>238.47463071449789</v>
      </c>
      <c r="T12" s="60">
        <f t="shared" si="34"/>
        <v>270.92950919803718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2.4933333333333332</v>
      </c>
      <c r="AI12" s="14">
        <f>IF('Données projet'!$A$62&gt;35,AI11+AH12-AQ11,IF(A12&lt;'Données projet'!$A$62,$AF$205^A12,IF(A12='Données projet'!$A$62,'Données projet'!$B$62,AI11+AH12-AQ11)))</f>
        <v>8.784619626636184</v>
      </c>
      <c r="AJ12" s="14">
        <f>AI12*VLOOKUP('Données projet'!$B$10,Paramètres!$A$1:$I$89,3,0)*VLOOKUP('Données projet'!$B$10,Paramètres!$A$1:$I$89,5,0)</f>
        <v>6.4408831102496507</v>
      </c>
      <c r="AK12" s="14">
        <f t="shared" si="35"/>
        <v>2.3896606701676846</v>
      </c>
      <c r="AL12" s="22">
        <f t="shared" si="4"/>
        <v>15.379863750893525</v>
      </c>
      <c r="AM12" s="60">
        <f t="shared" si="5"/>
        <v>308.71319708422686</v>
      </c>
      <c r="AN12" s="60">
        <f ca="1">AVERAGE(OFFSET($AM$3,0,0,'Données projet'!$E$10+1,1))-AVERAGE(OFFSET($H$3,0,0,'Données projet'!$E$10+1,1))</f>
        <v>216.80783650073869</v>
      </c>
      <c r="AO12" s="60">
        <f t="shared" si="36"/>
        <v>247.59561829759309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7.1339588100662858</v>
      </c>
      <c r="BF12" s="14">
        <f t="shared" si="37"/>
        <v>2.6155015444227643</v>
      </c>
      <c r="BG12" s="22">
        <f t="shared" si="7"/>
        <v>16.980310117401761</v>
      </c>
      <c r="BH12" s="60">
        <f t="shared" si="8"/>
        <v>310.31364345073507</v>
      </c>
      <c r="BI12" s="60">
        <f ca="1">AVERAGE(OFFSET($BH$3,0,0,'Données projet'!$E$11+1,1))-AVERAGE(OFFSET($H$3,0,0,'Données projet'!$E$11+1,1))</f>
        <v>222.34562513006574</v>
      </c>
      <c r="BJ12" s="60">
        <f t="shared" si="38"/>
        <v>213.19969928771548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</v>
      </c>
      <c r="BY12" s="13">
        <f>IF('Données projet'!$A$114&gt;35,BY11+BX12-CG11,IF(A12&lt;'Données projet'!$A$114,$BV$205^A12,IF(A12='Données projet'!$A$114,'Données projet'!$B$114,BY11+BX12-CG11)))</f>
        <v>72</v>
      </c>
      <c r="BZ12" s="14">
        <f>BY12*VLOOKUP('Données projet'!$B$12,Paramètres!$A$1:$I$89,3,0)*VLOOKUP('Données projet'!$B$12,Paramètres!$A$1:$I$89,5,0)</f>
        <v>65.145600000000002</v>
      </c>
      <c r="CA12" s="14">
        <f t="shared" si="39"/>
        <v>18.462943001028204</v>
      </c>
      <c r="CB12" s="22">
        <f t="shared" si="10"/>
        <v>145.61821239345747</v>
      </c>
      <c r="CC12" s="60">
        <f t="shared" si="11"/>
        <v>438.95154572679075</v>
      </c>
      <c r="CD12" s="60">
        <f ca="1">AVERAGE(OFFSET($CC$3,0,0,'Données projet'!$E$12+1,1))-AVERAGE(OFFSET($H$3,0,0,'Données projet'!$E$12+1,1))</f>
        <v>274.84847548786672</v>
      </c>
      <c r="CE12" s="60">
        <f t="shared" si="40"/>
        <v>376.2625056050623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0" t="e">
        <f t="shared" si="14"/>
        <v>#N/A</v>
      </c>
      <c r="CY12" s="60" t="e">
        <f ca="1">AVERAGE(OFFSET($CX$3,0,0,'Données projet'!$E$13+1,1))-AVERAGE(OFFSET($H$3,0,0,'Données projet'!$E$13+1,1))</f>
        <v>#N/A</v>
      </c>
      <c r="CZ12" s="60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8">
        <f t="shared" si="1"/>
        <v>304.92633870438061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2.4933333333333332</v>
      </c>
      <c r="N13" s="14">
        <f>IF('Données projet'!$A$36&gt;35,N12+M13-V12,IF(A13&lt;'Données projet'!$A$36,$K$205^A13,IF(A13='Données projet'!$A$36,'Données projet'!$B$36,N12+M13-V12)))</f>
        <v>11.183585649298445</v>
      </c>
      <c r="O13" s="14">
        <f>N13*VLOOKUP('Données projet'!$B$9,Paramètres!$A$1:$I$89,3,0)*VLOOKUP('Données projet'!$B$9,Paramètres!$A$1:$I$89,5,0)</f>
        <v>8.8976607425818433</v>
      </c>
      <c r="P13" s="14">
        <f t="shared" si="33"/>
        <v>3.1793050463331762</v>
      </c>
      <c r="Q13" s="22">
        <f t="shared" si="2"/>
        <v>21.03404874902699</v>
      </c>
      <c r="R13" s="60">
        <f t="shared" si="0"/>
        <v>314.36738208236028</v>
      </c>
      <c r="S13" s="60">
        <f ca="1">AVERAGE(OFFSET($R$3,0,0,'Données projet'!$E$9+1,1))-AVERAGE(OFFSET($H$3,0,0,'Données projet'!$E$9+1,1))</f>
        <v>238.47463071449789</v>
      </c>
      <c r="T13" s="60">
        <f t="shared" si="34"/>
        <v>270.92950919803718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2.4933333333333332</v>
      </c>
      <c r="AI13" s="14">
        <f>IF('Données projet'!$A$62&gt;35,AI12+AH13-AQ12,IF(A13&lt;'Données projet'!$A$62,$AF$205^A13,IF(A13='Données projet'!$A$62,'Données projet'!$B$62,AI12+AH13-AQ12)))</f>
        <v>11.183585649298445</v>
      </c>
      <c r="AJ13" s="14">
        <f>AI13*VLOOKUP('Données projet'!$B$10,Paramètres!$A$1:$I$89,3,0)*VLOOKUP('Données projet'!$B$10,Paramètres!$A$1:$I$89,5,0)</f>
        <v>8.1998049980656198</v>
      </c>
      <c r="AK13" s="14">
        <f t="shared" si="35"/>
        <v>2.9579365856773014</v>
      </c>
      <c r="AL13" s="22">
        <f t="shared" si="4"/>
        <v>19.433066591685588</v>
      </c>
      <c r="AM13" s="60">
        <f t="shared" si="5"/>
        <v>312.7663999250189</v>
      </c>
      <c r="AN13" s="60">
        <f ca="1">AVERAGE(OFFSET($AM$3,0,0,'Données projet'!$E$10+1,1))-AVERAGE(OFFSET($H$3,0,0,'Données projet'!$E$10+1,1))</f>
        <v>216.80783650073869</v>
      </c>
      <c r="AO13" s="60">
        <f t="shared" si="36"/>
        <v>247.59561829759309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9.1229353432241354</v>
      </c>
      <c r="BF13" s="14">
        <f t="shared" si="37"/>
        <v>3.2503265450485803</v>
      </c>
      <c r="BG13" s="22">
        <f t="shared" si="7"/>
        <v>21.550097788741649</v>
      </c>
      <c r="BH13" s="60">
        <f t="shared" si="8"/>
        <v>314.88343112207497</v>
      </c>
      <c r="BI13" s="60">
        <f ca="1">AVERAGE(OFFSET($BH$3,0,0,'Données projet'!$E$11+1,1))-AVERAGE(OFFSET($H$3,0,0,'Données projet'!$E$11+1,1))</f>
        <v>222.34562513006574</v>
      </c>
      <c r="BJ13" s="60">
        <f t="shared" si="38"/>
        <v>213.19969928771548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83</v>
      </c>
      <c r="BW13" s="13">
        <f>VLOOKUP(A13,'Données projet'!$A$113:$I$133,9,0)</f>
        <v>11</v>
      </c>
      <c r="BX13" s="13">
        <f t="array" ref="BX13">INDEX(BW:BW,MIN(IF(ISNUMBER(BW13:BW209),ROW(BW13:BW209),"")))</f>
        <v>11</v>
      </c>
      <c r="BY13" s="13">
        <f>IF('Données projet'!$A$114&gt;35,BY12+BX13-CG12,IF(A13&lt;'Données projet'!$A$114,$BV$205^A13,IF(A13='Données projet'!$A$114,'Données projet'!$B$114,BY12+BX13-CG12)))</f>
        <v>83</v>
      </c>
      <c r="BZ13" s="14">
        <f>BY13*VLOOKUP('Données projet'!$B$12,Paramètres!$A$1:$I$89,3,0)*VLOOKUP('Données projet'!$B$12,Paramètres!$A$1:$I$89,5,0)</f>
        <v>75.098399999999998</v>
      </c>
      <c r="CA13" s="14">
        <f t="shared" si="39"/>
        <v>20.934343091450742</v>
      </c>
      <c r="CB13" s="22">
        <f t="shared" si="10"/>
        <v>167.25702755094335</v>
      </c>
      <c r="CC13" s="60">
        <f t="shared" si="11"/>
        <v>460.59036088427666</v>
      </c>
      <c r="CD13" s="60">
        <f ca="1">AVERAGE(OFFSET($CC$3,0,0,'Données projet'!$E$12+1,1))-AVERAGE(OFFSET($H$3,0,0,'Données projet'!$E$12+1,1))</f>
        <v>274.84847548786672</v>
      </c>
      <c r="CE13" s="60">
        <f t="shared" si="40"/>
        <v>376.2625056050623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0" t="e">
        <f t="shared" si="14"/>
        <v>#N/A</v>
      </c>
      <c r="CY13" s="60" t="e">
        <f ca="1">AVERAGE(OFFSET($CX$3,0,0,'Données projet'!$E$13+1,1))-AVERAGE(OFFSET($H$3,0,0,'Données projet'!$E$13+1,1))</f>
        <v>#N/A</v>
      </c>
      <c r="CZ13" s="60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8">
        <f t="shared" si="1"/>
        <v>306.04661462698317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2.4933333333333332</v>
      </c>
      <c r="N14" s="14">
        <f>IF('Données projet'!$A$36&gt;35,N13+M14-V13,IF(A14&lt;'Données projet'!$A$36,$K$205^A14,IF(A14='Données projet'!$A$36,'Données projet'!$B$36,N13+M14-V13)))</f>
        <v>14.237678270776428</v>
      </c>
      <c r="O14" s="14">
        <f>N14*VLOOKUP('Données projet'!$B$9,Paramètres!$A$1:$I$89,3,0)*VLOOKUP('Données projet'!$B$9,Paramètres!$A$1:$I$89,5,0)</f>
        <v>11.327496832229725</v>
      </c>
      <c r="P14" s="14">
        <f t="shared" si="33"/>
        <v>3.9353632216399443</v>
      </c>
      <c r="Q14" s="22">
        <f t="shared" si="2"/>
        <v>26.582814593823006</v>
      </c>
      <c r="R14" s="60">
        <f t="shared" si="0"/>
        <v>319.91614792715632</v>
      </c>
      <c r="S14" s="60">
        <f ca="1">AVERAGE(OFFSET($R$3,0,0,'Données projet'!$E$9+1,1))-AVERAGE(OFFSET($H$3,0,0,'Données projet'!$E$9+1,1))</f>
        <v>238.47463071449789</v>
      </c>
      <c r="T14" s="60">
        <f t="shared" si="34"/>
        <v>270.92950919803718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2.4933333333333332</v>
      </c>
      <c r="AI14" s="14">
        <f>IF('Données projet'!$A$62&gt;35,AI13+AH14-AQ13,IF(A14&lt;'Données projet'!$A$62,$AF$205^A14,IF(A14='Données projet'!$A$62,'Données projet'!$B$62,AI13+AH14-AQ13)))</f>
        <v>14.237678270776428</v>
      </c>
      <c r="AJ14" s="14">
        <f>AI14*VLOOKUP('Données projet'!$B$10,Paramètres!$A$1:$I$89,3,0)*VLOOKUP('Données projet'!$B$10,Paramètres!$A$1:$I$89,5,0)</f>
        <v>10.439065708133278</v>
      </c>
      <c r="AK14" s="14">
        <f t="shared" si="35"/>
        <v>3.6613519878009879</v>
      </c>
      <c r="AL14" s="22">
        <f t="shared" si="4"/>
        <v>24.558227487085514</v>
      </c>
      <c r="AM14" s="60">
        <f t="shared" si="5"/>
        <v>317.89156082041882</v>
      </c>
      <c r="AN14" s="60">
        <f ca="1">AVERAGE(OFFSET($AM$3,0,0,'Données projet'!$E$10+1,1))-AVERAGE(OFFSET($H$3,0,0,'Données projet'!$E$10+1,1))</f>
        <v>216.80783650073869</v>
      </c>
      <c r="AO14" s="60">
        <f t="shared" si="36"/>
        <v>247.59561829759309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11.666446568097685</v>
      </c>
      <c r="BF14" s="14">
        <f t="shared" si="37"/>
        <v>4.0392339557111736</v>
      </c>
      <c r="BG14" s="22">
        <f t="shared" si="7"/>
        <v>27.354060245633761</v>
      </c>
      <c r="BH14" s="60">
        <f t="shared" si="8"/>
        <v>320.68739357896709</v>
      </c>
      <c r="BI14" s="60">
        <f ca="1">AVERAGE(OFFSET($BH$3,0,0,'Données projet'!$E$11+1,1))-AVERAGE(OFFSET($H$3,0,0,'Données projet'!$E$11+1,1))</f>
        <v>222.34562513006574</v>
      </c>
      <c r="BJ14" s="60">
        <f t="shared" si="38"/>
        <v>213.19969928771548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93.8</v>
      </c>
      <c r="BZ14" s="14">
        <f>BY14*VLOOKUP('Données projet'!$B$12,Paramètres!$A$1:$I$89,3,0)*VLOOKUP('Données projet'!$B$12,Paramètres!$A$1:$I$89,5,0)</f>
        <v>84.870239999999995</v>
      </c>
      <c r="CA14" s="14">
        <f t="shared" si="39"/>
        <v>23.323856624519408</v>
      </c>
      <c r="CB14" s="22">
        <f t="shared" si="10"/>
        <v>188.43805162103794</v>
      </c>
      <c r="CC14" s="60">
        <f t="shared" si="11"/>
        <v>481.77138495437123</v>
      </c>
      <c r="CD14" s="60">
        <f ca="1">AVERAGE(OFFSET($CC$3,0,0,'Données projet'!$E$12+1,1))-AVERAGE(OFFSET($H$3,0,0,'Données projet'!$E$12+1,1))</f>
        <v>274.84847548786672</v>
      </c>
      <c r="CE14" s="60">
        <f t="shared" si="40"/>
        <v>376.2625056050623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0" t="e">
        <f t="shared" si="14"/>
        <v>#N/A</v>
      </c>
      <c r="CY14" s="60" t="e">
        <f ca="1">AVERAGE(OFFSET($CX$3,0,0,'Données projet'!$E$13+1,1))-AVERAGE(OFFSET($H$3,0,0,'Données projet'!$E$13+1,1))</f>
        <v>#N/A</v>
      </c>
      <c r="CZ14" s="60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8">
        <f t="shared" si="1"/>
        <v>307.1639122593399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2.4933333333333332</v>
      </c>
      <c r="N15" s="14">
        <f>IF('Données projet'!$A$36&gt;35,N14+M15-V14,IF(A15&lt;'Données projet'!$A$36,$K$205^A15,IF(A15='Données projet'!$A$36,'Données projet'!$B$36,N14+M15-V14)))</f>
        <v>18.125804093506943</v>
      </c>
      <c r="O15" s="14">
        <f>N15*VLOOKUP('Données projet'!$B$9,Paramètres!$A$1:$I$89,3,0)*VLOOKUP('Données projet'!$B$9,Paramètres!$A$1:$I$89,5,0)</f>
        <v>14.420889736794125</v>
      </c>
      <c r="P15" s="14">
        <f t="shared" si="33"/>
        <v>4.8712166528651375</v>
      </c>
      <c r="Q15" s="22">
        <f t="shared" si="2"/>
        <v>33.600418628656548</v>
      </c>
      <c r="R15" s="60">
        <f t="shared" si="0"/>
        <v>326.93375196198986</v>
      </c>
      <c r="S15" s="60">
        <f ca="1">AVERAGE(OFFSET($R$3,0,0,'Données projet'!$E$9+1,1))-AVERAGE(OFFSET($H$3,0,0,'Données projet'!$E$9+1,1))</f>
        <v>238.47463071449789</v>
      </c>
      <c r="T15" s="60">
        <f t="shared" si="34"/>
        <v>270.92950919803718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2.4933333333333332</v>
      </c>
      <c r="AI15" s="14">
        <f>IF('Données projet'!$A$62&gt;35,AI14+AH15-AQ14,IF(A15&lt;'Données projet'!$A$62,$AF$205^A15,IF(A15='Données projet'!$A$62,'Données projet'!$B$62,AI14+AH15-AQ14)))</f>
        <v>18.125804093506943</v>
      </c>
      <c r="AJ15" s="14">
        <f>AI15*VLOOKUP('Données projet'!$B$10,Paramètres!$A$1:$I$89,3,0)*VLOOKUP('Données projet'!$B$10,Paramètres!$A$1:$I$89,5,0)</f>
        <v>13.28983956135929</v>
      </c>
      <c r="AK15" s="14">
        <f t="shared" si="35"/>
        <v>4.5320438725716254</v>
      </c>
      <c r="AL15" s="22">
        <f t="shared" si="4"/>
        <v>31.039780314096337</v>
      </c>
      <c r="AM15" s="60">
        <f t="shared" si="5"/>
        <v>324.37311364742965</v>
      </c>
      <c r="AN15" s="60">
        <f ca="1">AVERAGE(OFFSET($AM$3,0,0,'Données projet'!$E$10+1,1))-AVERAGE(OFFSET($H$3,0,0,'Données projet'!$E$10+1,1))</f>
        <v>216.80783650073869</v>
      </c>
      <c r="AO15" s="60">
        <f t="shared" si="36"/>
        <v>247.59561829759309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14.919098996724562</v>
      </c>
      <c r="BF15" s="14">
        <f t="shared" si="37"/>
        <v>5.019622097301081</v>
      </c>
      <c r="BG15" s="22">
        <f t="shared" si="7"/>
        <v>34.726605905427995</v>
      </c>
      <c r="BH15" s="60">
        <f t="shared" si="8"/>
        <v>328.05993923876133</v>
      </c>
      <c r="BI15" s="60">
        <f ca="1">AVERAGE(OFFSET($BH$3,0,0,'Données projet'!$E$11+1,1))-AVERAGE(OFFSET($H$3,0,0,'Données projet'!$E$11+1,1))</f>
        <v>222.34562513006574</v>
      </c>
      <c r="BJ15" s="60">
        <f t="shared" si="38"/>
        <v>213.19969928771548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104.6</v>
      </c>
      <c r="BZ15" s="14">
        <f>BY15*VLOOKUP('Données projet'!$B$12,Paramètres!$A$1:$I$89,3,0)*VLOOKUP('Données projet'!$B$12,Paramètres!$A$1:$I$89,5,0)</f>
        <v>94.642079999999993</v>
      </c>
      <c r="CA15" s="14">
        <f t="shared" si="39"/>
        <v>25.68148493360578</v>
      </c>
      <c r="CB15" s="22">
        <f t="shared" si="10"/>
        <v>209.5635422593634</v>
      </c>
      <c r="CC15" s="60">
        <f t="shared" si="11"/>
        <v>502.89687559269669</v>
      </c>
      <c r="CD15" s="60">
        <f ca="1">AVERAGE(OFFSET($CC$3,0,0,'Données projet'!$E$12+1,1))-AVERAGE(OFFSET($H$3,0,0,'Données projet'!$E$12+1,1))</f>
        <v>274.84847548786672</v>
      </c>
      <c r="CE15" s="60">
        <f t="shared" si="40"/>
        <v>376.2625056050623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0" t="e">
        <f t="shared" si="14"/>
        <v>#N/A</v>
      </c>
      <c r="CY15" s="60" t="e">
        <f ca="1">AVERAGE(OFFSET($CX$3,0,0,'Données projet'!$E$13+1,1))-AVERAGE(OFFSET($H$3,0,0,'Données projet'!$E$13+1,1))</f>
        <v>#N/A</v>
      </c>
      <c r="CZ15" s="60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8">
        <f t="shared" si="1"/>
        <v>308.27850800940064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2.4933333333333332</v>
      </c>
      <c r="N16" s="14">
        <f>IF('Données projet'!$A$36&gt;35,N15+M16-V15,IF(A16&lt;'Données projet'!$A$36,$K$205^A16,IF(A16='Données projet'!$A$36,'Données projet'!$B$36,N15+M16-V15)))</f>
        <v>23.075726799540639</v>
      </c>
      <c r="O16" s="14">
        <f>N16*VLOOKUP('Données projet'!$B$9,Paramètres!$A$1:$I$89,3,0)*VLOOKUP('Données projet'!$B$9,Paramètres!$A$1:$I$89,5,0)</f>
        <v>18.359048241714532</v>
      </c>
      <c r="P16" s="14">
        <f t="shared" si="33"/>
        <v>6.0296217509656884</v>
      </c>
      <c r="Q16" s="22">
        <f t="shared" si="2"/>
        <v>42.47693357058472</v>
      </c>
      <c r="R16" s="60">
        <f t="shared" si="0"/>
        <v>335.81026690391803</v>
      </c>
      <c r="S16" s="60">
        <f ca="1">AVERAGE(OFFSET($R$3,0,0,'Données projet'!$E$9+1,1))-AVERAGE(OFFSET($H$3,0,0,'Données projet'!$E$9+1,1))</f>
        <v>238.47463071449789</v>
      </c>
      <c r="T16" s="60">
        <f t="shared" si="34"/>
        <v>270.92950919803718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2.4933333333333332</v>
      </c>
      <c r="AI16" s="14">
        <f>IF('Données projet'!$A$62&gt;35,AI15+AH16-AQ15,IF(A16&lt;'Données projet'!$A$62,$AF$205^A16,IF(A16='Données projet'!$A$62,'Données projet'!$B$62,AI15+AH16-AQ15)))</f>
        <v>23.075726799540639</v>
      </c>
      <c r="AJ16" s="14">
        <f>AI16*VLOOKUP('Données projet'!$B$10,Paramètres!$A$1:$I$89,3,0)*VLOOKUP('Données projet'!$B$10,Paramètres!$A$1:$I$89,5,0)</f>
        <v>16.919122889423196</v>
      </c>
      <c r="AK16" s="14">
        <f t="shared" si="35"/>
        <v>5.6097916101341596</v>
      </c>
      <c r="AL16" s="22">
        <f t="shared" si="4"/>
        <v>39.237859420062392</v>
      </c>
      <c r="AM16" s="60">
        <f t="shared" si="5"/>
        <v>332.57119275339574</v>
      </c>
      <c r="AN16" s="60">
        <f ca="1">AVERAGE(OFFSET($AM$3,0,0,'Données projet'!$E$10+1,1))-AVERAGE(OFFSET($H$3,0,0,'Données projet'!$E$10+1,1))</f>
        <v>216.80783650073869</v>
      </c>
      <c r="AO16" s="60">
        <f t="shared" si="36"/>
        <v>247.59561829759309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19.078604061215994</v>
      </c>
      <c r="BF16" s="14">
        <f t="shared" si="37"/>
        <v>6.2379664748280286</v>
      </c>
      <c r="BG16" s="22">
        <f t="shared" si="7"/>
        <v>44.093027016943331</v>
      </c>
      <c r="BH16" s="60">
        <f t="shared" si="8"/>
        <v>337.42636035027664</v>
      </c>
      <c r="BI16" s="60">
        <f ca="1">AVERAGE(OFFSET($BH$3,0,0,'Données projet'!$E$11+1,1))-AVERAGE(OFFSET($H$3,0,0,'Données projet'!$E$11+1,1))</f>
        <v>222.34562513006574</v>
      </c>
      <c r="BJ16" s="60">
        <f t="shared" si="38"/>
        <v>213.19969928771548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115.39999999999999</v>
      </c>
      <c r="BZ16" s="14">
        <f>BY16*VLOOKUP('Données projet'!$B$12,Paramètres!$A$1:$I$89,3,0)*VLOOKUP('Données projet'!$B$12,Paramètres!$A$1:$I$89,5,0)</f>
        <v>104.41391999999999</v>
      </c>
      <c r="CA16" s="14">
        <f t="shared" si="39"/>
        <v>28.010895142032854</v>
      </c>
      <c r="CB16" s="22">
        <f t="shared" si="10"/>
        <v>230.63988637237389</v>
      </c>
      <c r="CC16" s="60">
        <f t="shared" si="11"/>
        <v>523.97321970570715</v>
      </c>
      <c r="CD16" s="60">
        <f ca="1">AVERAGE(OFFSET($CC$3,0,0,'Données projet'!$E$12+1,1))-AVERAGE(OFFSET($H$3,0,0,'Données projet'!$E$12+1,1))</f>
        <v>274.84847548786672</v>
      </c>
      <c r="CE16" s="60">
        <f t="shared" si="40"/>
        <v>376.2625056050623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0" t="e">
        <f t="shared" si="14"/>
        <v>#N/A</v>
      </c>
      <c r="CY16" s="60" t="e">
        <f ca="1">AVERAGE(OFFSET($CX$3,0,0,'Données projet'!$E$13+1,1))-AVERAGE(OFFSET($H$3,0,0,'Données projet'!$E$13+1,1))</f>
        <v>#N/A</v>
      </c>
      <c r="CZ16" s="60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8">
        <f t="shared" si="1"/>
        <v>309.39063334516135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2.4933333333333332</v>
      </c>
      <c r="N17" s="14">
        <f>IF('Données projet'!$A$36&gt;35,N16+M17-V16,IF(A17&lt;'Données projet'!$A$36,$K$205^A17,IF(A17='Données projet'!$A$36,'Données projet'!$B$36,N16+M17-V16)))</f>
        <v>29.37740938719443</v>
      </c>
      <c r="O17" s="14">
        <f>N17*VLOOKUP('Données projet'!$B$9,Paramètres!$A$1:$I$89,3,0)*VLOOKUP('Données projet'!$B$9,Paramètres!$A$1:$I$89,5,0)</f>
        <v>23.372666908451887</v>
      </c>
      <c r="P17" s="14">
        <f t="shared" si="33"/>
        <v>7.4635026627966923</v>
      </c>
      <c r="Q17" s="22">
        <f t="shared" si="2"/>
        <v>53.706328669924602</v>
      </c>
      <c r="R17" s="60">
        <f t="shared" si="0"/>
        <v>347.03966200325794</v>
      </c>
      <c r="S17" s="60">
        <f ca="1">AVERAGE(OFFSET($R$3,0,0,'Données projet'!$E$9+1,1))-AVERAGE(OFFSET($H$3,0,0,'Données projet'!$E$9+1,1))</f>
        <v>238.47463071449789</v>
      </c>
      <c r="T17" s="60">
        <f t="shared" si="34"/>
        <v>270.92950919803718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2.4933333333333332</v>
      </c>
      <c r="AI17" s="14">
        <f>IF('Données projet'!$A$62&gt;35,AI16+AH17-AQ16,IF(A17&lt;'Données projet'!$A$62,$AF$205^A17,IF(A17='Données projet'!$A$62,'Données projet'!$B$62,AI16+AH17-AQ16)))</f>
        <v>29.37740938719443</v>
      </c>
      <c r="AJ17" s="14">
        <f>AI17*VLOOKUP('Données projet'!$B$10,Paramètres!$A$1:$I$89,3,0)*VLOOKUP('Données projet'!$B$10,Paramètres!$A$1:$I$89,5,0)</f>
        <v>21.539516562690956</v>
      </c>
      <c r="AK17" s="14">
        <f t="shared" si="35"/>
        <v>6.9438343480277602</v>
      </c>
      <c r="AL17" s="22">
        <f t="shared" si="4"/>
        <v>49.608502836168434</v>
      </c>
      <c r="AM17" s="60">
        <f t="shared" si="5"/>
        <v>342.94183616950176</v>
      </c>
      <c r="AN17" s="60">
        <f ca="1">AVERAGE(OFFSET($AM$3,0,0,'Données projet'!$E$10+1,1))-AVERAGE(OFFSET($H$3,0,0,'Données projet'!$E$10+1,1))</f>
        <v>216.80783650073869</v>
      </c>
      <c r="AO17" s="60">
        <f t="shared" si="36"/>
        <v>247.59561829759309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24.397795939591308</v>
      </c>
      <c r="BF17" s="14">
        <f t="shared" si="37"/>
        <v>7.75202295846145</v>
      </c>
      <c r="BG17" s="22">
        <f t="shared" si="7"/>
        <v>55.994267914108548</v>
      </c>
      <c r="BH17" s="60">
        <f t="shared" si="8"/>
        <v>349.32760124744186</v>
      </c>
      <c r="BI17" s="60">
        <f ca="1">AVERAGE(OFFSET($BH$3,0,0,'Données projet'!$E$11+1,1))-AVERAGE(OFFSET($H$3,0,0,'Données projet'!$E$11+1,1))</f>
        <v>222.34562513006574</v>
      </c>
      <c r="BJ17" s="60">
        <f t="shared" si="38"/>
        <v>213.19969928771548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126.19999999999999</v>
      </c>
      <c r="BZ17" s="14">
        <f>BY17*VLOOKUP('Données projet'!$B$12,Paramètres!$A$1:$I$89,3,0)*VLOOKUP('Données projet'!$B$12,Paramètres!$A$1:$I$89,5,0)</f>
        <v>114.18575999999997</v>
      </c>
      <c r="CA17" s="14">
        <f t="shared" si="39"/>
        <v>30.315028515433259</v>
      </c>
      <c r="CB17" s="22">
        <f t="shared" si="10"/>
        <v>251.67220666437959</v>
      </c>
      <c r="CC17" s="60">
        <f t="shared" si="11"/>
        <v>545.00553999771296</v>
      </c>
      <c r="CD17" s="60">
        <f ca="1">AVERAGE(OFFSET($CC$3,0,0,'Données projet'!$E$12+1,1))-AVERAGE(OFFSET($H$3,0,0,'Données projet'!$E$12+1,1))</f>
        <v>274.84847548786672</v>
      </c>
      <c r="CE17" s="60">
        <f t="shared" si="40"/>
        <v>376.2625056050623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0" t="e">
        <f t="shared" si="14"/>
        <v>#N/A</v>
      </c>
      <c r="CY17" s="60" t="e">
        <f ca="1">AVERAGE(OFFSET($CX$3,0,0,'Données projet'!$E$13+1,1))-AVERAGE(OFFSET($H$3,0,0,'Données projet'!$E$13+1,1))</f>
        <v>#N/A</v>
      </c>
      <c r="CZ17" s="60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8">
        <f t="shared" si="1"/>
        <v>310.50048479403728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37.4</v>
      </c>
      <c r="L18" s="13">
        <f>VLOOKUP(A18,'Données projet'!$A$35:$I$55,9,0)</f>
        <v>2.4933333333333332</v>
      </c>
      <c r="M18" s="13">
        <f t="array" ref="M18">INDEX(L:L,MIN(IF(ISNUMBER(L18:L214),ROW(L18:L214),"")))</f>
        <v>2.4933333333333332</v>
      </c>
      <c r="N18" s="14">
        <f>IF('Données projet'!$A$36&gt;35,N17+M18-V17,IF(A18&lt;'Données projet'!$A$36,$K$205^A18,IF(A18='Données projet'!$A$36,'Données projet'!$B$36,N17+M18-V17)))</f>
        <v>37.4</v>
      </c>
      <c r="O18" s="14">
        <f>N18*VLOOKUP('Données projet'!$B$9,Paramètres!$A$1:$I$89,3,0)*VLOOKUP('Données projet'!$B$9,Paramètres!$A$1:$I$89,5,0)</f>
        <v>29.755439999999997</v>
      </c>
      <c r="P18" s="14">
        <f t="shared" si="33"/>
        <v>9.2383692208639729</v>
      </c>
      <c r="Q18" s="22">
        <f t="shared" si="2"/>
        <v>67.91421772633808</v>
      </c>
      <c r="R18" s="60">
        <f t="shared" si="0"/>
        <v>361.24755105967142</v>
      </c>
      <c r="S18" s="60">
        <f ca="1">AVERAGE(OFFSET($R$3,0,0,'Données projet'!$E$9+1,1))-AVERAGE(OFFSET($H$3,0,0,'Données projet'!$E$9+1,1))</f>
        <v>238.47463071449789</v>
      </c>
      <c r="T18" s="60">
        <f t="shared" si="34"/>
        <v>270.92950919803718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37.4</v>
      </c>
      <c r="AG18" s="13">
        <f>VLOOKUP(A18,'Données projet'!$A$61:$I$81,9,0)</f>
        <v>2.4933333333333332</v>
      </c>
      <c r="AH18" s="13">
        <f t="array" ref="AH18">INDEX(AG:AG,MIN(IF(ISNUMBER(AG18:AG214),ROW(AG18:AG214),"")))</f>
        <v>2.4933333333333332</v>
      </c>
      <c r="AI18" s="14">
        <f>IF('Données projet'!$A$62&gt;35,AI17+AH18-AQ17,IF(A18&lt;'Données projet'!$A$62,$AF$205^A18,IF(A18='Données projet'!$A$62,'Données projet'!$B$62,AI17+AH18-AQ17)))</f>
        <v>37.4</v>
      </c>
      <c r="AJ18" s="14">
        <f>AI18*VLOOKUP('Données projet'!$B$10,Paramètres!$A$1:$I$89,3,0)*VLOOKUP('Données projet'!$B$10,Paramètres!$A$1:$I$89,5,0)</f>
        <v>27.421679999999999</v>
      </c>
      <c r="AK18" s="14">
        <f t="shared" si="35"/>
        <v>8.5951206040783781</v>
      </c>
      <c r="AL18" s="22">
        <f t="shared" si="4"/>
        <v>62.729261052103169</v>
      </c>
      <c r="AM18" s="60">
        <f t="shared" si="5"/>
        <v>356.06259438543646</v>
      </c>
      <c r="AN18" s="60">
        <f ca="1">AVERAGE(OFFSET($AM$3,0,0,'Données projet'!$E$10+1,1))-AVERAGE(OFFSET($H$3,0,0,'Données projet'!$E$10+1,1))</f>
        <v>216.80783650073869</v>
      </c>
      <c r="AO18" s="60">
        <f t="shared" si="36"/>
        <v>247.59561829759309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31.200000000000003</v>
      </c>
      <c r="BF18" s="14">
        <f t="shared" si="37"/>
        <v>9.6335657126419925</v>
      </c>
      <c r="BG18" s="22">
        <f t="shared" si="7"/>
        <v>71.118460282851473</v>
      </c>
      <c r="BH18" s="60">
        <f t="shared" si="8"/>
        <v>364.45179361618477</v>
      </c>
      <c r="BI18" s="60">
        <f ca="1">AVERAGE(OFFSET($BH$3,0,0,'Données projet'!$E$11+1,1))-AVERAGE(OFFSET($H$3,0,0,'Données projet'!$E$11+1,1))</f>
        <v>222.34562513006574</v>
      </c>
      <c r="BJ18" s="60">
        <f t="shared" si="38"/>
        <v>213.19969928771548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137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137</v>
      </c>
      <c r="BZ18" s="14">
        <f>BY18*VLOOKUP('Données projet'!$B$12,Paramètres!$A$1:$I$89,3,0)*VLOOKUP('Données projet'!$B$12,Paramètres!$A$1:$I$89,5,0)</f>
        <v>123.9576</v>
      </c>
      <c r="CA18" s="14">
        <f t="shared" si="39"/>
        <v>32.59629414926458</v>
      </c>
      <c r="CB18" s="22">
        <f t="shared" si="10"/>
        <v>272.6646989766358</v>
      </c>
      <c r="CC18" s="60">
        <f t="shared" si="11"/>
        <v>565.99803230996918</v>
      </c>
      <c r="CD18" s="60">
        <f ca="1">AVERAGE(OFFSET($CC$3,0,0,'Données projet'!$E$12+1,1))-AVERAGE(OFFSET($H$3,0,0,'Données projet'!$E$12+1,1))</f>
        <v>274.84847548786672</v>
      </c>
      <c r="CE18" s="60">
        <f t="shared" si="40"/>
        <v>376.2625056050623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0" t="e">
        <f t="shared" si="14"/>
        <v>#N/A</v>
      </c>
      <c r="CY18" s="60" t="e">
        <f ca="1">AVERAGE(OFFSET($CX$3,0,0,'Données projet'!$E$13+1,1))-AVERAGE(OFFSET($H$3,0,0,'Données projet'!$E$13+1,1))</f>
        <v>#N/A</v>
      </c>
      <c r="CZ18" s="60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8">
        <f t="shared" si="1"/>
        <v>311.60823119732669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11.54</v>
      </c>
      <c r="N19" s="14">
        <f>IF('Données projet'!$A$36&gt;35,N18+M19-V18,IF(A19&lt;'Données projet'!$A$36,$K$205^A19,IF(A19='Données projet'!$A$36,'Données projet'!$B$36,N18+M19-V18)))</f>
        <v>48.94</v>
      </c>
      <c r="O19" s="14">
        <f>N19*VLOOKUP('Données projet'!$B$9,Paramètres!$A$1:$I$89,3,0)*VLOOKUP('Données projet'!$B$9,Paramètres!$A$1:$I$89,5,0)</f>
        <v>38.936664</v>
      </c>
      <c r="P19" s="14">
        <f t="shared" si="33"/>
        <v>11.71636916173216</v>
      </c>
      <c r="Q19" s="22">
        <f t="shared" si="2"/>
        <v>88.220699423350183</v>
      </c>
      <c r="R19" s="60">
        <f t="shared" si="0"/>
        <v>381.55403275668351</v>
      </c>
      <c r="S19" s="60">
        <f ca="1">AVERAGE(OFFSET($R$3,0,0,'Données projet'!$E$9+1,1))-AVERAGE(OFFSET($H$3,0,0,'Données projet'!$E$9+1,1))</f>
        <v>238.47463071449789</v>
      </c>
      <c r="T19" s="60">
        <f t="shared" si="34"/>
        <v>270.92950919803718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11.54</v>
      </c>
      <c r="AI19" s="14">
        <f>IF('Données projet'!$A$62&gt;35,AI18+AH19-AQ18,IF(A19&lt;'Données projet'!$A$62,$AF$205^A19,IF(A19='Données projet'!$A$62,'Données projet'!$B$62,AI18+AH19-AQ18)))</f>
        <v>48.94</v>
      </c>
      <c r="AJ19" s="14">
        <f>AI19*VLOOKUP('Données projet'!$B$10,Paramètres!$A$1:$I$89,3,0)*VLOOKUP('Données projet'!$B$10,Paramètres!$A$1:$I$89,5,0)</f>
        <v>35.882807999999997</v>
      </c>
      <c r="AK19" s="14">
        <f t="shared" si="35"/>
        <v>10.900582514018076</v>
      </c>
      <c r="AL19" s="22">
        <f t="shared" si="4"/>
        <v>81.481071811914816</v>
      </c>
      <c r="AM19" s="60">
        <f t="shared" si="5"/>
        <v>374.81440514524814</v>
      </c>
      <c r="AN19" s="60">
        <f ca="1">AVERAGE(OFFSET($AM$3,0,0,'Données projet'!$E$10+1,1))-AVERAGE(OFFSET($H$3,0,0,'Données projet'!$E$10+1,1))</f>
        <v>216.80783650073869</v>
      </c>
      <c r="AO19" s="60">
        <f t="shared" si="36"/>
        <v>247.59561829759309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49.6</v>
      </c>
      <c r="BE19" s="14">
        <f>BD19*VLOOKUP('Données projet'!$B$11,Paramètres!$A$1:$I$89,3,0)*VLOOKUP('Données projet'!$B$11,Paramètres!$A$1:$I$89,5,0)</f>
        <v>38.688000000000002</v>
      </c>
      <c r="BF19" s="14">
        <f t="shared" si="37"/>
        <v>11.650229083154354</v>
      </c>
      <c r="BG19" s="22">
        <f t="shared" si="7"/>
        <v>87.672415653160499</v>
      </c>
      <c r="BH19" s="60">
        <f t="shared" si="8"/>
        <v>381.00574898649381</v>
      </c>
      <c r="BI19" s="60">
        <f ca="1">AVERAGE(OFFSET($BH$3,0,0,'Données projet'!$E$11+1,1))-AVERAGE(OFFSET($H$3,0,0,'Données projet'!$E$11+1,1))</f>
        <v>222.34562513006574</v>
      </c>
      <c r="BJ19" s="60">
        <f t="shared" si="38"/>
        <v>213.19969928771548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</v>
      </c>
      <c r="BY19" s="13">
        <f>IF('Données projet'!$A$114&gt;35,BY18+BX19-CG18,IF(A19&lt;'Données projet'!$A$114,$BV$205^A19,IF(A19='Données projet'!$A$114,'Données projet'!$B$114,BY18+BX19-CG18)))</f>
        <v>147</v>
      </c>
      <c r="BZ19" s="14">
        <f>BY19*VLOOKUP('Données projet'!$B$12,Paramètres!$A$1:$I$89,3,0)*VLOOKUP('Données projet'!$B$12,Paramètres!$A$1:$I$89,5,0)</f>
        <v>133.00559999999999</v>
      </c>
      <c r="CA19" s="14">
        <f t="shared" si="39"/>
        <v>34.689938673073549</v>
      </c>
      <c r="CB19" s="22">
        <f t="shared" si="10"/>
        <v>292.06972985560304</v>
      </c>
      <c r="CC19" s="60">
        <f t="shared" si="11"/>
        <v>585.40306318893636</v>
      </c>
      <c r="CD19" s="60">
        <f ca="1">AVERAGE(OFFSET($CC$3,0,0,'Données projet'!$E$12+1,1))-AVERAGE(OFFSET($H$3,0,0,'Données projet'!$E$12+1,1))</f>
        <v>274.84847548786672</v>
      </c>
      <c r="CE19" s="60">
        <f t="shared" si="40"/>
        <v>376.2625056050623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0" t="e">
        <f t="shared" si="14"/>
        <v>#N/A</v>
      </c>
      <c r="CY19" s="60" t="e">
        <f ca="1">AVERAGE(OFFSET($CX$3,0,0,'Données projet'!$E$13+1,1))-AVERAGE(OFFSET($H$3,0,0,'Données projet'!$E$13+1,1))</f>
        <v>#N/A</v>
      </c>
      <c r="CZ19" s="60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8">
        <f t="shared" si="1"/>
        <v>312.7140190982978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11.54</v>
      </c>
      <c r="N20" s="14">
        <f>IF('Données projet'!$A$36&gt;35,N19+M20-V19,IF(A20&lt;'Données projet'!$A$36,$K$205^A20,IF(A20='Données projet'!$A$36,'Données projet'!$B$36,N19+M20-V19)))</f>
        <v>60.48</v>
      </c>
      <c r="O20" s="14">
        <f>N20*VLOOKUP('Données projet'!$B$9,Paramètres!$A$1:$I$89,3,0)*VLOOKUP('Données projet'!$B$9,Paramètres!$A$1:$I$89,5,0)</f>
        <v>48.117888000000001</v>
      </c>
      <c r="P20" s="14">
        <f t="shared" si="33"/>
        <v>14.126615953608919</v>
      </c>
      <c r="Q20" s="22">
        <f t="shared" si="2"/>
        <v>108.40917771920219</v>
      </c>
      <c r="R20" s="60">
        <f t="shared" si="0"/>
        <v>401.74251105253552</v>
      </c>
      <c r="S20" s="60">
        <f ca="1">AVERAGE(OFFSET($R$3,0,0,'Données projet'!$E$9+1,1))-AVERAGE(OFFSET($H$3,0,0,'Données projet'!$E$9+1,1))</f>
        <v>238.47463071449789</v>
      </c>
      <c r="T20" s="60">
        <f t="shared" si="34"/>
        <v>270.92950919803718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11.54</v>
      </c>
      <c r="AI20" s="14">
        <f>IF('Données projet'!$A$62&gt;35,AI19+AH20-AQ19,IF(A20&lt;'Données projet'!$A$62,$AF$205^A20,IF(A20='Données projet'!$A$62,'Données projet'!$B$62,AI19+AH20-AQ19)))</f>
        <v>60.48</v>
      </c>
      <c r="AJ20" s="14">
        <f>AI20*VLOOKUP('Données projet'!$B$10,Paramètres!$A$1:$I$89,3,0)*VLOOKUP('Données projet'!$B$10,Paramètres!$A$1:$I$89,5,0)</f>
        <v>44.343935999999992</v>
      </c>
      <c r="AK20" s="14">
        <f t="shared" si="35"/>
        <v>13.143008787151626</v>
      </c>
      <c r="AL20" s="22">
        <f t="shared" si="4"/>
        <v>100.12309550428905</v>
      </c>
      <c r="AM20" s="60">
        <f t="shared" si="5"/>
        <v>393.45642883762235</v>
      </c>
      <c r="AN20" s="60">
        <f ca="1">AVERAGE(OFFSET($AM$3,0,0,'Données projet'!$E$10+1,1))-AVERAGE(OFFSET($H$3,0,0,'Données projet'!$E$10+1,1))</f>
        <v>216.80783650073869</v>
      </c>
      <c r="AO20" s="60">
        <f t="shared" si="36"/>
        <v>247.59561829759309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59.2</v>
      </c>
      <c r="BE20" s="14">
        <f>BD20*VLOOKUP('Données projet'!$B$11,Paramètres!$A$1:$I$89,3,0)*VLOOKUP('Données projet'!$B$11,Paramètres!$A$1:$I$89,5,0)</f>
        <v>46.176000000000002</v>
      </c>
      <c r="BF20" s="14">
        <f t="shared" si="37"/>
        <v>13.621668778540489</v>
      </c>
      <c r="BG20" s="22">
        <f t="shared" si="7"/>
        <v>104.14760645595801</v>
      </c>
      <c r="BH20" s="60">
        <f t="shared" si="8"/>
        <v>397.48093978929131</v>
      </c>
      <c r="BI20" s="60">
        <f ca="1">AVERAGE(OFFSET($BH$3,0,0,'Données projet'!$E$11+1,1))-AVERAGE(OFFSET($H$3,0,0,'Données projet'!$E$11+1,1))</f>
        <v>222.34562513006574</v>
      </c>
      <c r="BJ20" s="60">
        <f t="shared" si="38"/>
        <v>213.19969928771548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10</v>
      </c>
      <c r="BY20" s="13">
        <f>IF('Données projet'!$A$114&gt;35,BY19+BX20-CG19,IF(A20&lt;'Données projet'!$A$114,$BV$205^A20,IF(A20='Données projet'!$A$114,'Données projet'!$B$114,BY19+BX20-CG19)))</f>
        <v>157</v>
      </c>
      <c r="BZ20" s="14">
        <f>BY20*VLOOKUP('Données projet'!$B$12,Paramètres!$A$1:$I$89,3,0)*VLOOKUP('Données projet'!$B$12,Paramètres!$A$1:$I$89,5,0)</f>
        <v>142.05359999999999</v>
      </c>
      <c r="CA20" s="14">
        <f t="shared" si="39"/>
        <v>36.767056963845924</v>
      </c>
      <c r="CB20" s="22">
        <f t="shared" si="10"/>
        <v>311.445977545365</v>
      </c>
      <c r="CC20" s="60">
        <f t="shared" si="11"/>
        <v>604.77931087869831</v>
      </c>
      <c r="CD20" s="60">
        <f ca="1">AVERAGE(OFFSET($CC$3,0,0,'Données projet'!$E$12+1,1))-AVERAGE(OFFSET($H$3,0,0,'Données projet'!$E$12+1,1))</f>
        <v>274.84847548786672</v>
      </c>
      <c r="CE20" s="60">
        <f t="shared" si="40"/>
        <v>376.2625056050623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0" t="e">
        <f t="shared" si="14"/>
        <v>#N/A</v>
      </c>
      <c r="CY20" s="60" t="e">
        <f ca="1">AVERAGE(OFFSET($CX$3,0,0,'Données projet'!$E$13+1,1))-AVERAGE(OFFSET($H$3,0,0,'Données projet'!$E$13+1,1))</f>
        <v>#N/A</v>
      </c>
      <c r="CZ20" s="60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8">
        <f t="shared" si="1"/>
        <v>313.81797682591258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11.54</v>
      </c>
      <c r="N21" s="14">
        <f>IF('Données projet'!$A$36&gt;35,N20+M21-V20,IF(A21&lt;'Données projet'!$A$36,$K$205^A21,IF(A21='Données projet'!$A$36,'Données projet'!$B$36,N20+M21-V20)))</f>
        <v>72.02</v>
      </c>
      <c r="O21" s="14">
        <f>N21*VLOOKUP('Données projet'!$B$9,Paramètres!$A$1:$I$89,3,0)*VLOOKUP('Données projet'!$B$9,Paramètres!$A$1:$I$89,5,0)</f>
        <v>57.299111999999994</v>
      </c>
      <c r="P21" s="14">
        <f t="shared" si="33"/>
        <v>16.483580059789663</v>
      </c>
      <c r="Q21" s="22">
        <f t="shared" si="2"/>
        <v>128.50485533746698</v>
      </c>
      <c r="R21" s="60">
        <f t="shared" si="0"/>
        <v>421.83818867080026</v>
      </c>
      <c r="S21" s="60">
        <f ca="1">AVERAGE(OFFSET($R$3,0,0,'Données projet'!$E$9+1,1))-AVERAGE(OFFSET($H$3,0,0,'Données projet'!$E$9+1,1))</f>
        <v>238.47463071449789</v>
      </c>
      <c r="T21" s="60">
        <f t="shared" si="34"/>
        <v>270.92950919803718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11.54</v>
      </c>
      <c r="AI21" s="14">
        <f>IF('Données projet'!$A$62&gt;35,AI20+AH21-AQ20,IF(A21&lt;'Données projet'!$A$62,$AF$205^A21,IF(A21='Données projet'!$A$62,'Données projet'!$B$62,AI20+AH21-AQ20)))</f>
        <v>72.02</v>
      </c>
      <c r="AJ21" s="14">
        <f>AI21*VLOOKUP('Données projet'!$B$10,Paramètres!$A$1:$I$89,3,0)*VLOOKUP('Données projet'!$B$10,Paramètres!$A$1:$I$89,5,0)</f>
        <v>52.805063999999994</v>
      </c>
      <c r="AK21" s="14">
        <f t="shared" si="35"/>
        <v>15.335862338225963</v>
      </c>
      <c r="AL21" s="22">
        <f t="shared" si="4"/>
        <v>118.67878003907686</v>
      </c>
      <c r="AM21" s="60">
        <f t="shared" si="5"/>
        <v>412.01211337241017</v>
      </c>
      <c r="AN21" s="60">
        <f ca="1">AVERAGE(OFFSET($AM$3,0,0,'Données projet'!$E$10+1,1))-AVERAGE(OFFSET($H$3,0,0,'Données projet'!$E$10+1,1))</f>
        <v>216.80783650073869</v>
      </c>
      <c r="AO21" s="60">
        <f t="shared" si="36"/>
        <v>247.59561829759309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68.8</v>
      </c>
      <c r="BE21" s="14">
        <f>BD21*VLOOKUP('Données projet'!$B$11,Paramètres!$A$1:$I$89,3,0)*VLOOKUP('Données projet'!$B$11,Paramètres!$A$1:$I$89,5,0)</f>
        <v>53.664000000000001</v>
      </c>
      <c r="BF21" s="14">
        <f t="shared" si="37"/>
        <v>15.556073979202782</v>
      </c>
      <c r="BG21" s="22">
        <f t="shared" si="7"/>
        <v>120.55829551377816</v>
      </c>
      <c r="BH21" s="60">
        <f t="shared" si="8"/>
        <v>413.89162884711146</v>
      </c>
      <c r="BI21" s="60">
        <f ca="1">AVERAGE(OFFSET($BH$3,0,0,'Données projet'!$E$11+1,1))-AVERAGE(OFFSET($H$3,0,0,'Données projet'!$E$11+1,1))</f>
        <v>222.34562513006574</v>
      </c>
      <c r="BJ21" s="60">
        <f t="shared" si="38"/>
        <v>213.19969928771548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10</v>
      </c>
      <c r="BY21" s="13">
        <f>IF('Données projet'!$A$114&gt;35,BY20+BX21-CG20,IF(A21&lt;'Données projet'!$A$114,$BV$205^A21,IF(A21='Données projet'!$A$114,'Données projet'!$B$114,BY20+BX21-CG20)))</f>
        <v>167</v>
      </c>
      <c r="BZ21" s="14">
        <f>BY21*VLOOKUP('Données projet'!$B$12,Paramètres!$A$1:$I$89,3,0)*VLOOKUP('Données projet'!$B$12,Paramètres!$A$1:$I$89,5,0)</f>
        <v>151.10159999999999</v>
      </c>
      <c r="CA21" s="14">
        <f t="shared" si="39"/>
        <v>38.82882146347977</v>
      </c>
      <c r="CB21" s="22">
        <f t="shared" si="10"/>
        <v>330.79548404889391</v>
      </c>
      <c r="CC21" s="60">
        <f t="shared" si="11"/>
        <v>624.12881738222723</v>
      </c>
      <c r="CD21" s="60">
        <f ca="1">AVERAGE(OFFSET($CC$3,0,0,'Données projet'!$E$12+1,1))-AVERAGE(OFFSET($H$3,0,0,'Données projet'!$E$12+1,1))</f>
        <v>274.84847548786672</v>
      </c>
      <c r="CE21" s="60">
        <f t="shared" si="40"/>
        <v>376.2625056050623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0" t="e">
        <f t="shared" si="14"/>
        <v>#N/A</v>
      </c>
      <c r="CY21" s="60" t="e">
        <f ca="1">AVERAGE(OFFSET($CX$3,0,0,'Données projet'!$E$13+1,1))-AVERAGE(OFFSET($H$3,0,0,'Données projet'!$E$13+1,1))</f>
        <v>#N/A</v>
      </c>
      <c r="CZ21" s="60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8">
        <f t="shared" si="1"/>
        <v>314.92021764503886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11.54</v>
      </c>
      <c r="N22" s="14">
        <f>IF('Données projet'!$A$36&gt;35,N21+M22-V21,IF(A22&lt;'Données projet'!$A$36,$K$205^A22,IF(A22='Données projet'!$A$36,'Données projet'!$B$36,N21+M22-V21)))</f>
        <v>83.56</v>
      </c>
      <c r="O22" s="14">
        <f>N22*VLOOKUP('Données projet'!$B$9,Paramètres!$A$1:$I$89,3,0)*VLOOKUP('Données projet'!$B$9,Paramètres!$A$1:$I$89,5,0)</f>
        <v>66.480336000000008</v>
      </c>
      <c r="P22" s="14">
        <f t="shared" si="33"/>
        <v>18.796793982740784</v>
      </c>
      <c r="Q22" s="22">
        <f t="shared" si="2"/>
        <v>148.52433471994019</v>
      </c>
      <c r="R22" s="60">
        <f t="shared" si="0"/>
        <v>441.85766805327353</v>
      </c>
      <c r="S22" s="60">
        <f ca="1">AVERAGE(OFFSET($R$3,0,0,'Données projet'!$E$9+1,1))-AVERAGE(OFFSET($H$3,0,0,'Données projet'!$E$9+1,1))</f>
        <v>238.47463071449789</v>
      </c>
      <c r="T22" s="60">
        <f t="shared" si="34"/>
        <v>270.92950919803718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11.54</v>
      </c>
      <c r="AI22" s="14">
        <f>IF('Données projet'!$A$62&gt;35,AI21+AH22-AQ21,IF(A22&lt;'Données projet'!$A$62,$AF$205^A22,IF(A22='Données projet'!$A$62,'Données projet'!$B$62,AI21+AH22-AQ21)))</f>
        <v>83.56</v>
      </c>
      <c r="AJ22" s="14">
        <f>AI22*VLOOKUP('Données projet'!$B$10,Paramètres!$A$1:$I$89,3,0)*VLOOKUP('Données projet'!$B$10,Paramètres!$A$1:$I$89,5,0)</f>
        <v>61.266191999999997</v>
      </c>
      <c r="AK22" s="14">
        <f t="shared" si="35"/>
        <v>17.488011941198707</v>
      </c>
      <c r="AL22" s="22">
        <f t="shared" si="4"/>
        <v>137.16357186425441</v>
      </c>
      <c r="AM22" s="60">
        <f t="shared" si="5"/>
        <v>430.49690519758769</v>
      </c>
      <c r="AN22" s="60">
        <f ca="1">AVERAGE(OFFSET($AM$3,0,0,'Données projet'!$E$10+1,1))-AVERAGE(OFFSET($H$3,0,0,'Données projet'!$E$10+1,1))</f>
        <v>216.80783650073869</v>
      </c>
      <c r="AO22" s="60">
        <f t="shared" si="36"/>
        <v>247.59561829759309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78.399999999999991</v>
      </c>
      <c r="BE22" s="14">
        <f>BD22*VLOOKUP('Données projet'!$B$11,Paramètres!$A$1:$I$89,3,0)*VLOOKUP('Données projet'!$B$11,Paramètres!$A$1:$I$89,5,0)</f>
        <v>61.151999999999994</v>
      </c>
      <c r="BF22" s="14">
        <f t="shared" si="37"/>
        <v>17.459207591071255</v>
      </c>
      <c r="BG22" s="22">
        <f t="shared" si="7"/>
        <v>136.9145198877824</v>
      </c>
      <c r="BH22" s="60">
        <f t="shared" si="8"/>
        <v>430.24785322111575</v>
      </c>
      <c r="BI22" s="60">
        <f ca="1">AVERAGE(OFFSET($BH$3,0,0,'Données projet'!$E$11+1,1))-AVERAGE(OFFSET($H$3,0,0,'Données projet'!$E$11+1,1))</f>
        <v>222.34562513006574</v>
      </c>
      <c r="BJ22" s="60">
        <f t="shared" si="38"/>
        <v>213.19969928771548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10</v>
      </c>
      <c r="BY22" s="13">
        <f>IF('Données projet'!$A$114&gt;35,BY21+BX22-CG21,IF(A22&lt;'Données projet'!$A$114,$BV$205^A22,IF(A22='Données projet'!$A$114,'Données projet'!$B$114,BY21+BX22-CG21)))</f>
        <v>177</v>
      </c>
      <c r="BZ22" s="14">
        <f>BY22*VLOOKUP('Données projet'!$B$12,Paramètres!$A$1:$I$89,3,0)*VLOOKUP('Données projet'!$B$12,Paramètres!$A$1:$I$89,5,0)</f>
        <v>160.14959999999999</v>
      </c>
      <c r="CA22" s="14">
        <f t="shared" si="39"/>
        <v>40.876256268741535</v>
      </c>
      <c r="CB22" s="22">
        <f t="shared" si="10"/>
        <v>350.1200330013915</v>
      </c>
      <c r="CC22" s="60">
        <f t="shared" si="11"/>
        <v>643.45336633472482</v>
      </c>
      <c r="CD22" s="60">
        <f ca="1">AVERAGE(OFFSET($CC$3,0,0,'Données projet'!$E$12+1,1))-AVERAGE(OFFSET($H$3,0,0,'Données projet'!$E$12+1,1))</f>
        <v>274.84847548786672</v>
      </c>
      <c r="CE22" s="60">
        <f t="shared" si="40"/>
        <v>376.2625056050623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0" t="e">
        <f t="shared" si="14"/>
        <v>#N/A</v>
      </c>
      <c r="CY22" s="60" t="e">
        <f ca="1">AVERAGE(OFFSET($CX$3,0,0,'Données projet'!$E$13+1,1))-AVERAGE(OFFSET($H$3,0,0,'Données projet'!$E$13+1,1))</f>
        <v>#N/A</v>
      </c>
      <c r="CZ22" s="60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8">
        <f t="shared" si="1"/>
        <v>316.02084222454056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95.1</v>
      </c>
      <c r="L23" s="13">
        <f>VLOOKUP(A23,'Données projet'!$A$35:$I$55,9,0)</f>
        <v>11.54</v>
      </c>
      <c r="M23" s="13">
        <f t="array" ref="M23">INDEX(L:L,MIN(IF(ISNUMBER(L23:L219),ROW(L23:L219),"")))</f>
        <v>11.54</v>
      </c>
      <c r="N23" s="14">
        <f>IF('Données projet'!$A$36&gt;35,N22+M23-V22,IF(A23&lt;'Données projet'!$A$36,$K$205^A23,IF(A23='Données projet'!$A$36,'Données projet'!$B$36,N22+M23-V22)))</f>
        <v>95.1</v>
      </c>
      <c r="O23" s="14">
        <f>N23*VLOOKUP('Données projet'!$B$9,Paramètres!$A$1:$I$89,3,0)*VLOOKUP('Données projet'!$B$9,Paramètres!$A$1:$I$89,5,0)</f>
        <v>75.661559999999994</v>
      </c>
      <c r="P23" s="14">
        <f t="shared" si="33"/>
        <v>21.072995399411479</v>
      </c>
      <c r="Q23" s="22">
        <f t="shared" si="2"/>
        <v>168.47935065397499</v>
      </c>
      <c r="R23" s="60">
        <f t="shared" si="0"/>
        <v>461.81268398730833</v>
      </c>
      <c r="S23" s="60">
        <f ca="1">AVERAGE(OFFSET($R$3,0,0,'Données projet'!$E$9+1,1))-AVERAGE(OFFSET($H$3,0,0,'Données projet'!$E$9+1,1))</f>
        <v>238.47463071449789</v>
      </c>
      <c r="T23" s="60">
        <f t="shared" si="34"/>
        <v>270.92950919803718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43.1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95.1</v>
      </c>
      <c r="AG23" s="13">
        <f>VLOOKUP(A23,'Données projet'!$A$61:$I$81,9,0)</f>
        <v>11.54</v>
      </c>
      <c r="AH23" s="13">
        <f t="array" ref="AH23">INDEX(AG:AG,MIN(IF(ISNUMBER(AG23:AG219),ROW(AG23:AG219),"")))</f>
        <v>11.54</v>
      </c>
      <c r="AI23" s="14">
        <f>IF('Données projet'!$A$62&gt;35,AI22+AH23-AQ22,IF(A23&lt;'Données projet'!$A$62,$AF$205^A23,IF(A23='Données projet'!$A$62,'Données projet'!$B$62,AI22+AH23-AQ22)))</f>
        <v>95.1</v>
      </c>
      <c r="AJ23" s="14">
        <f>AI23*VLOOKUP('Données projet'!$B$10,Paramètres!$A$1:$I$89,3,0)*VLOOKUP('Données projet'!$B$10,Paramètres!$A$1:$I$89,5,0)</f>
        <v>69.727319999999992</v>
      </c>
      <c r="AK23" s="14">
        <f t="shared" si="35"/>
        <v>19.605726142453484</v>
      </c>
      <c r="AL23" s="22">
        <f t="shared" si="4"/>
        <v>155.58838869810646</v>
      </c>
      <c r="AM23" s="60">
        <f t="shared" si="5"/>
        <v>448.9217220314398</v>
      </c>
      <c r="AN23" s="60">
        <f ca="1">AVERAGE(OFFSET($AM$3,0,0,'Données projet'!$E$10+1,1))-AVERAGE(OFFSET($H$3,0,0,'Données projet'!$E$10+1,1))</f>
        <v>216.80783650073869</v>
      </c>
      <c r="AO23" s="60">
        <f t="shared" si="36"/>
        <v>247.59561829759309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43.1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88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87.999999999999986</v>
      </c>
      <c r="BE23" s="14">
        <f>BD23*VLOOKUP('Données projet'!$B$11,Paramètres!$A$1:$I$89,3,0)*VLOOKUP('Données projet'!$B$11,Paramètres!$A$1:$I$89,5,0)</f>
        <v>68.639999999999986</v>
      </c>
      <c r="BF23" s="14">
        <f t="shared" si="37"/>
        <v>19.335336956640202</v>
      </c>
      <c r="BG23" s="22">
        <f t="shared" si="7"/>
        <v>153.22371186614834</v>
      </c>
      <c r="BH23" s="60">
        <f t="shared" si="8"/>
        <v>446.55704519948165</v>
      </c>
      <c r="BI23" s="60">
        <f ca="1">AVERAGE(OFFSET($BH$3,0,0,'Données projet'!$E$11+1,1))-AVERAGE(OFFSET($H$3,0,0,'Données projet'!$E$11+1,1))</f>
        <v>222.34562513006574</v>
      </c>
      <c r="BJ23" s="60">
        <f t="shared" si="38"/>
        <v>213.19969928771548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28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187</v>
      </c>
      <c r="BW23" s="13">
        <f>VLOOKUP(A23,'Données projet'!$A$113:$I$133,9,0)</f>
        <v>10</v>
      </c>
      <c r="BX23" s="13">
        <f t="array" ref="BX23">INDEX(BW:BW,MIN(IF(ISNUMBER(BW23:BW219),ROW(BW23:BW219),"")))</f>
        <v>10</v>
      </c>
      <c r="BY23" s="13">
        <f>IF('Données projet'!$A$114&gt;35,BY22+BX23-CG22,IF(A23&lt;'Données projet'!$A$114,$BV$205^A23,IF(A23='Données projet'!$A$114,'Données projet'!$B$114,BY22+BX23-CG22)))</f>
        <v>187</v>
      </c>
      <c r="BZ23" s="14">
        <f>BY23*VLOOKUP('Données projet'!$B$12,Paramètres!$A$1:$I$89,3,0)*VLOOKUP('Données projet'!$B$12,Paramètres!$A$1:$I$89,5,0)</f>
        <v>169.19759999999999</v>
      </c>
      <c r="CA23" s="14">
        <f t="shared" si="39"/>
        <v>42.910263223432885</v>
      </c>
      <c r="CB23" s="22">
        <f t="shared" si="10"/>
        <v>369.42119511414558</v>
      </c>
      <c r="CC23" s="60">
        <f t="shared" si="11"/>
        <v>662.75452844747883</v>
      </c>
      <c r="CD23" s="60">
        <f ca="1">AVERAGE(OFFSET($CC$3,0,0,'Données projet'!$E$12+1,1))-AVERAGE(OFFSET($H$3,0,0,'Données projet'!$E$12+1,1))</f>
        <v>274.84847548786672</v>
      </c>
      <c r="CE23" s="60">
        <f t="shared" si="40"/>
        <v>376.2625056050623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56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0" t="e">
        <f t="shared" si="14"/>
        <v>#N/A</v>
      </c>
      <c r="CY23" s="60" t="e">
        <f ca="1">AVERAGE(OFFSET($CX$3,0,0,'Données projet'!$E$13+1,1))-AVERAGE(OFFSET($H$3,0,0,'Données projet'!$E$13+1,1))</f>
        <v>#N/A</v>
      </c>
      <c r="CZ23" s="60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8">
        <f t="shared" si="1"/>
        <v>317.11994059772178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12.500000000000002</v>
      </c>
      <c r="N24" s="14">
        <f>IF('Données projet'!$A$36&gt;35,N23+M24-V23,IF(A24&lt;'Données projet'!$A$36,$K$205^A24,IF(A24='Données projet'!$A$36,'Données projet'!$B$36,N23+M24-V23)))</f>
        <v>64.5</v>
      </c>
      <c r="O24" s="14">
        <f>N24*VLOOKUP('Données projet'!$B$9,Paramètres!$A$1:$I$89,3,0)*VLOOKUP('Données projet'!$B$9,Paramètres!$A$1:$I$89,5,0)</f>
        <v>51.316200000000009</v>
      </c>
      <c r="P24" s="14">
        <f t="shared" si="33"/>
        <v>14.953158316506878</v>
      </c>
      <c r="Q24" s="22">
        <f t="shared" si="2"/>
        <v>115.41913240124948</v>
      </c>
      <c r="R24" s="60">
        <f t="shared" si="0"/>
        <v>408.75246573458281</v>
      </c>
      <c r="S24" s="60">
        <f ca="1">AVERAGE(OFFSET($R$3,0,0,'Données projet'!$E$9+1,1))-AVERAGE(OFFSET($H$3,0,0,'Données projet'!$E$9+1,1))</f>
        <v>238.47463071449789</v>
      </c>
      <c r="T24" s="60">
        <f t="shared" si="34"/>
        <v>270.92950919803718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12.500000000000002</v>
      </c>
      <c r="AI24" s="14">
        <f>IF('Données projet'!$A$62&gt;35,AI23+AH24-AQ23,IF(A24&lt;'Données projet'!$A$62,$AF$205^A24,IF(A24='Données projet'!$A$62,'Données projet'!$B$62,AI23+AH24-AQ23)))</f>
        <v>64.5</v>
      </c>
      <c r="AJ24" s="14">
        <f>AI24*VLOOKUP('Données projet'!$B$10,Paramètres!$A$1:$I$89,3,0)*VLOOKUP('Données projet'!$B$10,Paramètres!$A$1:$I$89,5,0)</f>
        <v>47.291399999999996</v>
      </c>
      <c r="AK24" s="14">
        <f t="shared" si="35"/>
        <v>13.91200070808976</v>
      </c>
      <c r="AL24" s="22">
        <f t="shared" si="4"/>
        <v>106.595922899923</v>
      </c>
      <c r="AM24" s="60">
        <f t="shared" si="5"/>
        <v>399.9292562332563</v>
      </c>
      <c r="AN24" s="60">
        <f ca="1">AVERAGE(OFFSET($AM$3,0,0,'Données projet'!$E$10+1,1))-AVERAGE(OFFSET($H$3,0,0,'Données projet'!$E$10+1,1))</f>
        <v>216.80783650073869</v>
      </c>
      <c r="AO24" s="60">
        <f t="shared" si="36"/>
        <v>247.59561829759309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70.59999999999998</v>
      </c>
      <c r="BE24" s="14">
        <f>BD24*VLOOKUP('Données projet'!$B$11,Paramètres!$A$1:$I$89,3,0)*VLOOKUP('Données projet'!$B$11,Paramètres!$A$1:$I$89,5,0)</f>
        <v>55.067999999999984</v>
      </c>
      <c r="BF24" s="14">
        <f t="shared" si="37"/>
        <v>15.915148294580479</v>
      </c>
      <c r="BG24" s="22">
        <f t="shared" si="7"/>
        <v>123.62898327972762</v>
      </c>
      <c r="BH24" s="60">
        <f t="shared" si="8"/>
        <v>416.96231661306092</v>
      </c>
      <c r="BI24" s="60">
        <f ca="1">AVERAGE(OFFSET($BH$3,0,0,'Données projet'!$E$11+1,1))-AVERAGE(OFFSET($H$3,0,0,'Données projet'!$E$11+1,1))</f>
        <v>222.34562513006574</v>
      </c>
      <c r="BJ24" s="60">
        <f t="shared" si="38"/>
        <v>213.19969928771548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8.4</v>
      </c>
      <c r="BY24" s="13">
        <f>IF('Données projet'!$A$114&gt;35,BY23+BX24-CG23,IF(A24&lt;'Données projet'!$A$114,$BV$205^A24,IF(A24='Données projet'!$A$114,'Données projet'!$B$114,BY23+BX24-CG23)))</f>
        <v>139.4</v>
      </c>
      <c r="BZ24" s="14">
        <f>BY24*VLOOKUP('Données projet'!$B$12,Paramètres!$A$1:$I$89,3,0)*VLOOKUP('Données projet'!$B$12,Paramètres!$A$1:$I$89,5,0)</f>
        <v>126.12912000000001</v>
      </c>
      <c r="CA24" s="14">
        <f t="shared" si="39"/>
        <v>33.100345121748241</v>
      </c>
      <c r="CB24" s="22">
        <f t="shared" si="10"/>
        <v>277.32465175371152</v>
      </c>
      <c r="CC24" s="60">
        <f t="shared" si="11"/>
        <v>570.65798508704484</v>
      </c>
      <c r="CD24" s="60">
        <f ca="1">AVERAGE(OFFSET($CC$3,0,0,'Données projet'!$E$12+1,1))-AVERAGE(OFFSET($H$3,0,0,'Données projet'!$E$12+1,1))</f>
        <v>274.84847548786672</v>
      </c>
      <c r="CE24" s="60">
        <f t="shared" si="40"/>
        <v>376.2625056050623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0" t="e">
        <f t="shared" si="14"/>
        <v>#N/A</v>
      </c>
      <c r="CY24" s="60" t="e">
        <f ca="1">AVERAGE(OFFSET($CX$3,0,0,'Données projet'!$E$13+1,1))-AVERAGE(OFFSET($H$3,0,0,'Données projet'!$E$13+1,1))</f>
        <v>#N/A</v>
      </c>
      <c r="CZ24" s="60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8">
        <f t="shared" si="1"/>
        <v>318.21759373877319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12.500000000000002</v>
      </c>
      <c r="N25" s="14">
        <f>IF('Données projet'!$A$36&gt;35,N24+M25-V24,IF(A25&lt;'Données projet'!$A$36,$K$205^A25,IF(A25='Données projet'!$A$36,'Données projet'!$B$36,N24+M25-V24)))</f>
        <v>77</v>
      </c>
      <c r="O25" s="14">
        <f>N25*VLOOKUP('Données projet'!$B$9,Paramètres!$A$1:$I$89,3,0)*VLOOKUP('Données projet'!$B$9,Paramètres!$A$1:$I$89,5,0)</f>
        <v>61.261200000000009</v>
      </c>
      <c r="P25" s="14">
        <f t="shared" si="33"/>
        <v>17.486752865339852</v>
      </c>
      <c r="Q25" s="22">
        <f t="shared" si="2"/>
        <v>137.15268457380026</v>
      </c>
      <c r="R25" s="60">
        <f t="shared" si="0"/>
        <v>430.4860179071336</v>
      </c>
      <c r="S25" s="60">
        <f ca="1">AVERAGE(OFFSET($R$3,0,0,'Données projet'!$E$9+1,1))-AVERAGE(OFFSET($H$3,0,0,'Données projet'!$E$9+1,1))</f>
        <v>238.47463071449789</v>
      </c>
      <c r="T25" s="60">
        <f t="shared" si="34"/>
        <v>270.92950919803718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12.500000000000002</v>
      </c>
      <c r="AI25" s="14">
        <f>IF('Données projet'!$A$62&gt;35,AI24+AH25-AQ24,IF(A25&lt;'Données projet'!$A$62,$AF$205^A25,IF(A25='Données projet'!$A$62,'Données projet'!$B$62,AI24+AH25-AQ24)))</f>
        <v>77</v>
      </c>
      <c r="AJ25" s="14">
        <f>AI25*VLOOKUP('Données projet'!$B$10,Paramètres!$A$1:$I$89,3,0)*VLOOKUP('Données projet'!$B$10,Paramètres!$A$1:$I$89,5,0)</f>
        <v>56.456399999999995</v>
      </c>
      <c r="AK25" s="14">
        <f t="shared" si="35"/>
        <v>16.269186287972712</v>
      </c>
      <c r="AL25" s="22">
        <f t="shared" si="4"/>
        <v>126.66372945155246</v>
      </c>
      <c r="AM25" s="60">
        <f t="shared" si="5"/>
        <v>419.99706278488577</v>
      </c>
      <c r="AN25" s="60">
        <f ca="1">AVERAGE(OFFSET($AM$3,0,0,'Données projet'!$E$10+1,1))-AVERAGE(OFFSET($H$3,0,0,'Données projet'!$E$10+1,1))</f>
        <v>216.80783650073869</v>
      </c>
      <c r="AO25" s="60">
        <f t="shared" si="36"/>
        <v>247.59561829759309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81.199999999999974</v>
      </c>
      <c r="BE25" s="14">
        <f>BD25*VLOOKUP('Données projet'!$B$11,Paramètres!$A$1:$I$89,3,0)*VLOOKUP('Données projet'!$B$11,Paramètres!$A$1:$I$89,5,0)</f>
        <v>63.335999999999984</v>
      </c>
      <c r="BF25" s="14">
        <f t="shared" si="37"/>
        <v>18.009040022946227</v>
      </c>
      <c r="BG25" s="22">
        <f t="shared" si="7"/>
        <v>141.67594470663133</v>
      </c>
      <c r="BH25" s="60">
        <f t="shared" si="8"/>
        <v>435.00927803996467</v>
      </c>
      <c r="BI25" s="60">
        <f ca="1">AVERAGE(OFFSET($BH$3,0,0,'Données projet'!$E$11+1,1))-AVERAGE(OFFSET($H$3,0,0,'Données projet'!$E$11+1,1))</f>
        <v>222.34562513006574</v>
      </c>
      <c r="BJ25" s="60">
        <f t="shared" si="38"/>
        <v>213.19969928771548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8.4</v>
      </c>
      <c r="BY25" s="13">
        <f>IF('Données projet'!$A$114&gt;35,BY24+BX25-CG24,IF(A25&lt;'Données projet'!$A$114,$BV$205^A25,IF(A25='Données projet'!$A$114,'Données projet'!$B$114,BY24+BX25-CG24)))</f>
        <v>147.80000000000001</v>
      </c>
      <c r="BZ25" s="14">
        <f>BY25*VLOOKUP('Données projet'!$B$12,Paramètres!$A$1:$I$89,3,0)*VLOOKUP('Données projet'!$B$12,Paramètres!$A$1:$I$89,5,0)</f>
        <v>133.72944000000001</v>
      </c>
      <c r="CA25" s="14">
        <f t="shared" si="39"/>
        <v>34.856699711744326</v>
      </c>
      <c r="CB25" s="22">
        <f t="shared" si="10"/>
        <v>293.62085999795471</v>
      </c>
      <c r="CC25" s="60">
        <f t="shared" si="11"/>
        <v>586.95419333128802</v>
      </c>
      <c r="CD25" s="60">
        <f ca="1">AVERAGE(OFFSET($CC$3,0,0,'Données projet'!$E$12+1,1))-AVERAGE(OFFSET($H$3,0,0,'Données projet'!$E$12+1,1))</f>
        <v>274.84847548786672</v>
      </c>
      <c r="CE25" s="60">
        <f t="shared" si="40"/>
        <v>376.2625056050623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0" t="e">
        <f t="shared" si="14"/>
        <v>#N/A</v>
      </c>
      <c r="CY25" s="60" t="e">
        <f ca="1">AVERAGE(OFFSET($CX$3,0,0,'Données projet'!$E$13+1,1))-AVERAGE(OFFSET($H$3,0,0,'Données projet'!$E$13+1,1))</f>
        <v>#N/A</v>
      </c>
      <c r="CZ25" s="60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8">
        <f t="shared" si="1"/>
        <v>319.31387484448885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12.500000000000002</v>
      </c>
      <c r="N26" s="14">
        <f>IF('Données projet'!$A$36&gt;35,N25+M26-V25,IF(A26&lt;'Données projet'!$A$36,$K$205^A26,IF(A26='Données projet'!$A$36,'Données projet'!$B$36,N25+M26-V25)))</f>
        <v>89.5</v>
      </c>
      <c r="O26" s="14">
        <f>N26*VLOOKUP('Données projet'!$B$9,Paramètres!$A$1:$I$89,3,0)*VLOOKUP('Données projet'!$B$9,Paramètres!$A$1:$I$89,5,0)</f>
        <v>71.20620000000001</v>
      </c>
      <c r="P26" s="14">
        <f t="shared" si="33"/>
        <v>19.972701050724211</v>
      </c>
      <c r="Q26" s="22">
        <f t="shared" si="2"/>
        <v>158.80325266334467</v>
      </c>
      <c r="R26" s="60">
        <f t="shared" si="0"/>
        <v>452.13658599667798</v>
      </c>
      <c r="S26" s="60">
        <f ca="1">AVERAGE(OFFSET($R$3,0,0,'Données projet'!$E$9+1,1))-AVERAGE(OFFSET($H$3,0,0,'Données projet'!$E$9+1,1))</f>
        <v>238.47463071449789</v>
      </c>
      <c r="T26" s="60">
        <f t="shared" si="34"/>
        <v>270.92950919803718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12.500000000000002</v>
      </c>
      <c r="AI26" s="14">
        <f>IF('Données projet'!$A$62&gt;35,AI25+AH26-AQ25,IF(A26&lt;'Données projet'!$A$62,$AF$205^A26,IF(A26='Données projet'!$A$62,'Données projet'!$B$62,AI25+AH26-AQ25)))</f>
        <v>89.5</v>
      </c>
      <c r="AJ26" s="14">
        <f>AI26*VLOOKUP('Données projet'!$B$10,Paramètres!$A$1:$I$89,3,0)*VLOOKUP('Données projet'!$B$10,Paramètres!$A$1:$I$89,5,0)</f>
        <v>65.621399999999994</v>
      </c>
      <c r="AK26" s="14">
        <f t="shared" si="35"/>
        <v>18.582043022537167</v>
      </c>
      <c r="AL26" s="22">
        <f t="shared" si="4"/>
        <v>146.65432993091889</v>
      </c>
      <c r="AM26" s="60">
        <f t="shared" si="5"/>
        <v>439.98766326425221</v>
      </c>
      <c r="AN26" s="60">
        <f ca="1">AVERAGE(OFFSET($AM$3,0,0,'Données projet'!$E$10+1,1))-AVERAGE(OFFSET($H$3,0,0,'Données projet'!$E$10+1,1))</f>
        <v>216.80783650073869</v>
      </c>
      <c r="AO26" s="60">
        <f t="shared" si="36"/>
        <v>247.59561829759309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91.799999999999969</v>
      </c>
      <c r="BE26" s="14">
        <f>BD26*VLOOKUP('Données projet'!$B$11,Paramètres!$A$1:$I$89,3,0)*VLOOKUP('Données projet'!$B$11,Paramètres!$A$1:$I$89,5,0)</f>
        <v>71.603999999999985</v>
      </c>
      <c r="BF26" s="14">
        <f t="shared" si="37"/>
        <v>20.071260561992585</v>
      </c>
      <c r="BG26" s="22">
        <f t="shared" si="7"/>
        <v>159.66774547880371</v>
      </c>
      <c r="BH26" s="60">
        <f t="shared" si="8"/>
        <v>453.00107881213705</v>
      </c>
      <c r="BI26" s="60">
        <f ca="1">AVERAGE(OFFSET($BH$3,0,0,'Données projet'!$E$11+1,1))-AVERAGE(OFFSET($H$3,0,0,'Données projet'!$E$11+1,1))</f>
        <v>222.34562513006574</v>
      </c>
      <c r="BJ26" s="60">
        <f t="shared" si="38"/>
        <v>213.19969928771548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8.4</v>
      </c>
      <c r="BY26" s="13">
        <f>IF('Données projet'!$A$114&gt;35,BY25+BX26-CG25,IF(A26&lt;'Données projet'!$A$114,$BV$205^A26,IF(A26='Données projet'!$A$114,'Données projet'!$B$114,BY25+BX26-CG25)))</f>
        <v>156.20000000000002</v>
      </c>
      <c r="BZ26" s="14">
        <f>BY26*VLOOKUP('Données projet'!$B$12,Paramètres!$A$1:$I$89,3,0)*VLOOKUP('Données projet'!$B$12,Paramètres!$A$1:$I$89,5,0)</f>
        <v>141.32976000000002</v>
      </c>
      <c r="CA26" s="14">
        <f t="shared" si="39"/>
        <v>36.601467030988793</v>
      </c>
      <c r="CB26" s="22">
        <f t="shared" si="10"/>
        <v>309.89688707897216</v>
      </c>
      <c r="CC26" s="60">
        <f t="shared" si="11"/>
        <v>603.23022041230547</v>
      </c>
      <c r="CD26" s="60">
        <f ca="1">AVERAGE(OFFSET($CC$3,0,0,'Données projet'!$E$12+1,1))-AVERAGE(OFFSET($H$3,0,0,'Données projet'!$E$12+1,1))</f>
        <v>274.84847548786672</v>
      </c>
      <c r="CE26" s="60">
        <f t="shared" si="40"/>
        <v>376.2625056050623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0" t="e">
        <f t="shared" si="14"/>
        <v>#N/A</v>
      </c>
      <c r="CY26" s="60" t="e">
        <f ca="1">AVERAGE(OFFSET($CX$3,0,0,'Données projet'!$E$13+1,1))-AVERAGE(OFFSET($H$3,0,0,'Données projet'!$E$13+1,1))</f>
        <v>#N/A</v>
      </c>
      <c r="CZ26" s="60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8">
        <f t="shared" si="1"/>
        <v>320.40885038678698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12.500000000000002</v>
      </c>
      <c r="N27" s="14">
        <f>IF('Données projet'!$A$36&gt;35,N26+M27-V26,IF(A27&lt;'Données projet'!$A$36,$K$205^A27,IF(A27='Données projet'!$A$36,'Données projet'!$B$36,N26+M27-V26)))</f>
        <v>102</v>
      </c>
      <c r="O27" s="14">
        <f>N27*VLOOKUP('Données projet'!$B$9,Paramètres!$A$1:$I$89,3,0)*VLOOKUP('Données projet'!$B$9,Paramètres!$A$1:$I$89,5,0)</f>
        <v>81.151200000000003</v>
      </c>
      <c r="P27" s="14">
        <f t="shared" si="33"/>
        <v>22.418424032002342</v>
      </c>
      <c r="Q27" s="22">
        <f t="shared" si="2"/>
        <v>180.38376185573739</v>
      </c>
      <c r="R27" s="60">
        <f t="shared" si="0"/>
        <v>473.71709518907073</v>
      </c>
      <c r="S27" s="60">
        <f ca="1">AVERAGE(OFFSET($R$3,0,0,'Données projet'!$E$9+1,1))-AVERAGE(OFFSET($H$3,0,0,'Données projet'!$E$9+1,1))</f>
        <v>238.47463071449789</v>
      </c>
      <c r="T27" s="60">
        <f t="shared" si="34"/>
        <v>270.92950919803718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12.500000000000002</v>
      </c>
      <c r="AI27" s="14">
        <f>IF('Données projet'!$A$62&gt;35,AI26+AH27-AQ26,IF(A27&lt;'Données projet'!$A$62,$AF$205^A27,IF(A27='Données projet'!$A$62,'Données projet'!$B$62,AI26+AH27-AQ26)))</f>
        <v>102</v>
      </c>
      <c r="AJ27" s="14">
        <f>AI27*VLOOKUP('Données projet'!$B$10,Paramètres!$A$1:$I$89,3,0)*VLOOKUP('Données projet'!$B$10,Paramètres!$A$1:$I$89,5,0)</f>
        <v>74.7864</v>
      </c>
      <c r="AK27" s="14">
        <f t="shared" si="35"/>
        <v>20.857475351088969</v>
      </c>
      <c r="AL27" s="22">
        <f t="shared" si="4"/>
        <v>166.57974956981329</v>
      </c>
      <c r="AM27" s="60">
        <f t="shared" si="5"/>
        <v>459.91308290314657</v>
      </c>
      <c r="AN27" s="60">
        <f ca="1">AVERAGE(OFFSET($AM$3,0,0,'Données projet'!$E$10+1,1))-AVERAGE(OFFSET($H$3,0,0,'Données projet'!$E$10+1,1))</f>
        <v>216.80783650073869</v>
      </c>
      <c r="AO27" s="60">
        <f t="shared" si="36"/>
        <v>247.59561829759309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79.871999999999971</v>
      </c>
      <c r="BF27" s="14">
        <f t="shared" si="37"/>
        <v>22.105884547145401</v>
      </c>
      <c r="BG27" s="22">
        <f t="shared" si="7"/>
        <v>177.61148225294485</v>
      </c>
      <c r="BH27" s="60">
        <f t="shared" si="8"/>
        <v>470.9448155862782</v>
      </c>
      <c r="BI27" s="60">
        <f ca="1">AVERAGE(OFFSET($BH$3,0,0,'Données projet'!$E$11+1,1))-AVERAGE(OFFSET($H$3,0,0,'Données projet'!$E$11+1,1))</f>
        <v>222.34562513006574</v>
      </c>
      <c r="BJ27" s="60">
        <f t="shared" si="38"/>
        <v>213.19969928771548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8.4</v>
      </c>
      <c r="BY27" s="13">
        <f>IF('Données projet'!$A$114&gt;35,BY26+BX27-CG26,IF(A27&lt;'Données projet'!$A$114,$BV$205^A27,IF(A27='Données projet'!$A$114,'Données projet'!$B$114,BY26+BX27-CG26)))</f>
        <v>164.60000000000002</v>
      </c>
      <c r="BZ27" s="14">
        <f>BY27*VLOOKUP('Données projet'!$B$12,Paramètres!$A$1:$I$89,3,0)*VLOOKUP('Données projet'!$B$12,Paramètres!$A$1:$I$89,5,0)</f>
        <v>148.93008</v>
      </c>
      <c r="CA27" s="14">
        <f t="shared" si="39"/>
        <v>38.335341256889777</v>
      </c>
      <c r="CB27" s="22">
        <f t="shared" si="10"/>
        <v>326.1539420224164</v>
      </c>
      <c r="CC27" s="60">
        <f t="shared" si="11"/>
        <v>619.48727535574972</v>
      </c>
      <c r="CD27" s="60">
        <f ca="1">AVERAGE(OFFSET($CC$3,0,0,'Données projet'!$E$12+1,1))-AVERAGE(OFFSET($H$3,0,0,'Données projet'!$E$12+1,1))</f>
        <v>274.84847548786672</v>
      </c>
      <c r="CE27" s="60">
        <f t="shared" si="40"/>
        <v>376.2625056050623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0" t="e">
        <f t="shared" si="14"/>
        <v>#N/A</v>
      </c>
      <c r="CY27" s="60" t="e">
        <f ca="1">AVERAGE(OFFSET($CX$3,0,0,'Données projet'!$E$13+1,1))-AVERAGE(OFFSET($H$3,0,0,'Données projet'!$E$13+1,1))</f>
        <v>#N/A</v>
      </c>
      <c r="CZ27" s="60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8">
        <f t="shared" si="1"/>
        <v>321.50258098486643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114.5</v>
      </c>
      <c r="L28" s="13">
        <f>VLOOKUP(A28,'Données projet'!$A$35:$I$55,9,0)</f>
        <v>12.500000000000002</v>
      </c>
      <c r="M28" s="13">
        <f t="array" ref="M28">INDEX(L:L,MIN(IF(ISNUMBER(L28:L224),ROW(L28:L224),"")))</f>
        <v>12.500000000000002</v>
      </c>
      <c r="N28" s="14">
        <f>IF('Données projet'!$A$36&gt;35,N27+M28-V27,IF(A28&lt;'Données projet'!$A$36,$K$205^A28,IF(A28='Données projet'!$A$36,'Données projet'!$B$36,N27+M28-V27)))</f>
        <v>114.5</v>
      </c>
      <c r="O28" s="14">
        <f>N28*VLOOKUP('Données projet'!$B$9,Paramètres!$A$1:$I$89,3,0)*VLOOKUP('Données projet'!$B$9,Paramètres!$A$1:$I$89,5,0)</f>
        <v>91.09620000000001</v>
      </c>
      <c r="P28" s="14">
        <f t="shared" si="33"/>
        <v>24.829415470949538</v>
      </c>
      <c r="Q28" s="22">
        <f t="shared" si="2"/>
        <v>201.90378027857048</v>
      </c>
      <c r="R28" s="60">
        <f t="shared" si="0"/>
        <v>495.23711361190379</v>
      </c>
      <c r="S28" s="60">
        <f ca="1">AVERAGE(OFFSET($R$3,0,0,'Données projet'!$E$9+1,1))-AVERAGE(OFFSET($H$3,0,0,'Données projet'!$E$9+1,1))</f>
        <v>238.47463071449789</v>
      </c>
      <c r="T28" s="60">
        <f t="shared" si="34"/>
        <v>270.92950919803718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114.5</v>
      </c>
      <c r="AG28" s="13">
        <f>VLOOKUP(A28,'Données projet'!$A$61:$I$81,9,0)</f>
        <v>12.500000000000002</v>
      </c>
      <c r="AH28" s="13">
        <f t="array" ref="AH28">INDEX(AG:AG,MIN(IF(ISNUMBER(AG28:AG224),ROW(AG28:AG224),"")))</f>
        <v>12.500000000000002</v>
      </c>
      <c r="AI28" s="14">
        <f>IF('Données projet'!$A$62&gt;35,AI27+AH28-AQ27,IF(A28&lt;'Données projet'!$A$62,$AF$205^A28,IF(A28='Données projet'!$A$62,'Données projet'!$B$62,AI27+AH28-AQ27)))</f>
        <v>114.5</v>
      </c>
      <c r="AJ28" s="14">
        <f>AI28*VLOOKUP('Données projet'!$B$10,Paramètres!$A$1:$I$89,3,0)*VLOOKUP('Données projet'!$B$10,Paramètres!$A$1:$I$89,5,0)</f>
        <v>83.951399999999992</v>
      </c>
      <c r="AK28" s="14">
        <f t="shared" si="35"/>
        <v>23.100594423051504</v>
      </c>
      <c r="AL28" s="22">
        <f t="shared" si="4"/>
        <v>186.44889028681465</v>
      </c>
      <c r="AM28" s="60">
        <f t="shared" si="5"/>
        <v>479.78222362014799</v>
      </c>
      <c r="AN28" s="60">
        <f ca="1">AVERAGE(OFFSET($AM$3,0,0,'Données projet'!$E$10+1,1))-AVERAGE(OFFSET($H$3,0,0,'Données projet'!$E$10+1,1))</f>
        <v>216.80783650073869</v>
      </c>
      <c r="AO28" s="60">
        <f t="shared" si="36"/>
        <v>247.59561829759309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113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112.99999999999996</v>
      </c>
      <c r="BE28" s="14">
        <f>BD28*VLOOKUP('Données projet'!$B$11,Paramètres!$A$1:$I$89,3,0)*VLOOKUP('Données projet'!$B$11,Paramètres!$A$1:$I$89,5,0)</f>
        <v>88.139999999999972</v>
      </c>
      <c r="BF28" s="14">
        <f t="shared" si="37"/>
        <v>24.116094026318823</v>
      </c>
      <c r="BG28" s="22">
        <f t="shared" si="7"/>
        <v>195.51269709583855</v>
      </c>
      <c r="BH28" s="60">
        <f t="shared" si="8"/>
        <v>488.84603042917183</v>
      </c>
      <c r="BI28" s="60">
        <f ca="1">AVERAGE(OFFSET($BH$3,0,0,'Données projet'!$E$11+1,1))-AVERAGE(OFFSET($H$3,0,0,'Données projet'!$E$11+1,1))</f>
        <v>222.34562513006574</v>
      </c>
      <c r="BJ28" s="60">
        <f t="shared" si="38"/>
        <v>213.19969928771548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173</v>
      </c>
      <c r="BW28" s="13">
        <f>VLOOKUP(A28,'Données projet'!$A$113:$I$133,9,0)</f>
        <v>8.4</v>
      </c>
      <c r="BX28" s="13">
        <f t="array" ref="BX28">INDEX(BW:BW,MIN(IF(ISNUMBER(BW28:BW224),ROW(BW28:BW224),"")))</f>
        <v>8.4</v>
      </c>
      <c r="BY28" s="13">
        <f>IF('Données projet'!$A$114&gt;35,BY27+BX28-CG27,IF(A28&lt;'Données projet'!$A$114,$BV$205^A28,IF(A28='Données projet'!$A$114,'Données projet'!$B$114,BY27+BX28-CG27)))</f>
        <v>173.00000000000003</v>
      </c>
      <c r="BZ28" s="14">
        <f>BY28*VLOOKUP('Données projet'!$B$12,Paramètres!$A$1:$I$89,3,0)*VLOOKUP('Données projet'!$B$12,Paramètres!$A$1:$I$89,5,0)</f>
        <v>156.53040000000001</v>
      </c>
      <c r="CA28" s="14">
        <f t="shared" si="39"/>
        <v>40.058941713182037</v>
      </c>
      <c r="CB28" s="22">
        <f t="shared" si="10"/>
        <v>342.39310348379212</v>
      </c>
      <c r="CC28" s="60">
        <f t="shared" si="11"/>
        <v>635.72643681712543</v>
      </c>
      <c r="CD28" s="60">
        <f ca="1">AVERAGE(OFFSET($CC$3,0,0,'Données projet'!$E$12+1,1))-AVERAGE(OFFSET($H$3,0,0,'Données projet'!$E$12+1,1))</f>
        <v>274.84847548786672</v>
      </c>
      <c r="CE28" s="60">
        <f t="shared" si="40"/>
        <v>376.2625056050623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0" t="e">
        <f t="shared" si="14"/>
        <v>#N/A</v>
      </c>
      <c r="CY28" s="60" t="e">
        <f ca="1">AVERAGE(OFFSET($CX$3,0,0,'Données projet'!$E$13+1,1))-AVERAGE(OFFSET($H$3,0,0,'Données projet'!$E$13+1,1))</f>
        <v>#N/A</v>
      </c>
      <c r="CZ28" s="60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8">
        <f t="shared" si="1"/>
        <v>322.59512213389104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</v>
      </c>
      <c r="N29" s="14">
        <f>IF('Données projet'!$A$36&gt;35,N28+M29-V28,IF(A29&lt;'Données projet'!$A$36,$K$205^A29,IF(A29='Données projet'!$A$36,'Données projet'!$B$36,N28+M29-V28)))</f>
        <v>126.5</v>
      </c>
      <c r="O29" s="14">
        <f>N29*VLOOKUP('Données projet'!$B$9,Paramètres!$A$1:$I$89,3,0)*VLOOKUP('Données projet'!$B$9,Paramètres!$A$1:$I$89,5,0)</f>
        <v>100.6434</v>
      </c>
      <c r="P29" s="14">
        <f t="shared" si="33"/>
        <v>27.115221465557241</v>
      </c>
      <c r="Q29" s="22">
        <f t="shared" si="2"/>
        <v>222.51293238584552</v>
      </c>
      <c r="R29" s="60">
        <f t="shared" si="0"/>
        <v>515.84626571917886</v>
      </c>
      <c r="S29" s="60">
        <f ca="1">AVERAGE(OFFSET($R$3,0,0,'Données projet'!$E$9+1,1))-AVERAGE(OFFSET($H$3,0,0,'Données projet'!$E$9+1,1))</f>
        <v>238.47463071449789</v>
      </c>
      <c r="T29" s="60">
        <f t="shared" si="34"/>
        <v>270.92950919803718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126.5</v>
      </c>
      <c r="AJ29" s="14">
        <f>AI29*VLOOKUP('Données projet'!$B$10,Paramètres!$A$1:$I$89,3,0)*VLOOKUP('Données projet'!$B$10,Paramètres!$A$1:$I$89,5,0)</f>
        <v>92.749800000000008</v>
      </c>
      <c r="AK29" s="14">
        <f t="shared" si="35"/>
        <v>25.227244455268032</v>
      </c>
      <c r="AL29" s="22">
        <f t="shared" si="4"/>
        <v>205.47668575959185</v>
      </c>
      <c r="AM29" s="60">
        <f t="shared" si="5"/>
        <v>498.81001909292513</v>
      </c>
      <c r="AN29" s="60">
        <f ca="1">AVERAGE(OFFSET($AM$3,0,0,'Données projet'!$E$10+1,1))-AVERAGE(OFFSET($H$3,0,0,'Données projet'!$E$10+1,1))</f>
        <v>216.80783650073869</v>
      </c>
      <c r="AO29" s="60">
        <f t="shared" si="36"/>
        <v>247.59561829759309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97.499999999999957</v>
      </c>
      <c r="BE29" s="14">
        <f>BD29*VLOOKUP('Données projet'!$B$11,Paramètres!$A$1:$I$89,3,0)*VLOOKUP('Données projet'!$B$11,Paramètres!$A$1:$I$89,5,0)</f>
        <v>76.049999999999969</v>
      </c>
      <c r="BF29" s="14">
        <f t="shared" si="37"/>
        <v>21.168560890749262</v>
      </c>
      <c r="BG29" s="22">
        <f t="shared" si="7"/>
        <v>169.32232688472158</v>
      </c>
      <c r="BH29" s="60">
        <f t="shared" si="8"/>
        <v>462.65566021805489</v>
      </c>
      <c r="BI29" s="60">
        <f ca="1">AVERAGE(OFFSET($BH$3,0,0,'Données projet'!$E$11+1,1))-AVERAGE(OFFSET($H$3,0,0,'Données projet'!$E$11+1,1))</f>
        <v>222.34562513006574</v>
      </c>
      <c r="BJ29" s="60">
        <f t="shared" si="38"/>
        <v>213.19969928771548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180.00000000000003</v>
      </c>
      <c r="BZ29" s="14">
        <f>BY29*VLOOKUP('Données projet'!$B$12,Paramètres!$A$1:$I$89,3,0)*VLOOKUP('Données projet'!$B$12,Paramètres!$A$1:$I$89,5,0)</f>
        <v>162.864</v>
      </c>
      <c r="CA29" s="14">
        <f t="shared" si="39"/>
        <v>41.487830069509123</v>
      </c>
      <c r="CB29" s="22">
        <f t="shared" si="10"/>
        <v>355.91277070439509</v>
      </c>
      <c r="CC29" s="60">
        <f t="shared" si="11"/>
        <v>649.2461040377284</v>
      </c>
      <c r="CD29" s="60">
        <f ca="1">AVERAGE(OFFSET($CC$3,0,0,'Données projet'!$E$12+1,1))-AVERAGE(OFFSET($H$3,0,0,'Données projet'!$E$12+1,1))</f>
        <v>274.84847548786672</v>
      </c>
      <c r="CE29" s="60">
        <f t="shared" si="40"/>
        <v>376.2625056050623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0" t="e">
        <f t="shared" si="14"/>
        <v>#N/A</v>
      </c>
      <c r="CY29" s="60" t="e">
        <f ca="1">AVERAGE(OFFSET($CX$3,0,0,'Données projet'!$E$13+1,1))-AVERAGE(OFFSET($H$3,0,0,'Données projet'!$E$13+1,1))</f>
        <v>#N/A</v>
      </c>
      <c r="CZ29" s="60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8">
        <f t="shared" si="1"/>
        <v>323.68652481841508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</v>
      </c>
      <c r="N30" s="14">
        <f>IF('Données projet'!$A$36&gt;35,N29+M30-V29,IF(A30&lt;'Données projet'!$A$36,$K$205^A30,IF(A30='Données projet'!$A$36,'Données projet'!$B$36,N29+M30-V29)))</f>
        <v>138.5</v>
      </c>
      <c r="O30" s="14">
        <f>N30*VLOOKUP('Données projet'!$B$9,Paramètres!$A$1:$I$89,3,0)*VLOOKUP('Données projet'!$B$9,Paramètres!$A$1:$I$89,5,0)</f>
        <v>110.19060000000002</v>
      </c>
      <c r="P30" s="14">
        <f t="shared" si="33"/>
        <v>29.375886893482836</v>
      </c>
      <c r="Q30" s="22">
        <f t="shared" si="2"/>
        <v>243.07829800614925</v>
      </c>
      <c r="R30" s="60">
        <f t="shared" si="0"/>
        <v>536.4116313394826</v>
      </c>
      <c r="S30" s="60">
        <f ca="1">AVERAGE(OFFSET($R$3,0,0,'Données projet'!$E$9+1,1))-AVERAGE(OFFSET($H$3,0,0,'Données projet'!$E$9+1,1))</f>
        <v>238.47463071449789</v>
      </c>
      <c r="T30" s="60">
        <f t="shared" si="34"/>
        <v>270.92950919803718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138.5</v>
      </c>
      <c r="AJ30" s="14">
        <f>AI30*VLOOKUP('Données projet'!$B$10,Paramètres!$A$1:$I$89,3,0)*VLOOKUP('Données projet'!$B$10,Paramètres!$A$1:$I$89,5,0)</f>
        <v>101.54820000000001</v>
      </c>
      <c r="AK30" s="14">
        <f t="shared" si="35"/>
        <v>27.330504406668176</v>
      </c>
      <c r="AL30" s="22">
        <f t="shared" si="4"/>
        <v>224.46374350828043</v>
      </c>
      <c r="AM30" s="60">
        <f t="shared" si="5"/>
        <v>517.79707684161372</v>
      </c>
      <c r="AN30" s="60">
        <f ca="1">AVERAGE(OFFSET($AM$3,0,0,'Données projet'!$E$10+1,1))-AVERAGE(OFFSET($H$3,0,0,'Données projet'!$E$10+1,1))</f>
        <v>216.80783650073869</v>
      </c>
      <c r="AO30" s="60">
        <f t="shared" si="36"/>
        <v>247.59561829759309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108.99999999999996</v>
      </c>
      <c r="BE30" s="14">
        <f>BD30*VLOOKUP('Données projet'!$B$11,Paramètres!$A$1:$I$89,3,0)*VLOOKUP('Données projet'!$B$11,Paramètres!$A$1:$I$89,5,0)</f>
        <v>85.019999999999968</v>
      </c>
      <c r="BF30" s="14">
        <f t="shared" si="37"/>
        <v>23.360218970693097</v>
      </c>
      <c r="BG30" s="22">
        <f t="shared" si="7"/>
        <v>188.76221470729038</v>
      </c>
      <c r="BH30" s="60">
        <f t="shared" si="8"/>
        <v>482.09554804062373</v>
      </c>
      <c r="BI30" s="60">
        <f ca="1">AVERAGE(OFFSET($BH$3,0,0,'Données projet'!$E$11+1,1))-AVERAGE(OFFSET($H$3,0,0,'Données projet'!$E$11+1,1))</f>
        <v>222.34562513006574</v>
      </c>
      <c r="BJ30" s="60">
        <f t="shared" si="38"/>
        <v>213.19969928771548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187.00000000000003</v>
      </c>
      <c r="BZ30" s="14">
        <f>BY30*VLOOKUP('Données projet'!$B$12,Paramètres!$A$1:$I$89,3,0)*VLOOKUP('Données projet'!$B$12,Paramètres!$A$1:$I$89,5,0)</f>
        <v>169.19760000000002</v>
      </c>
      <c r="CA30" s="14">
        <f t="shared" si="39"/>
        <v>42.910263223432885</v>
      </c>
      <c r="CB30" s="22">
        <f t="shared" si="10"/>
        <v>369.42119511414558</v>
      </c>
      <c r="CC30" s="60">
        <f t="shared" si="11"/>
        <v>662.75452844747883</v>
      </c>
      <c r="CD30" s="60">
        <f ca="1">AVERAGE(OFFSET($CC$3,0,0,'Données projet'!$E$12+1,1))-AVERAGE(OFFSET($H$3,0,0,'Données projet'!$E$12+1,1))</f>
        <v>274.84847548786672</v>
      </c>
      <c r="CE30" s="60">
        <f t="shared" si="40"/>
        <v>376.2625056050623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0" t="e">
        <f t="shared" si="14"/>
        <v>#N/A</v>
      </c>
      <c r="CY30" s="60" t="e">
        <f ca="1">AVERAGE(OFFSET($CX$3,0,0,'Données projet'!$E$13+1,1))-AVERAGE(OFFSET($H$3,0,0,'Données projet'!$E$13+1,1))</f>
        <v>#N/A</v>
      </c>
      <c r="CZ30" s="60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8">
        <f t="shared" si="1"/>
        <v>324.77683603237602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</v>
      </c>
      <c r="N31" s="14">
        <f>IF('Données projet'!$A$36&gt;35,N30+M31-V30,IF(A31&lt;'Données projet'!$A$36,$K$205^A31,IF(A31='Données projet'!$A$36,'Données projet'!$B$36,N30+M31-V30)))</f>
        <v>150.5</v>
      </c>
      <c r="O31" s="14">
        <f>N31*VLOOKUP('Données projet'!$B$9,Paramètres!$A$1:$I$89,3,0)*VLOOKUP('Données projet'!$B$9,Paramètres!$A$1:$I$89,5,0)</f>
        <v>119.73779999999999</v>
      </c>
      <c r="P31" s="14">
        <f t="shared" si="33"/>
        <v>31.61383766685427</v>
      </c>
      <c r="Q31" s="22">
        <f t="shared" si="2"/>
        <v>263.6041022697712</v>
      </c>
      <c r="R31" s="60">
        <f t="shared" si="0"/>
        <v>556.93743560310452</v>
      </c>
      <c r="S31" s="60">
        <f ca="1">AVERAGE(OFFSET($R$3,0,0,'Données projet'!$E$9+1,1))-AVERAGE(OFFSET($H$3,0,0,'Données projet'!$E$9+1,1))</f>
        <v>238.47463071449789</v>
      </c>
      <c r="T31" s="60">
        <f t="shared" si="34"/>
        <v>270.92950919803718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150.5</v>
      </c>
      <c r="AJ31" s="14">
        <f>AI31*VLOOKUP('Données projet'!$B$10,Paramètres!$A$1:$I$89,3,0)*VLOOKUP('Données projet'!$B$10,Paramètres!$A$1:$I$89,5,0)</f>
        <v>110.34660000000001</v>
      </c>
      <c r="AK31" s="14">
        <f t="shared" si="35"/>
        <v>29.412631278116066</v>
      </c>
      <c r="AL31" s="22">
        <f t="shared" si="4"/>
        <v>243.41399447605218</v>
      </c>
      <c r="AM31" s="60">
        <f t="shared" si="5"/>
        <v>536.74732780938552</v>
      </c>
      <c r="AN31" s="60">
        <f ca="1">AVERAGE(OFFSET($AM$3,0,0,'Données projet'!$E$10+1,1))-AVERAGE(OFFSET($H$3,0,0,'Données projet'!$E$10+1,1))</f>
        <v>216.80783650073869</v>
      </c>
      <c r="AO31" s="60">
        <f t="shared" si="36"/>
        <v>247.59561829759309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120.49999999999996</v>
      </c>
      <c r="BE31" s="14">
        <f>BD31*VLOOKUP('Données projet'!$B$11,Paramètres!$A$1:$I$89,3,0)*VLOOKUP('Données projet'!$B$11,Paramètres!$A$1:$I$89,5,0)</f>
        <v>93.989999999999966</v>
      </c>
      <c r="BF31" s="14">
        <f t="shared" si="37"/>
        <v>25.525074036970054</v>
      </c>
      <c r="BG31" s="22">
        <f t="shared" si="7"/>
        <v>208.15542061438944</v>
      </c>
      <c r="BH31" s="60">
        <f t="shared" si="8"/>
        <v>501.48875394772278</v>
      </c>
      <c r="BI31" s="60">
        <f ca="1">AVERAGE(OFFSET($BH$3,0,0,'Données projet'!$E$11+1,1))-AVERAGE(OFFSET($H$3,0,0,'Données projet'!$E$11+1,1))</f>
        <v>222.34562513006574</v>
      </c>
      <c r="BJ31" s="60">
        <f t="shared" si="38"/>
        <v>213.19969928771548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194.00000000000003</v>
      </c>
      <c r="BZ31" s="14">
        <f>BY31*VLOOKUP('Données projet'!$B$12,Paramètres!$A$1:$I$89,3,0)*VLOOKUP('Données projet'!$B$12,Paramètres!$A$1:$I$89,5,0)</f>
        <v>175.53120000000001</v>
      </c>
      <c r="CA31" s="14">
        <f t="shared" si="39"/>
        <v>44.326510481422488</v>
      </c>
      <c r="CB31" s="22">
        <f t="shared" si="10"/>
        <v>382.9188457551441</v>
      </c>
      <c r="CC31" s="60">
        <f t="shared" si="11"/>
        <v>676.25217908847742</v>
      </c>
      <c r="CD31" s="60">
        <f ca="1">AVERAGE(OFFSET($CC$3,0,0,'Données projet'!$E$12+1,1))-AVERAGE(OFFSET($H$3,0,0,'Données projet'!$E$12+1,1))</f>
        <v>274.84847548786672</v>
      </c>
      <c r="CE31" s="60">
        <f t="shared" si="40"/>
        <v>376.2625056050623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0" t="e">
        <f t="shared" si="14"/>
        <v>#N/A</v>
      </c>
      <c r="CY31" s="60" t="e">
        <f ca="1">AVERAGE(OFFSET($CX$3,0,0,'Données projet'!$E$13+1,1))-AVERAGE(OFFSET($H$3,0,0,'Données projet'!$E$13+1,1))</f>
        <v>#N/A</v>
      </c>
      <c r="CZ31" s="60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8">
        <f t="shared" si="1"/>
        <v>325.86609922271543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</v>
      </c>
      <c r="N32" s="14">
        <f>IF('Données projet'!$A$36&gt;35,N31+M32-V31,IF(A32&lt;'Données projet'!$A$36,$K$205^A32,IF(A32='Données projet'!$A$36,'Données projet'!$B$36,N31+M32-V31)))</f>
        <v>162.5</v>
      </c>
      <c r="O32" s="14">
        <f>N32*VLOOKUP('Données projet'!$B$9,Paramètres!$A$1:$I$89,3,0)*VLOOKUP('Données projet'!$B$9,Paramètres!$A$1:$I$89,5,0)</f>
        <v>129.285</v>
      </c>
      <c r="P32" s="14">
        <f t="shared" si="33"/>
        <v>33.831090831224039</v>
      </c>
      <c r="Q32" s="22">
        <f t="shared" si="2"/>
        <v>284.09385819771518</v>
      </c>
      <c r="R32" s="60">
        <f t="shared" si="0"/>
        <v>577.42719153104849</v>
      </c>
      <c r="S32" s="60">
        <f ca="1">AVERAGE(OFFSET($R$3,0,0,'Données projet'!$E$9+1,1))-AVERAGE(OFFSET($H$3,0,0,'Données projet'!$E$9+1,1))</f>
        <v>238.47463071449789</v>
      </c>
      <c r="T32" s="60">
        <f t="shared" si="34"/>
        <v>270.92950919803718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162.5</v>
      </c>
      <c r="AJ32" s="14">
        <f>AI32*VLOOKUP('Données projet'!$B$10,Paramètres!$A$1:$I$89,3,0)*VLOOKUP('Données projet'!$B$10,Paramètres!$A$1:$I$89,5,0)</f>
        <v>119.14500000000001</v>
      </c>
      <c r="AK32" s="14">
        <f t="shared" si="35"/>
        <v>31.475501672437705</v>
      </c>
      <c r="AL32" s="22">
        <f t="shared" si="4"/>
        <v>262.33070707949565</v>
      </c>
      <c r="AM32" s="60">
        <f t="shared" si="5"/>
        <v>555.66404041282897</v>
      </c>
      <c r="AN32" s="60">
        <f ca="1">AVERAGE(OFFSET($AM$3,0,0,'Données projet'!$E$10+1,1))-AVERAGE(OFFSET($H$3,0,0,'Données projet'!$E$10+1,1))</f>
        <v>216.80783650073869</v>
      </c>
      <c r="AO32" s="60">
        <f t="shared" si="36"/>
        <v>247.59561829759309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131.99999999999994</v>
      </c>
      <c r="BE32" s="14">
        <f>BD32*VLOOKUP('Données projet'!$B$11,Paramètres!$A$1:$I$89,3,0)*VLOOKUP('Données projet'!$B$11,Paramètres!$A$1:$I$89,5,0)</f>
        <v>102.95999999999997</v>
      </c>
      <c r="BF32" s="14">
        <f t="shared" si="37"/>
        <v>27.665975080374633</v>
      </c>
      <c r="BG32" s="22">
        <f t="shared" si="7"/>
        <v>227.50690659831903</v>
      </c>
      <c r="BH32" s="60">
        <f t="shared" si="8"/>
        <v>520.84023993165238</v>
      </c>
      <c r="BI32" s="60">
        <f ca="1">AVERAGE(OFFSET($BH$3,0,0,'Données projet'!$E$11+1,1))-AVERAGE(OFFSET($H$3,0,0,'Données projet'!$E$11+1,1))</f>
        <v>222.34562513006574</v>
      </c>
      <c r="BJ32" s="60">
        <f t="shared" si="38"/>
        <v>213.19969928771548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201.00000000000003</v>
      </c>
      <c r="BZ32" s="14">
        <f>BY32*VLOOKUP('Données projet'!$B$12,Paramètres!$A$1:$I$89,3,0)*VLOOKUP('Données projet'!$B$12,Paramètres!$A$1:$I$89,5,0)</f>
        <v>181.86480000000003</v>
      </c>
      <c r="CA32" s="14">
        <f t="shared" si="39"/>
        <v>45.73682061391029</v>
      </c>
      <c r="CB32" s="22">
        <f t="shared" si="10"/>
        <v>396.40615590256044</v>
      </c>
      <c r="CC32" s="60">
        <f t="shared" si="11"/>
        <v>689.73948923589376</v>
      </c>
      <c r="CD32" s="60">
        <f ca="1">AVERAGE(OFFSET($CC$3,0,0,'Données projet'!$E$12+1,1))-AVERAGE(OFFSET($H$3,0,0,'Données projet'!$E$12+1,1))</f>
        <v>274.84847548786672</v>
      </c>
      <c r="CE32" s="60">
        <f t="shared" si="40"/>
        <v>376.2625056050623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0" t="e">
        <f t="shared" si="14"/>
        <v>#N/A</v>
      </c>
      <c r="CY32" s="60" t="e">
        <f ca="1">AVERAGE(OFFSET($CX$3,0,0,'Données projet'!$E$13+1,1))-AVERAGE(OFFSET($H$3,0,0,'Données projet'!$E$13+1,1))</f>
        <v>#N/A</v>
      </c>
      <c r="CZ32" s="60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8">
        <f t="shared" si="1"/>
        <v>326.95435467009145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174.5</v>
      </c>
      <c r="L33" s="13">
        <f>VLOOKUP(A33,'Données projet'!$A$35:$I$55,9,0)</f>
        <v>12</v>
      </c>
      <c r="M33" s="13">
        <f t="array" ref="M33">INDEX(L:L,MIN(IF(ISNUMBER(L33:L229),ROW(L33:L229),"")))</f>
        <v>12</v>
      </c>
      <c r="N33" s="14">
        <f>IF('Données projet'!$A$36&gt;35,N32+M33-V32,IF(A33&lt;'Données projet'!$A$36,$K$205^A33,IF(A33='Données projet'!$A$36,'Données projet'!$B$36,N32+M33-V32)))</f>
        <v>174.5</v>
      </c>
      <c r="O33" s="14">
        <f>N33*VLOOKUP('Données projet'!$B$9,Paramètres!$A$1:$I$89,3,0)*VLOOKUP('Données projet'!$B$9,Paramètres!$A$1:$I$89,5,0)</f>
        <v>138.8322</v>
      </c>
      <c r="P33" s="14">
        <f t="shared" si="33"/>
        <v>36.029348632418326</v>
      </c>
      <c r="Q33" s="22">
        <f t="shared" si="2"/>
        <v>304.55053053479526</v>
      </c>
      <c r="R33" s="60">
        <f t="shared" si="0"/>
        <v>597.88386386812863</v>
      </c>
      <c r="S33" s="60">
        <f ca="1">AVERAGE(OFFSET($R$3,0,0,'Données projet'!$E$9+1,1))-AVERAGE(OFFSET($H$3,0,0,'Données projet'!$E$9+1,1))</f>
        <v>238.47463071449789</v>
      </c>
      <c r="T33" s="60">
        <f t="shared" si="34"/>
        <v>270.92950919803718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174.5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174.5</v>
      </c>
      <c r="AJ33" s="14">
        <f>AI33*VLOOKUP('Données projet'!$B$10,Paramètres!$A$1:$I$89,3,0)*VLOOKUP('Données projet'!$B$10,Paramètres!$A$1:$I$89,5,0)</f>
        <v>127.94340000000001</v>
      </c>
      <c r="AK33" s="14">
        <f t="shared" si="35"/>
        <v>33.520699311589198</v>
      </c>
      <c r="AL33" s="22">
        <f t="shared" si="4"/>
        <v>281.21663963435122</v>
      </c>
      <c r="AM33" s="60">
        <f t="shared" si="5"/>
        <v>574.54997296768454</v>
      </c>
      <c r="AN33" s="60">
        <f ca="1">AVERAGE(OFFSET($AM$3,0,0,'Données projet'!$E$10+1,1))-AVERAGE(OFFSET($H$3,0,0,'Données projet'!$E$10+1,1))</f>
        <v>216.80783650073869</v>
      </c>
      <c r="AO33" s="60">
        <f t="shared" si="36"/>
        <v>247.59561829759309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143.49999999999994</v>
      </c>
      <c r="BE33" s="14">
        <f>BD33*VLOOKUP('Données projet'!$B$11,Paramètres!$A$1:$I$89,3,0)*VLOOKUP('Données projet'!$B$11,Paramètres!$A$1:$I$89,5,0)</f>
        <v>111.92999999999996</v>
      </c>
      <c r="BF33" s="14">
        <f t="shared" si="37"/>
        <v>29.785246291563833</v>
      </c>
      <c r="BG33" s="22">
        <f t="shared" si="7"/>
        <v>246.82072062447358</v>
      </c>
      <c r="BH33" s="60">
        <f t="shared" si="8"/>
        <v>540.15405395780692</v>
      </c>
      <c r="BI33" s="60">
        <f ca="1">AVERAGE(OFFSET($BH$3,0,0,'Données projet'!$E$11+1,1))-AVERAGE(OFFSET($H$3,0,0,'Données projet'!$E$11+1,1))</f>
        <v>222.34562513006574</v>
      </c>
      <c r="BJ33" s="60">
        <f t="shared" si="38"/>
        <v>213.19969928771548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208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208.00000000000003</v>
      </c>
      <c r="BZ33" s="14">
        <f>BY33*VLOOKUP('Données projet'!$B$12,Paramètres!$A$1:$I$89,3,0)*VLOOKUP('Données projet'!$B$12,Paramètres!$A$1:$I$89,5,0)</f>
        <v>188.19840000000002</v>
      </c>
      <c r="CA33" s="14">
        <f t="shared" si="39"/>
        <v>47.141424081428013</v>
      </c>
      <c r="CB33" s="22">
        <f t="shared" si="10"/>
        <v>409.88352694182049</v>
      </c>
      <c r="CC33" s="60">
        <f t="shared" si="11"/>
        <v>703.21686027515375</v>
      </c>
      <c r="CD33" s="60">
        <f ca="1">AVERAGE(OFFSET($CC$3,0,0,'Données projet'!$E$12+1,1))-AVERAGE(OFFSET($H$3,0,0,'Données projet'!$E$12+1,1))</f>
        <v>274.84847548786672</v>
      </c>
      <c r="CE33" s="60">
        <f t="shared" si="40"/>
        <v>376.2625056050623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0" t="e">
        <f t="shared" si="14"/>
        <v>#N/A</v>
      </c>
      <c r="CY33" s="60" t="e">
        <f ca="1">AVERAGE(OFFSET($CX$3,0,0,'Données projet'!$E$13+1,1))-AVERAGE(OFFSET($H$3,0,0,'Données projet'!$E$13+1,1))</f>
        <v>#N/A</v>
      </c>
      <c r="CZ33" s="60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8">
        <f t="shared" si="1"/>
        <v>328.04163981740385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10.780000000000001</v>
      </c>
      <c r="N34" s="14">
        <f>IF('Données projet'!$A$36&gt;35,N33+M34-V33,IF(A34&lt;'Données projet'!$A$36,$K$205^A34,IF(A34='Données projet'!$A$36,'Données projet'!$B$36,N33+M34-V33)))</f>
        <v>129.28</v>
      </c>
      <c r="O34" s="14">
        <f>N34*VLOOKUP('Données projet'!$B$9,Paramètres!$A$1:$I$89,3,0)*VLOOKUP('Données projet'!$B$9,Paramètres!$A$1:$I$89,5,0)</f>
        <v>102.85516800000001</v>
      </c>
      <c r="P34" s="14">
        <f t="shared" si="33"/>
        <v>27.641083482825984</v>
      </c>
      <c r="Q34" s="22">
        <f t="shared" si="2"/>
        <v>227.28097133258856</v>
      </c>
      <c r="R34" s="60">
        <f t="shared" si="0"/>
        <v>520.61430466592185</v>
      </c>
      <c r="S34" s="60">
        <f ca="1">AVERAGE(OFFSET($R$3,0,0,'Données projet'!$E$9+1,1))-AVERAGE(OFFSET($H$3,0,0,'Données projet'!$E$9+1,1))</f>
        <v>238.47463071449789</v>
      </c>
      <c r="T34" s="60">
        <f t="shared" si="34"/>
        <v>270.92950919803718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10.780000000000001</v>
      </c>
      <c r="AI34" s="14">
        <f>IF('Données projet'!$A$62&gt;35,AI33+AH34-AQ33,IF(A34&lt;'Données projet'!$A$62,$AF$205^A34,IF(A34='Données projet'!$A$62,'Données projet'!$B$62,AI33+AH34-AQ33)))</f>
        <v>129.28</v>
      </c>
      <c r="AJ34" s="14">
        <f>AI34*VLOOKUP('Données projet'!$B$10,Paramètres!$A$1:$I$89,3,0)*VLOOKUP('Données projet'!$B$10,Paramètres!$A$1:$I$89,5,0)</f>
        <v>94.788095999999996</v>
      </c>
      <c r="AK34" s="14">
        <f t="shared" si="35"/>
        <v>25.716491783608316</v>
      </c>
      <c r="AL34" s="22">
        <f t="shared" si="4"/>
        <v>209.87882372311779</v>
      </c>
      <c r="AM34" s="60">
        <f t="shared" si="5"/>
        <v>503.21215705645113</v>
      </c>
      <c r="AN34" s="60">
        <f ca="1">AVERAGE(OFFSET($AM$3,0,0,'Données projet'!$E$10+1,1))-AVERAGE(OFFSET($H$3,0,0,'Données projet'!$E$10+1,1))</f>
        <v>216.80783650073869</v>
      </c>
      <c r="AO34" s="60">
        <f t="shared" si="36"/>
        <v>247.59561829759309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154.99999999999994</v>
      </c>
      <c r="BE34" s="14">
        <f>BD34*VLOOKUP('Données projet'!$B$11,Paramètres!$A$1:$I$89,3,0)*VLOOKUP('Données projet'!$B$11,Paramètres!$A$1:$I$89,5,0)</f>
        <v>120.89999999999996</v>
      </c>
      <c r="BF34" s="14">
        <f t="shared" si="37"/>
        <v>31.884818143351602</v>
      </c>
      <c r="BG34" s="22">
        <f t="shared" si="7"/>
        <v>266.10022493300397</v>
      </c>
      <c r="BH34" s="60">
        <f t="shared" si="8"/>
        <v>559.43355826633729</v>
      </c>
      <c r="BI34" s="60">
        <f ca="1">AVERAGE(OFFSET($BH$3,0,0,'Données projet'!$E$11+1,1))-AVERAGE(OFFSET($H$3,0,0,'Données projet'!$E$11+1,1))</f>
        <v>222.34562513006574</v>
      </c>
      <c r="BJ34" s="60">
        <f t="shared" si="38"/>
        <v>213.19969928771548</v>
      </c>
      <c r="BK34" s="16">
        <f>IF(ISNA(VLOOKUP(A34,'Données projet'!$A$87:$I$107,3,0)),0,VLOOKUP(A34,'Données projet'!$A$87:$I$107,3,0))</f>
        <v>3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5.6</v>
      </c>
      <c r="BY34" s="13">
        <f>IF('Données projet'!$A$114&gt;35,BY33+BX34-CG33,IF(A34&lt;'Données projet'!$A$114,$BV$205^A34,IF(A34='Données projet'!$A$114,'Données projet'!$B$114,BY33+BX34-CG33)))</f>
        <v>193.60000000000002</v>
      </c>
      <c r="BZ34" s="14">
        <f>BY34*VLOOKUP('Données projet'!$B$12,Paramètres!$A$1:$I$89,3,0)*VLOOKUP('Données projet'!$B$12,Paramètres!$A$1:$I$89,5,0)</f>
        <v>175.16928000000001</v>
      </c>
      <c r="CA34" s="14">
        <f t="shared" si="39"/>
        <v>44.245744278741803</v>
      </c>
      <c r="CB34" s="22">
        <f t="shared" si="10"/>
        <v>382.14783395214198</v>
      </c>
      <c r="CC34" s="60">
        <f t="shared" si="11"/>
        <v>675.48116728547529</v>
      </c>
      <c r="CD34" s="60">
        <f ca="1">AVERAGE(OFFSET($CC$3,0,0,'Données projet'!$E$12+1,1))-AVERAGE(OFFSET($H$3,0,0,'Données projet'!$E$12+1,1))</f>
        <v>274.84847548786672</v>
      </c>
      <c r="CE34" s="60">
        <f t="shared" si="40"/>
        <v>376.2625056050623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0" t="e">
        <f t="shared" si="14"/>
        <v>#N/A</v>
      </c>
      <c r="CY34" s="60" t="e">
        <f ca="1">AVERAGE(OFFSET($CX$3,0,0,'Données projet'!$E$13+1,1))-AVERAGE(OFFSET($H$3,0,0,'Données projet'!$E$13+1,1))</f>
        <v>#N/A</v>
      </c>
      <c r="CZ34" s="60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8">
        <f t="shared" si="1"/>
        <v>329.12798955473778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10.780000000000001</v>
      </c>
      <c r="N35" s="14">
        <f>IF('Données projet'!$A$36&gt;35,N34+M35-V34,IF(A35&lt;'Données projet'!$A$36,$K$205^A35,IF(A35='Données projet'!$A$36,'Données projet'!$B$36,N34+M35-V34)))</f>
        <v>140.06</v>
      </c>
      <c r="O35" s="14">
        <f>N35*VLOOKUP('Données projet'!$B$9,Paramètres!$A$1:$I$89,3,0)*VLOOKUP('Données projet'!$B$9,Paramètres!$A$1:$I$89,5,0)</f>
        <v>111.431736</v>
      </c>
      <c r="P35" s="14">
        <f t="shared" si="33"/>
        <v>29.668058438201339</v>
      </c>
      <c r="Q35" s="22">
        <f t="shared" ref="Q35:Q66" si="53">(O35+P35)*0.475*44/12</f>
        <v>245.74880864653403</v>
      </c>
      <c r="R35" s="60">
        <f t="shared" si="0"/>
        <v>539.0821419798674</v>
      </c>
      <c r="S35" s="60">
        <f ca="1">AVERAGE(OFFSET($R$3,0,0,'Données projet'!$E$9+1,1))-AVERAGE(OFFSET($H$3,0,0,'Données projet'!$E$9+1,1))</f>
        <v>238.47463071449789</v>
      </c>
      <c r="T35" s="60">
        <f t="shared" si="34"/>
        <v>270.92950919803718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10.780000000000001</v>
      </c>
      <c r="AI35" s="14">
        <f>IF('Données projet'!$A$62&gt;35,AI34+AH35-AQ34,IF(A35&lt;'Données projet'!$A$62,$AF$205^A35,IF(A35='Données projet'!$A$62,'Données projet'!$B$62,AI34+AH35-AQ34)))</f>
        <v>140.06</v>
      </c>
      <c r="AJ35" s="14">
        <f>AI35*VLOOKUP('Données projet'!$B$10,Paramètres!$A$1:$I$89,3,0)*VLOOKUP('Données projet'!$B$10,Paramètres!$A$1:$I$89,5,0)</f>
        <v>102.691992</v>
      </c>
      <c r="AK35" s="14">
        <f t="shared" si="35"/>
        <v>27.602332648633649</v>
      </c>
      <c r="AL35" s="22">
        <f t="shared" si="4"/>
        <v>226.92928209637023</v>
      </c>
      <c r="AM35" s="60">
        <f t="shared" si="5"/>
        <v>520.2626154297036</v>
      </c>
      <c r="AN35" s="60">
        <f ca="1">AVERAGE(OFFSET($AM$3,0,0,'Données projet'!$E$10+1,1))-AVERAGE(OFFSET($H$3,0,0,'Données projet'!$E$10+1,1))</f>
        <v>216.80783650073869</v>
      </c>
      <c r="AO35" s="60">
        <f t="shared" si="36"/>
        <v>247.59561829759309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130.49999999999994</v>
      </c>
      <c r="BE35" s="14">
        <f>BD35*VLOOKUP('Données projet'!$B$11,Paramètres!$A$1:$I$89,3,0)*VLOOKUP('Données projet'!$B$11,Paramètres!$A$1:$I$89,5,0)</f>
        <v>101.78999999999996</v>
      </c>
      <c r="BF35" s="14">
        <f t="shared" si="37"/>
        <v>27.38799903683508</v>
      </c>
      <c r="BG35" s="22">
        <f t="shared" si="7"/>
        <v>224.98501498915437</v>
      </c>
      <c r="BH35" s="60">
        <f t="shared" si="8"/>
        <v>518.31834832248774</v>
      </c>
      <c r="BI35" s="60">
        <f ca="1">AVERAGE(OFFSET($BH$3,0,0,'Données projet'!$E$11+1,1))-AVERAGE(OFFSET($H$3,0,0,'Données projet'!$E$11+1,1))</f>
        <v>222.34562513006574</v>
      </c>
      <c r="BJ35" s="60">
        <f t="shared" si="38"/>
        <v>213.19969928771548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5.6</v>
      </c>
      <c r="BY35" s="13">
        <f>IF('Données projet'!$A$114&gt;35,BY34+BX35-CG34,IF(A35&lt;'Données projet'!$A$114,$BV$205^A35,IF(A35='Données projet'!$A$114,'Données projet'!$B$114,BY34+BX35-CG34)))</f>
        <v>199.20000000000002</v>
      </c>
      <c r="BZ35" s="14">
        <f>BY35*VLOOKUP('Données projet'!$B$12,Paramètres!$A$1:$I$89,3,0)*VLOOKUP('Données projet'!$B$12,Paramètres!$A$1:$I$89,5,0)</f>
        <v>180.23616000000001</v>
      </c>
      <c r="CA35" s="14">
        <f t="shared" si="39"/>
        <v>45.374723405565916</v>
      </c>
      <c r="CB35" s="22">
        <f t="shared" si="10"/>
        <v>392.93895526469396</v>
      </c>
      <c r="CC35" s="60">
        <f t="shared" si="11"/>
        <v>686.27228859802722</v>
      </c>
      <c r="CD35" s="60">
        <f ca="1">AVERAGE(OFFSET($CC$3,0,0,'Données projet'!$E$12+1,1))-AVERAGE(OFFSET($H$3,0,0,'Données projet'!$E$12+1,1))</f>
        <v>274.84847548786672</v>
      </c>
      <c r="CE35" s="60">
        <f t="shared" si="40"/>
        <v>376.2625056050623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0" t="e">
        <f t="shared" si="14"/>
        <v>#N/A</v>
      </c>
      <c r="CY35" s="60" t="e">
        <f ca="1">AVERAGE(OFFSET($CX$3,0,0,'Données projet'!$E$13+1,1))-AVERAGE(OFFSET($H$3,0,0,'Données projet'!$E$13+1,1))</f>
        <v>#N/A</v>
      </c>
      <c r="CZ35" s="60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8">
        <f t="shared" si="1"/>
        <v>330.21343646768912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10.780000000000001</v>
      </c>
      <c r="N36" s="14">
        <f>IF('Données projet'!$A$36&gt;35,N35+M36-V35,IF(A36&lt;'Données projet'!$A$36,$K$205^A36,IF(A36='Données projet'!$A$36,'Données projet'!$B$36,N35+M36-V35)))</f>
        <v>150.84</v>
      </c>
      <c r="O36" s="14">
        <f>N36*VLOOKUP('Données projet'!$B$9,Paramètres!$A$1:$I$89,3,0)*VLOOKUP('Données projet'!$B$9,Paramètres!$A$1:$I$89,5,0)</f>
        <v>120.008304</v>
      </c>
      <c r="P36" s="14">
        <f t="shared" si="33"/>
        <v>31.676936057955846</v>
      </c>
      <c r="Q36" s="22">
        <f t="shared" si="53"/>
        <v>264.18512643427306</v>
      </c>
      <c r="R36" s="60">
        <f t="shared" si="0"/>
        <v>557.51845976760637</v>
      </c>
      <c r="S36" s="60">
        <f ca="1">AVERAGE(OFFSET($R$3,0,0,'Données projet'!$E$9+1,1))-AVERAGE(OFFSET($H$3,0,0,'Données projet'!$E$9+1,1))</f>
        <v>238.47463071449789</v>
      </c>
      <c r="T36" s="60">
        <f t="shared" si="34"/>
        <v>270.92950919803718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10.780000000000001</v>
      </c>
      <c r="AI36" s="14">
        <f>IF('Données projet'!$A$62&gt;35,AI35+AH36-AQ35,IF(A36&lt;'Données projet'!$A$62,$AF$205^A36,IF(A36='Données projet'!$A$62,'Données projet'!$B$62,AI35+AH36-AQ35)))</f>
        <v>150.84</v>
      </c>
      <c r="AJ36" s="14">
        <f>AI36*VLOOKUP('Données projet'!$B$10,Paramètres!$A$1:$I$89,3,0)*VLOOKUP('Données projet'!$B$10,Paramètres!$A$1:$I$89,5,0)</f>
        <v>110.59588800000002</v>
      </c>
      <c r="AK36" s="14">
        <f t="shared" si="35"/>
        <v>29.471336258234906</v>
      </c>
      <c r="AL36" s="22">
        <f t="shared" si="4"/>
        <v>243.95041558309245</v>
      </c>
      <c r="AM36" s="60">
        <f t="shared" si="5"/>
        <v>537.28374891642579</v>
      </c>
      <c r="AN36" s="60">
        <f ca="1">AVERAGE(OFFSET($AM$3,0,0,'Données projet'!$E$10+1,1))-AVERAGE(OFFSET($H$3,0,0,'Données projet'!$E$10+1,1))</f>
        <v>216.80783650073869</v>
      </c>
      <c r="AO36" s="60">
        <f t="shared" si="36"/>
        <v>247.59561829759309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141.99999999999994</v>
      </c>
      <c r="BE36" s="14">
        <f>BD36*VLOOKUP('Données projet'!$B$11,Paramètres!$A$1:$I$89,3,0)*VLOOKUP('Données projet'!$B$11,Paramètres!$A$1:$I$89,5,0)</f>
        <v>110.75999999999996</v>
      </c>
      <c r="BF36" s="14">
        <f t="shared" si="37"/>
        <v>29.509974682362923</v>
      </c>
      <c r="BG36" s="22">
        <f t="shared" si="7"/>
        <v>244.30353923844871</v>
      </c>
      <c r="BH36" s="60">
        <f t="shared" si="8"/>
        <v>537.63687257178208</v>
      </c>
      <c r="BI36" s="60">
        <f ca="1">AVERAGE(OFFSET($BH$3,0,0,'Données projet'!$E$11+1,1))-AVERAGE(OFFSET($H$3,0,0,'Données projet'!$E$11+1,1))</f>
        <v>222.34562513006574</v>
      </c>
      <c r="BJ36" s="60">
        <f t="shared" si="38"/>
        <v>213.19969928771548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5.6</v>
      </c>
      <c r="BY36" s="13">
        <f>IF('Données projet'!$A$114&gt;35,BY35+BX36-CG35,IF(A36&lt;'Données projet'!$A$114,$BV$205^A36,IF(A36='Données projet'!$A$114,'Données projet'!$B$114,BY35+BX36-CG35)))</f>
        <v>204.8</v>
      </c>
      <c r="BZ36" s="14">
        <f>BY36*VLOOKUP('Données projet'!$B$12,Paramètres!$A$1:$I$89,3,0)*VLOOKUP('Données projet'!$B$12,Paramètres!$A$1:$I$89,5,0)</f>
        <v>185.30303999999998</v>
      </c>
      <c r="CA36" s="14">
        <f t="shared" si="39"/>
        <v>46.500013710710547</v>
      </c>
      <c r="CB36" s="22">
        <f t="shared" si="10"/>
        <v>403.72365187948748</v>
      </c>
      <c r="CC36" s="60">
        <f t="shared" si="11"/>
        <v>697.05698521282079</v>
      </c>
      <c r="CD36" s="60">
        <f ca="1">AVERAGE(OFFSET($CC$3,0,0,'Données projet'!$E$12+1,1))-AVERAGE(OFFSET($H$3,0,0,'Données projet'!$E$12+1,1))</f>
        <v>274.84847548786672</v>
      </c>
      <c r="CE36" s="60">
        <f t="shared" si="40"/>
        <v>376.2625056050623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0" t="e">
        <f t="shared" si="14"/>
        <v>#N/A</v>
      </c>
      <c r="CY36" s="60" t="e">
        <f ca="1">AVERAGE(OFFSET($CX$3,0,0,'Données projet'!$E$13+1,1))-AVERAGE(OFFSET($H$3,0,0,'Données projet'!$E$13+1,1))</f>
        <v>#N/A</v>
      </c>
      <c r="CZ36" s="60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8">
        <f t="shared" si="1"/>
        <v>331.29801105474394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10.780000000000001</v>
      </c>
      <c r="N37" s="14">
        <f>IF('Données projet'!$A$36&gt;35,N36+M37-V36,IF(A37&lt;'Données projet'!$A$36,$K$205^A37,IF(A37='Données projet'!$A$36,'Données projet'!$B$36,N36+M37-V36)))</f>
        <v>161.62</v>
      </c>
      <c r="O37" s="14">
        <f>N37*VLOOKUP('Données projet'!$B$9,Paramètres!$A$1:$I$89,3,0)*VLOOKUP('Données projet'!$B$9,Paramètres!$A$1:$I$89,5,0)</f>
        <v>128.58487200000002</v>
      </c>
      <c r="P37" s="14">
        <f t="shared" si="33"/>
        <v>33.669156791917978</v>
      </c>
      <c r="Q37" s="22">
        <f t="shared" si="53"/>
        <v>282.59243347925718</v>
      </c>
      <c r="R37" s="60">
        <f t="shared" si="0"/>
        <v>575.9257668125905</v>
      </c>
      <c r="S37" s="60">
        <f ca="1">AVERAGE(OFFSET($R$3,0,0,'Données projet'!$E$9+1,1))-AVERAGE(OFFSET($H$3,0,0,'Données projet'!$E$9+1,1))</f>
        <v>238.47463071449789</v>
      </c>
      <c r="T37" s="60">
        <f t="shared" si="34"/>
        <v>270.92950919803718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10.780000000000001</v>
      </c>
      <c r="AI37" s="14">
        <f>IF('Données projet'!$A$62&gt;35,AI36+AH37-AQ36,IF(A37&lt;'Données projet'!$A$62,$AF$205^A37,IF(A37='Données projet'!$A$62,'Données projet'!$B$62,AI36+AH37-AQ36)))</f>
        <v>161.62</v>
      </c>
      <c r="AJ37" s="14">
        <f>AI37*VLOOKUP('Données projet'!$B$10,Paramètres!$A$1:$I$89,3,0)*VLOOKUP('Données projet'!$B$10,Paramètres!$A$1:$I$89,5,0)</f>
        <v>118.49978400000001</v>
      </c>
      <c r="AK37" s="14">
        <f t="shared" si="35"/>
        <v>31.324842766686455</v>
      </c>
      <c r="AL37" s="22">
        <f t="shared" si="4"/>
        <v>260.94455828531221</v>
      </c>
      <c r="AM37" s="60">
        <f t="shared" si="5"/>
        <v>554.27789161864553</v>
      </c>
      <c r="AN37" s="60">
        <f ca="1">AVERAGE(OFFSET($AM$3,0,0,'Données projet'!$E$10+1,1))-AVERAGE(OFFSET($H$3,0,0,'Données projet'!$E$10+1,1))</f>
        <v>216.80783650073869</v>
      </c>
      <c r="AO37" s="60">
        <f t="shared" si="36"/>
        <v>247.59561829759309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153.49999999999994</v>
      </c>
      <c r="BE37" s="14">
        <f>BD37*VLOOKUP('Données projet'!$B$11,Paramètres!$A$1:$I$89,3,0)*VLOOKUP('Données projet'!$B$11,Paramètres!$A$1:$I$89,5,0)</f>
        <v>119.72999999999996</v>
      </c>
      <c r="BF37" s="14">
        <f t="shared" si="37"/>
        <v>31.612017974790529</v>
      </c>
      <c r="BG37" s="22">
        <f t="shared" si="7"/>
        <v>263.58734797276003</v>
      </c>
      <c r="BH37" s="60">
        <f t="shared" si="8"/>
        <v>556.92068130609334</v>
      </c>
      <c r="BI37" s="60">
        <f ca="1">AVERAGE(OFFSET($BH$3,0,0,'Données projet'!$E$11+1,1))-AVERAGE(OFFSET($H$3,0,0,'Données projet'!$E$11+1,1))</f>
        <v>222.34562513006574</v>
      </c>
      <c r="BJ37" s="60">
        <f t="shared" si="38"/>
        <v>213.19969928771548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5.6</v>
      </c>
      <c r="BY37" s="13">
        <f>IF('Données projet'!$A$114&gt;35,BY36+BX37-CG36,IF(A37&lt;'Données projet'!$A$114,$BV$205^A37,IF(A37='Données projet'!$A$114,'Données projet'!$B$114,BY36+BX37-CG36)))</f>
        <v>210.4</v>
      </c>
      <c r="BZ37" s="14">
        <f>BY37*VLOOKUP('Données projet'!$B$12,Paramètres!$A$1:$I$89,3,0)*VLOOKUP('Données projet'!$B$12,Paramètres!$A$1:$I$89,5,0)</f>
        <v>190.36992000000001</v>
      </c>
      <c r="CA37" s="14">
        <f t="shared" si="39"/>
        <v>47.621727650589136</v>
      </c>
      <c r="CB37" s="22">
        <f t="shared" si="10"/>
        <v>414.50211965810939</v>
      </c>
      <c r="CC37" s="60">
        <f t="shared" si="11"/>
        <v>707.83545299144271</v>
      </c>
      <c r="CD37" s="60">
        <f ca="1">AVERAGE(OFFSET($CC$3,0,0,'Données projet'!$E$12+1,1))-AVERAGE(OFFSET($H$3,0,0,'Données projet'!$E$12+1,1))</f>
        <v>274.84847548786672</v>
      </c>
      <c r="CE37" s="60">
        <f t="shared" si="40"/>
        <v>376.2625056050623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0" t="e">
        <f t="shared" si="14"/>
        <v>#N/A</v>
      </c>
      <c r="CY37" s="60" t="e">
        <f ca="1">AVERAGE(OFFSET($CX$3,0,0,'Données projet'!$E$13+1,1))-AVERAGE(OFFSET($H$3,0,0,'Données projet'!$E$13+1,1))</f>
        <v>#N/A</v>
      </c>
      <c r="CZ37" s="60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8">
        <f t="shared" si="1"/>
        <v>332.38174191836544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172.4</v>
      </c>
      <c r="L38" s="13">
        <f>VLOOKUP(A38,'Données projet'!$A$35:$I$55,9,0)</f>
        <v>10.780000000000001</v>
      </c>
      <c r="M38" s="13">
        <f t="array" ref="M38">INDEX(L:L,MIN(IF(ISNUMBER(L38:L234),ROW(L38:L234),"")))</f>
        <v>10.780000000000001</v>
      </c>
      <c r="N38" s="14">
        <f>IF('Données projet'!$A$36&gt;35,N37+M38-V37,IF(A38&lt;'Données projet'!$A$36,$K$205^A38,IF(A38='Données projet'!$A$36,'Données projet'!$B$36,N37+M38-V37)))</f>
        <v>172.4</v>
      </c>
      <c r="O38" s="14">
        <f>N38*VLOOKUP('Données projet'!$B$9,Paramètres!$A$1:$I$89,3,0)*VLOOKUP('Données projet'!$B$9,Paramètres!$A$1:$I$89,5,0)</f>
        <v>137.16144000000003</v>
      </c>
      <c r="P38" s="14">
        <f t="shared" si="33"/>
        <v>35.64595806367339</v>
      </c>
      <c r="Q38" s="22">
        <f t="shared" si="53"/>
        <v>300.97288496089783</v>
      </c>
      <c r="R38" s="60">
        <f t="shared" si="0"/>
        <v>594.30621829423114</v>
      </c>
      <c r="S38" s="60">
        <f ca="1">AVERAGE(OFFSET($R$3,0,0,'Données projet'!$E$9+1,1))-AVERAGE(OFFSET($H$3,0,0,'Données projet'!$E$9+1,1))</f>
        <v>238.47463071449789</v>
      </c>
      <c r="T38" s="60">
        <f t="shared" si="34"/>
        <v>270.92950919803718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172.4</v>
      </c>
      <c r="AG38" s="13">
        <f>VLOOKUP(A38,'Données projet'!$A$61:$I$81,9,0)</f>
        <v>10.780000000000001</v>
      </c>
      <c r="AH38" s="13">
        <f t="array" ref="AH38">INDEX(AG:AG,MIN(IF(ISNUMBER(AG38:AG234),ROW(AG38:AG234),"")))</f>
        <v>10.780000000000001</v>
      </c>
      <c r="AI38" s="14">
        <f>IF('Données projet'!$A$62&gt;35,AI37+AH38-AQ37,IF(A38&lt;'Données projet'!$A$62,$AF$205^A38,IF(A38='Données projet'!$A$62,'Données projet'!$B$62,AI37+AH38-AQ37)))</f>
        <v>172.4</v>
      </c>
      <c r="AJ38" s="14">
        <f>AI38*VLOOKUP('Données projet'!$B$10,Paramètres!$A$1:$I$89,3,0)*VLOOKUP('Données projet'!$B$10,Paramètres!$A$1:$I$89,5,0)</f>
        <v>126.40367999999999</v>
      </c>
      <c r="AK38" s="14">
        <f t="shared" si="35"/>
        <v>33.164003438318993</v>
      </c>
      <c r="AL38" s="22">
        <f t="shared" si="4"/>
        <v>277.91371532173889</v>
      </c>
      <c r="AM38" s="60">
        <f t="shared" si="5"/>
        <v>571.24704865507215</v>
      </c>
      <c r="AN38" s="60">
        <f ca="1">AVERAGE(OFFSET($AM$3,0,0,'Données projet'!$E$10+1,1))-AVERAGE(OFFSET($H$3,0,0,'Données projet'!$E$10+1,1))</f>
        <v>216.80783650073869</v>
      </c>
      <c r="AO38" s="60">
        <f t="shared" si="36"/>
        <v>247.59561829759309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164.99999999999994</v>
      </c>
      <c r="BE38" s="14">
        <f>BD38*VLOOKUP('Données projet'!$B$11,Paramètres!$A$1:$I$89,3,0)*VLOOKUP('Données projet'!$B$11,Paramètres!$A$1:$I$89,5,0)</f>
        <v>128.69999999999996</v>
      </c>
      <c r="BF38" s="14">
        <f t="shared" si="37"/>
        <v>33.695792019186115</v>
      </c>
      <c r="BG38" s="22">
        <f t="shared" si="7"/>
        <v>282.83933776674911</v>
      </c>
      <c r="BH38" s="60">
        <f t="shared" si="8"/>
        <v>576.17267110008243</v>
      </c>
      <c r="BI38" s="60">
        <f ca="1">AVERAGE(OFFSET($BH$3,0,0,'Données projet'!$E$11+1,1))-AVERAGE(OFFSET($H$3,0,0,'Données projet'!$E$11+1,1))</f>
        <v>222.34562513006574</v>
      </c>
      <c r="BJ38" s="60">
        <f t="shared" si="38"/>
        <v>213.19969928771548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216</v>
      </c>
      <c r="BW38" s="13">
        <f>VLOOKUP(A38,'Données projet'!$A$113:$I$133,9,0)</f>
        <v>5.6</v>
      </c>
      <c r="BX38" s="13">
        <f t="array" ref="BX38">INDEX(BW:BW,MIN(IF(ISNUMBER(BW38:BW234),ROW(BW38:BW234),"")))</f>
        <v>5.6</v>
      </c>
      <c r="BY38" s="13">
        <f>IF('Données projet'!$A$114&gt;35,BY37+BX38-CG37,IF(A38&lt;'Données projet'!$A$114,$BV$205^A38,IF(A38='Données projet'!$A$114,'Données projet'!$B$114,BY37+BX38-CG37)))</f>
        <v>216</v>
      </c>
      <c r="BZ38" s="14">
        <f>BY38*VLOOKUP('Données projet'!$B$12,Paramètres!$A$1:$I$89,3,0)*VLOOKUP('Données projet'!$B$12,Paramètres!$A$1:$I$89,5,0)</f>
        <v>195.43679999999998</v>
      </c>
      <c r="CA38" s="14">
        <f t="shared" si="39"/>
        <v>48.739971354487849</v>
      </c>
      <c r="CB38" s="22">
        <f t="shared" si="10"/>
        <v>425.27454344239959</v>
      </c>
      <c r="CC38" s="60">
        <f t="shared" si="11"/>
        <v>718.60787677573285</v>
      </c>
      <c r="CD38" s="60">
        <f ca="1">AVERAGE(OFFSET($CC$3,0,0,'Données projet'!$E$12+1,1))-AVERAGE(OFFSET($H$3,0,0,'Données projet'!$E$12+1,1))</f>
        <v>274.84847548786672</v>
      </c>
      <c r="CE38" s="60">
        <f t="shared" si="40"/>
        <v>376.2625056050623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0" t="e">
        <f t="shared" si="14"/>
        <v>#N/A</v>
      </c>
      <c r="CY38" s="60" t="e">
        <f ca="1">AVERAGE(OFFSET($CX$3,0,0,'Données projet'!$E$13+1,1))-AVERAGE(OFFSET($H$3,0,0,'Données projet'!$E$13+1,1))</f>
        <v>#N/A</v>
      </c>
      <c r="CZ38" s="60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8">
        <f t="shared" si="1"/>
        <v>333.46465593362842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9.4399999999999977</v>
      </c>
      <c r="N39" s="14">
        <f>IF('Données projet'!$A$36&gt;35,N38+M39-V38,IF(A39&lt;'Données projet'!$A$36,$K$205^A39,IF(A39='Données projet'!$A$36,'Données projet'!$B$36,N38+M39-V38)))</f>
        <v>181.84</v>
      </c>
      <c r="O39" s="14">
        <f>N39*VLOOKUP('Données projet'!$B$9,Paramètres!$A$1:$I$89,3,0)*VLOOKUP('Données projet'!$B$9,Paramètres!$A$1:$I$89,5,0)</f>
        <v>144.67190400000001</v>
      </c>
      <c r="P39" s="14">
        <f t="shared" si="33"/>
        <v>37.365219813928285</v>
      </c>
      <c r="Q39" s="22">
        <f t="shared" si="53"/>
        <v>317.04799064259174</v>
      </c>
      <c r="R39" s="60">
        <f t="shared" si="0"/>
        <v>610.38132397592506</v>
      </c>
      <c r="S39" s="60">
        <f ca="1">AVERAGE(OFFSET($R$3,0,0,'Données projet'!$E$9+1,1))-AVERAGE(OFFSET($H$3,0,0,'Données projet'!$E$9+1,1))</f>
        <v>238.47463071449789</v>
      </c>
      <c r="T39" s="60">
        <f t="shared" si="34"/>
        <v>270.92950919803718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9.4399999999999977</v>
      </c>
      <c r="AI39" s="14">
        <f>IF('Données projet'!$A$62&gt;35,AI38+AH39-AQ38,IF(A39&lt;'Données projet'!$A$62,$AF$205^A39,IF(A39='Données projet'!$A$62,'Données projet'!$B$62,AI38+AH39-AQ38)))</f>
        <v>181.84</v>
      </c>
      <c r="AJ39" s="14">
        <f>AI39*VLOOKUP('Données projet'!$B$10,Paramètres!$A$1:$I$89,3,0)*VLOOKUP('Données projet'!$B$10,Paramètres!$A$1:$I$89,5,0)</f>
        <v>133.32508799999999</v>
      </c>
      <c r="AK39" s="14">
        <f t="shared" si="35"/>
        <v>34.763556534773144</v>
      </c>
      <c r="AL39" s="22">
        <f t="shared" si="4"/>
        <v>292.75438923139654</v>
      </c>
      <c r="AM39" s="60">
        <f t="shared" si="5"/>
        <v>586.0877225647298</v>
      </c>
      <c r="AN39" s="60">
        <f ca="1">AVERAGE(OFFSET($AM$3,0,0,'Données projet'!$E$10+1,1))-AVERAGE(OFFSET($H$3,0,0,'Données projet'!$E$10+1,1))</f>
        <v>216.80783650073869</v>
      </c>
      <c r="AO39" s="60">
        <f t="shared" si="36"/>
        <v>247.59561829759309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176.49999999999994</v>
      </c>
      <c r="BE39" s="14">
        <f>BD39*VLOOKUP('Données projet'!$B$11,Paramètres!$A$1:$I$89,3,0)*VLOOKUP('Données projet'!$B$11,Paramètres!$A$1:$I$89,5,0)</f>
        <v>137.66999999999996</v>
      </c>
      <c r="BF39" s="14">
        <f t="shared" si="37"/>
        <v>35.762714965854656</v>
      </c>
      <c r="BG39" s="22">
        <f t="shared" si="7"/>
        <v>302.06197856553007</v>
      </c>
      <c r="BH39" s="60">
        <f t="shared" si="8"/>
        <v>595.39531189886338</v>
      </c>
      <c r="BI39" s="60">
        <f ca="1">AVERAGE(OFFSET($BH$3,0,0,'Données projet'!$E$11+1,1))-AVERAGE(OFFSET($H$3,0,0,'Données projet'!$E$11+1,1))</f>
        <v>222.34562513006574</v>
      </c>
      <c r="BJ39" s="60">
        <f t="shared" si="38"/>
        <v>213.19969928771548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</v>
      </c>
      <c r="BY39" s="13">
        <f>IF('Données projet'!$A$114&gt;35,BY38+BX39-CG38,IF(A39&lt;'Données projet'!$A$114,$BV$205^A39,IF(A39='Données projet'!$A$114,'Données projet'!$B$114,BY38+BX39-CG38)))</f>
        <v>221</v>
      </c>
      <c r="BZ39" s="14">
        <f>BY39*VLOOKUP('Données projet'!$B$12,Paramètres!$A$1:$I$89,3,0)*VLOOKUP('Données projet'!$B$12,Paramètres!$A$1:$I$89,5,0)</f>
        <v>199.96079999999998</v>
      </c>
      <c r="CA39" s="14">
        <f t="shared" si="39"/>
        <v>49.735552653569222</v>
      </c>
      <c r="CB39" s="22">
        <f t="shared" si="10"/>
        <v>434.88781420496633</v>
      </c>
      <c r="CC39" s="60">
        <f t="shared" si="11"/>
        <v>728.22114753829965</v>
      </c>
      <c r="CD39" s="60">
        <f ca="1">AVERAGE(OFFSET($CC$3,0,0,'Données projet'!$E$12+1,1))-AVERAGE(OFFSET($H$3,0,0,'Données projet'!$E$12+1,1))</f>
        <v>274.84847548786672</v>
      </c>
      <c r="CE39" s="60">
        <f t="shared" si="40"/>
        <v>376.2625056050623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0" t="e">
        <f t="shared" si="14"/>
        <v>#N/A</v>
      </c>
      <c r="CY39" s="60" t="e">
        <f ca="1">AVERAGE(OFFSET($CX$3,0,0,'Données projet'!$E$13+1,1))-AVERAGE(OFFSET($H$3,0,0,'Données projet'!$E$13+1,1))</f>
        <v>#N/A</v>
      </c>
      <c r="CZ39" s="60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8">
        <f t="shared" si="1"/>
        <v>334.54677839758983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9.4399999999999977</v>
      </c>
      <c r="N40" s="14">
        <f>IF('Données projet'!$A$36&gt;35,N39+M40-V39,IF(A40&lt;'Données projet'!$A$36,$K$205^A40,IF(A40='Données projet'!$A$36,'Données projet'!$B$36,N39+M40-V39)))</f>
        <v>191.28</v>
      </c>
      <c r="O40" s="14">
        <f>N40*VLOOKUP('Données projet'!$B$9,Paramètres!$A$1:$I$89,3,0)*VLOOKUP('Données projet'!$B$9,Paramètres!$A$1:$I$89,5,0)</f>
        <v>152.18236800000003</v>
      </c>
      <c r="P40" s="14">
        <f t="shared" si="33"/>
        <v>39.074118885510551</v>
      </c>
      <c r="Q40" s="22">
        <f t="shared" si="53"/>
        <v>333.10504799226425</v>
      </c>
      <c r="R40" s="60">
        <f t="shared" si="0"/>
        <v>626.43838132559756</v>
      </c>
      <c r="S40" s="60">
        <f ca="1">AVERAGE(OFFSET($R$3,0,0,'Données projet'!$E$9+1,1))-AVERAGE(OFFSET($H$3,0,0,'Données projet'!$E$9+1,1))</f>
        <v>238.47463071449789</v>
      </c>
      <c r="T40" s="60">
        <f t="shared" si="34"/>
        <v>270.92950919803718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9.4399999999999977</v>
      </c>
      <c r="AI40" s="14">
        <f>IF('Données projet'!$A$62&gt;35,AI39+AH40-AQ39,IF(A40&lt;'Données projet'!$A$62,$AF$205^A40,IF(A40='Données projet'!$A$62,'Données projet'!$B$62,AI39+AH40-AQ39)))</f>
        <v>191.28</v>
      </c>
      <c r="AJ40" s="14">
        <f>AI40*VLOOKUP('Données projet'!$B$10,Paramètres!$A$1:$I$89,3,0)*VLOOKUP('Données projet'!$B$10,Paramètres!$A$1:$I$89,5,0)</f>
        <v>140.24649600000001</v>
      </c>
      <c r="AK40" s="14">
        <f t="shared" si="35"/>
        <v>36.353468484522381</v>
      </c>
      <c r="AL40" s="22">
        <f t="shared" si="4"/>
        <v>307.5782714772098</v>
      </c>
      <c r="AM40" s="60">
        <f t="shared" si="5"/>
        <v>600.91160481054317</v>
      </c>
      <c r="AN40" s="60">
        <f ca="1">AVERAGE(OFFSET($AM$3,0,0,'Données projet'!$E$10+1,1))-AVERAGE(OFFSET($H$3,0,0,'Données projet'!$E$10+1,1))</f>
        <v>216.80783650073869</v>
      </c>
      <c r="AO40" s="60">
        <f t="shared" si="36"/>
        <v>247.59561829759309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187.99999999999994</v>
      </c>
      <c r="BE40" s="14">
        <f>BD40*VLOOKUP('Données projet'!$B$11,Paramètres!$A$1:$I$89,3,0)*VLOOKUP('Données projet'!$B$11,Paramètres!$A$1:$I$89,5,0)</f>
        <v>146.63999999999996</v>
      </c>
      <c r="BF40" s="14">
        <f t="shared" si="37"/>
        <v>37.814009712703026</v>
      </c>
      <c r="BG40" s="22">
        <f t="shared" si="7"/>
        <v>321.25740024962437</v>
      </c>
      <c r="BH40" s="60">
        <f t="shared" si="8"/>
        <v>614.59073358295768</v>
      </c>
      <c r="BI40" s="60">
        <f ca="1">AVERAGE(OFFSET($BH$3,0,0,'Données projet'!$E$11+1,1))-AVERAGE(OFFSET($H$3,0,0,'Données projet'!$E$11+1,1))</f>
        <v>222.34562513006574</v>
      </c>
      <c r="BJ40" s="60">
        <f t="shared" si="38"/>
        <v>213.19969928771548</v>
      </c>
      <c r="BK40" s="16">
        <f>IF(ISNA(VLOOKUP(A40,'Données projet'!$A$87:$I$107,3,0)),0,VLOOKUP(A40,'Données projet'!$A$87:$I$107,3,0))</f>
        <v>4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</v>
      </c>
      <c r="BY40" s="13">
        <f>IF('Données projet'!$A$114&gt;35,BY39+BX40-CG39,IF(A40&lt;'Données projet'!$A$114,$BV$205^A40,IF(A40='Données projet'!$A$114,'Données projet'!$B$114,BY39+BX40-CG39)))</f>
        <v>226</v>
      </c>
      <c r="BZ40" s="14">
        <f>BY40*VLOOKUP('Données projet'!$B$12,Paramètres!$A$1:$I$89,3,0)*VLOOKUP('Données projet'!$B$12,Paramètres!$A$1:$I$89,5,0)</f>
        <v>204.48479999999998</v>
      </c>
      <c r="CA40" s="14">
        <f t="shared" si="39"/>
        <v>50.728515318217369</v>
      </c>
      <c r="CB40" s="22">
        <f t="shared" si="10"/>
        <v>444.49652417922852</v>
      </c>
      <c r="CC40" s="60">
        <f t="shared" si="11"/>
        <v>737.82985751256183</v>
      </c>
      <c r="CD40" s="60">
        <f ca="1">AVERAGE(OFFSET($CC$3,0,0,'Données projet'!$E$12+1,1))-AVERAGE(OFFSET($H$3,0,0,'Données projet'!$E$12+1,1))</f>
        <v>274.84847548786672</v>
      </c>
      <c r="CE40" s="60">
        <f t="shared" si="40"/>
        <v>376.2625056050623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0" t="e">
        <f t="shared" si="14"/>
        <v>#N/A</v>
      </c>
      <c r="CY40" s="60" t="e">
        <f ca="1">AVERAGE(OFFSET($CX$3,0,0,'Données projet'!$E$13+1,1))-AVERAGE(OFFSET($H$3,0,0,'Données projet'!$E$13+1,1))</f>
        <v>#N/A</v>
      </c>
      <c r="CZ40" s="60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8">
        <f t="shared" si="1"/>
        <v>335.62813316205717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9.4399999999999977</v>
      </c>
      <c r="N41" s="14">
        <f>IF('Données projet'!$A$36&gt;35,N40+M41-V40,IF(A41&lt;'Données projet'!$A$36,$K$205^A41,IF(A41='Données projet'!$A$36,'Données projet'!$B$36,N40+M41-V40)))</f>
        <v>200.72</v>
      </c>
      <c r="O41" s="14">
        <f>N41*VLOOKUP('Données projet'!$B$9,Paramètres!$A$1:$I$89,3,0)*VLOOKUP('Données projet'!$B$9,Paramètres!$A$1:$I$89,5,0)</f>
        <v>159.69283200000001</v>
      </c>
      <c r="P41" s="14">
        <f t="shared" si="33"/>
        <v>40.773225060243078</v>
      </c>
      <c r="Q41" s="22">
        <f t="shared" si="53"/>
        <v>349.14504937992336</v>
      </c>
      <c r="R41" s="60">
        <f t="shared" si="0"/>
        <v>642.47838271325668</v>
      </c>
      <c r="S41" s="60">
        <f ca="1">AVERAGE(OFFSET($R$3,0,0,'Données projet'!$E$9+1,1))-AVERAGE(OFFSET($H$3,0,0,'Données projet'!$E$9+1,1))</f>
        <v>238.47463071449789</v>
      </c>
      <c r="T41" s="60">
        <f t="shared" si="34"/>
        <v>270.92950919803718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9.4399999999999977</v>
      </c>
      <c r="AI41" s="14">
        <f>IF('Données projet'!$A$62&gt;35,AI40+AH41-AQ40,IF(A41&lt;'Données projet'!$A$62,$AF$205^A41,IF(A41='Données projet'!$A$62,'Données projet'!$B$62,AI40+AH41-AQ40)))</f>
        <v>200.72</v>
      </c>
      <c r="AJ41" s="14">
        <f>AI41*VLOOKUP('Données projet'!$B$10,Paramètres!$A$1:$I$89,3,0)*VLOOKUP('Données projet'!$B$10,Paramètres!$A$1:$I$89,5,0)</f>
        <v>147.16790399999999</v>
      </c>
      <c r="AK41" s="14">
        <f t="shared" si="35"/>
        <v>37.934269396655068</v>
      </c>
      <c r="AL41" s="22">
        <f t="shared" si="4"/>
        <v>322.38628533250755</v>
      </c>
      <c r="AM41" s="60">
        <f t="shared" si="5"/>
        <v>615.71961866584093</v>
      </c>
      <c r="AN41" s="60">
        <f ca="1">AVERAGE(OFFSET($AM$3,0,0,'Données projet'!$E$10+1,1))-AVERAGE(OFFSET($H$3,0,0,'Données projet'!$E$10+1,1))</f>
        <v>216.80783650073869</v>
      </c>
      <c r="AO41" s="60">
        <f t="shared" si="36"/>
        <v>247.59561829759309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163.14285714285708</v>
      </c>
      <c r="BE41" s="14">
        <f>BD41*VLOOKUP('Données projet'!$B$11,Paramètres!$A$1:$I$89,3,0)*VLOOKUP('Données projet'!$B$11,Paramètres!$A$1:$I$89,5,0)</f>
        <v>127.25142857142853</v>
      </c>
      <c r="BF41" s="14">
        <f t="shared" si="37"/>
        <v>33.360457439554281</v>
      </c>
      <c r="BG41" s="22">
        <f t="shared" si="7"/>
        <v>279.73236813579501</v>
      </c>
      <c r="BH41" s="60">
        <f t="shared" si="8"/>
        <v>573.06570146912827</v>
      </c>
      <c r="BI41" s="60">
        <f ca="1">AVERAGE(OFFSET($BH$3,0,0,'Données projet'!$E$11+1,1))-AVERAGE(OFFSET($H$3,0,0,'Données projet'!$E$11+1,1))</f>
        <v>222.34562513006574</v>
      </c>
      <c r="BJ41" s="60">
        <f t="shared" si="38"/>
        <v>213.19969928771548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</v>
      </c>
      <c r="BY41" s="13">
        <f>IF('Données projet'!$A$114&gt;35,BY40+BX41-CG40,IF(A41&lt;'Données projet'!$A$114,$BV$205^A41,IF(A41='Données projet'!$A$114,'Données projet'!$B$114,BY40+BX41-CG40)))</f>
        <v>231</v>
      </c>
      <c r="BZ41" s="14">
        <f>BY41*VLOOKUP('Données projet'!$B$12,Paramètres!$A$1:$I$89,3,0)*VLOOKUP('Données projet'!$B$12,Paramètres!$A$1:$I$89,5,0)</f>
        <v>209.00879999999998</v>
      </c>
      <c r="CA41" s="14">
        <f t="shared" si="39"/>
        <v>51.718923953824202</v>
      </c>
      <c r="CB41" s="22">
        <f t="shared" si="10"/>
        <v>454.10078588624373</v>
      </c>
      <c r="CC41" s="60">
        <f t="shared" si="11"/>
        <v>747.43411921957704</v>
      </c>
      <c r="CD41" s="60">
        <f ca="1">AVERAGE(OFFSET($CC$3,0,0,'Données projet'!$E$12+1,1))-AVERAGE(OFFSET($H$3,0,0,'Données projet'!$E$12+1,1))</f>
        <v>274.84847548786672</v>
      </c>
      <c r="CE41" s="60">
        <f t="shared" si="40"/>
        <v>376.2625056050623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0" t="e">
        <f t="shared" si="14"/>
        <v>#N/A</v>
      </c>
      <c r="CY41" s="60" t="e">
        <f ca="1">AVERAGE(OFFSET($CX$3,0,0,'Données projet'!$E$13+1,1))-AVERAGE(OFFSET($H$3,0,0,'Données projet'!$E$13+1,1))</f>
        <v>#N/A</v>
      </c>
      <c r="CZ41" s="60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8">
        <f t="shared" si="1"/>
        <v>336.70874275198798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9.4399999999999977</v>
      </c>
      <c r="N42" s="14">
        <f>IF('Données projet'!$A$36&gt;35,N41+M42-V41,IF(A42&lt;'Données projet'!$A$36,$K$205^A42,IF(A42='Données projet'!$A$36,'Données projet'!$B$36,N41+M42-V41)))</f>
        <v>210.16</v>
      </c>
      <c r="O42" s="14">
        <f>N42*VLOOKUP('Données projet'!$B$9,Paramètres!$A$1:$I$89,3,0)*VLOOKUP('Données projet'!$B$9,Paramètres!$A$1:$I$89,5,0)</f>
        <v>167.20329600000002</v>
      </c>
      <c r="P42" s="14">
        <f t="shared" si="33"/>
        <v>42.463051496825123</v>
      </c>
      <c r="Q42" s="22">
        <f t="shared" si="53"/>
        <v>365.16888855697044</v>
      </c>
      <c r="R42" s="60">
        <f t="shared" si="0"/>
        <v>658.50222189030376</v>
      </c>
      <c r="S42" s="60">
        <f ca="1">AVERAGE(OFFSET($R$3,0,0,'Données projet'!$E$9+1,1))-AVERAGE(OFFSET($H$3,0,0,'Données projet'!$E$9+1,1))</f>
        <v>238.47463071449789</v>
      </c>
      <c r="T42" s="60">
        <f t="shared" si="34"/>
        <v>270.92950919803718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9.4399999999999977</v>
      </c>
      <c r="AI42" s="14">
        <f>IF('Données projet'!$A$62&gt;35,AI41+AH42-AQ41,IF(A42&lt;'Données projet'!$A$62,$AF$205^A42,IF(A42='Données projet'!$A$62,'Données projet'!$B$62,AI41+AH42-AQ41)))</f>
        <v>210.16</v>
      </c>
      <c r="AJ42" s="14">
        <f>AI42*VLOOKUP('Données projet'!$B$10,Paramètres!$A$1:$I$89,3,0)*VLOOKUP('Données projet'!$B$10,Paramètres!$A$1:$I$89,5,0)</f>
        <v>154.08931200000001</v>
      </c>
      <c r="AK42" s="14">
        <f t="shared" si="35"/>
        <v>39.506436699687413</v>
      </c>
      <c r="AL42" s="22">
        <f t="shared" si="4"/>
        <v>337.17926231862225</v>
      </c>
      <c r="AM42" s="60">
        <f t="shared" si="5"/>
        <v>630.51259565195551</v>
      </c>
      <c r="AN42" s="60">
        <f ca="1">AVERAGE(OFFSET($AM$3,0,0,'Données projet'!$E$10+1,1))-AVERAGE(OFFSET($H$3,0,0,'Données projet'!$E$10+1,1))</f>
        <v>216.80783650073869</v>
      </c>
      <c r="AO42" s="60">
        <f t="shared" si="36"/>
        <v>247.59561829759309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174.28571428571422</v>
      </c>
      <c r="BE42" s="14">
        <f>BD42*VLOOKUP('Données projet'!$B$11,Paramètres!$A$1:$I$89,3,0)*VLOOKUP('Données projet'!$B$11,Paramètres!$A$1:$I$89,5,0)</f>
        <v>135.94285714285709</v>
      </c>
      <c r="BF42" s="14">
        <f t="shared" si="37"/>
        <v>35.365986273808367</v>
      </c>
      <c r="BG42" s="22">
        <f t="shared" si="7"/>
        <v>298.36290228402567</v>
      </c>
      <c r="BH42" s="60">
        <f t="shared" si="8"/>
        <v>591.69623561735898</v>
      </c>
      <c r="BI42" s="60">
        <f ca="1">AVERAGE(OFFSET($BH$3,0,0,'Données projet'!$E$11+1,1))-AVERAGE(OFFSET($H$3,0,0,'Données projet'!$E$11+1,1))</f>
        <v>222.34562513006574</v>
      </c>
      <c r="BJ42" s="60">
        <f t="shared" si="38"/>
        <v>213.19969928771548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</v>
      </c>
      <c r="BY42" s="13">
        <f>IF('Données projet'!$A$114&gt;35,BY41+BX42-CG41,IF(A42&lt;'Données projet'!$A$114,$BV$205^A42,IF(A42='Données projet'!$A$114,'Données projet'!$B$114,BY41+BX42-CG41)))</f>
        <v>236</v>
      </c>
      <c r="BZ42" s="14">
        <f>BY42*VLOOKUP('Données projet'!$B$12,Paramètres!$A$1:$I$89,3,0)*VLOOKUP('Données projet'!$B$12,Paramètres!$A$1:$I$89,5,0)</f>
        <v>213.53280000000001</v>
      </c>
      <c r="CA42" s="14">
        <f t="shared" si="39"/>
        <v>52.706840209271235</v>
      </c>
      <c r="CB42" s="22">
        <f t="shared" si="10"/>
        <v>463.70070669781398</v>
      </c>
      <c r="CC42" s="60">
        <f t="shared" si="11"/>
        <v>757.03404003114724</v>
      </c>
      <c r="CD42" s="60">
        <f ca="1">AVERAGE(OFFSET($CC$3,0,0,'Données projet'!$E$12+1,1))-AVERAGE(OFFSET($H$3,0,0,'Données projet'!$E$12+1,1))</f>
        <v>274.84847548786672</v>
      </c>
      <c r="CE42" s="60">
        <f t="shared" si="40"/>
        <v>376.2625056050623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0" t="e">
        <f t="shared" si="14"/>
        <v>#N/A</v>
      </c>
      <c r="CY42" s="60" t="e">
        <f ca="1">AVERAGE(OFFSET($CX$3,0,0,'Données projet'!$E$13+1,1))-AVERAGE(OFFSET($H$3,0,0,'Données projet'!$E$13+1,1))</f>
        <v>#N/A</v>
      </c>
      <c r="CZ42" s="60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8">
        <f t="shared" si="1"/>
        <v>337.78862847140419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219.6</v>
      </c>
      <c r="L43" s="13">
        <f>VLOOKUP(A43,'Données projet'!$A$35:$I$55,9,0)</f>
        <v>9.4399999999999977</v>
      </c>
      <c r="M43" s="13">
        <f t="array" ref="M43">INDEX(L:L,MIN(IF(ISNUMBER(L43:L239),ROW(L43:L239),"")))</f>
        <v>9.4399999999999977</v>
      </c>
      <c r="N43" s="14">
        <f>IF('Données projet'!$A$36&gt;35,N42+M43-V42,IF(A43&lt;'Données projet'!$A$36,$K$205^A43,IF(A43='Données projet'!$A$36,'Données projet'!$B$36,N42+M43-V42)))</f>
        <v>219.6</v>
      </c>
      <c r="O43" s="14">
        <f>N43*VLOOKUP('Données projet'!$B$9,Paramètres!$A$1:$I$89,3,0)*VLOOKUP('Données projet'!$B$9,Paramètres!$A$1:$I$89,5,0)</f>
        <v>174.71376000000001</v>
      </c>
      <c r="P43" s="14">
        <f t="shared" si="33"/>
        <v>44.144062647515817</v>
      </c>
      <c r="Q43" s="22">
        <f t="shared" si="53"/>
        <v>381.17737444442338</v>
      </c>
      <c r="R43" s="60">
        <f t="shared" si="0"/>
        <v>674.51070777775669</v>
      </c>
      <c r="S43" s="60">
        <f ca="1">AVERAGE(OFFSET($R$3,0,0,'Données projet'!$E$9+1,1))-AVERAGE(OFFSET($H$3,0,0,'Données projet'!$E$9+1,1))</f>
        <v>238.47463071449789</v>
      </c>
      <c r="T43" s="60">
        <f t="shared" si="34"/>
        <v>270.92950919803718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219.6</v>
      </c>
      <c r="AG43" s="13">
        <f>VLOOKUP(A43,'Données projet'!$A$61:$I$81,9,0)</f>
        <v>9.4399999999999977</v>
      </c>
      <c r="AH43" s="13">
        <f t="array" ref="AH43">INDEX(AG:AG,MIN(IF(ISNUMBER(AG43:AG239),ROW(AG43:AG239),"")))</f>
        <v>9.4399999999999977</v>
      </c>
      <c r="AI43" s="14">
        <f>IF('Données projet'!$A$62&gt;35,AI42+AH43-AQ42,IF(A43&lt;'Données projet'!$A$62,$AF$205^A43,IF(A43='Données projet'!$A$62,'Données projet'!$B$62,AI42+AH43-AQ42)))</f>
        <v>219.6</v>
      </c>
      <c r="AJ43" s="14">
        <f>AI43*VLOOKUP('Données projet'!$B$10,Paramètres!$A$1:$I$89,3,0)*VLOOKUP('Données projet'!$B$10,Paramètres!$A$1:$I$89,5,0)</f>
        <v>161.01071999999999</v>
      </c>
      <c r="AK43" s="14">
        <f t="shared" si="35"/>
        <v>41.070402507024518</v>
      </c>
      <c r="AL43" s="22">
        <f t="shared" si="4"/>
        <v>351.95795503306766</v>
      </c>
      <c r="AM43" s="60">
        <f t="shared" si="5"/>
        <v>645.29128836640098</v>
      </c>
      <c r="AN43" s="60">
        <f ca="1">AVERAGE(OFFSET($AM$3,0,0,'Données projet'!$E$10+1,1))-AVERAGE(OFFSET($H$3,0,0,'Données projet'!$E$10+1,1))</f>
        <v>216.80783650073869</v>
      </c>
      <c r="AO43" s="60">
        <f t="shared" si="36"/>
        <v>247.59561829759309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185.42857142857136</v>
      </c>
      <c r="BE43" s="14">
        <f>BD43*VLOOKUP('Données projet'!$B$11,Paramètres!$A$1:$I$89,3,0)*VLOOKUP('Données projet'!$B$11,Paramètres!$A$1:$I$89,5,0)</f>
        <v>144.63428571428565</v>
      </c>
      <c r="BF43" s="14">
        <f t="shared" si="37"/>
        <v>37.356634728420524</v>
      </c>
      <c r="BG43" s="22">
        <f t="shared" si="7"/>
        <v>316.96751977104657</v>
      </c>
      <c r="BH43" s="60">
        <f t="shared" si="8"/>
        <v>610.30085310437994</v>
      </c>
      <c r="BI43" s="60">
        <f ca="1">AVERAGE(OFFSET($BH$3,0,0,'Données projet'!$E$11+1,1))-AVERAGE(OFFSET($H$3,0,0,'Données projet'!$E$11+1,1))</f>
        <v>222.34562513006574</v>
      </c>
      <c r="BJ43" s="60">
        <f t="shared" si="38"/>
        <v>213.19969928771548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241</v>
      </c>
      <c r="BW43" s="13">
        <f>VLOOKUP(A43,'Données projet'!$A$113:$I$133,9,0)</f>
        <v>5</v>
      </c>
      <c r="BX43" s="13">
        <f t="array" ref="BX43">INDEX(BW:BW,MIN(IF(ISNUMBER(BW43:BW239),ROW(BW43:BW239),"")))</f>
        <v>5</v>
      </c>
      <c r="BY43" s="13">
        <f>IF('Données projet'!$A$114&gt;35,BY42+BX43-CG42,IF(A43&lt;'Données projet'!$A$114,$BV$205^A43,IF(A43='Données projet'!$A$114,'Données projet'!$B$114,BY42+BX43-CG42)))</f>
        <v>241</v>
      </c>
      <c r="BZ43" s="14">
        <f>BY43*VLOOKUP('Données projet'!$B$12,Paramètres!$A$1:$I$89,3,0)*VLOOKUP('Données projet'!$B$12,Paramètres!$A$1:$I$89,5,0)</f>
        <v>218.05680000000001</v>
      </c>
      <c r="CA43" s="14">
        <f t="shared" si="39"/>
        <v>53.69232297195181</v>
      </c>
      <c r="CB43" s="22">
        <f t="shared" si="10"/>
        <v>473.29638917614938</v>
      </c>
      <c r="CC43" s="60">
        <f t="shared" si="11"/>
        <v>766.62972250948269</v>
      </c>
      <c r="CD43" s="60">
        <f ca="1">AVERAGE(OFFSET($CC$3,0,0,'Données projet'!$E$12+1,1))-AVERAGE(OFFSET($H$3,0,0,'Données projet'!$E$12+1,1))</f>
        <v>274.84847548786672</v>
      </c>
      <c r="CE43" s="60">
        <f t="shared" si="40"/>
        <v>376.2625056050623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0" t="e">
        <f t="shared" si="14"/>
        <v>#N/A</v>
      </c>
      <c r="CY43" s="60" t="e">
        <f ca="1">AVERAGE(OFFSET($CX$3,0,0,'Données projet'!$E$13+1,1))-AVERAGE(OFFSET($H$3,0,0,'Données projet'!$E$13+1,1))</f>
        <v>#N/A</v>
      </c>
      <c r="CZ43" s="60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8">
        <f t="shared" si="1"/>
        <v>338.86781049841682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8.2000000000000064</v>
      </c>
      <c r="N44" s="14">
        <f>IF('Données projet'!$A$36&gt;35,N43+M44-V43,IF(A44&lt;'Données projet'!$A$36,$K$205^A44,IF(A44='Données projet'!$A$36,'Données projet'!$B$36,N43+M44-V43)))</f>
        <v>171.8</v>
      </c>
      <c r="O44" s="14">
        <f>N44*VLOOKUP('Données projet'!$B$9,Paramètres!$A$1:$I$89,3,0)*VLOOKUP('Données projet'!$B$9,Paramètres!$A$1:$I$89,5,0)</f>
        <v>136.68408000000002</v>
      </c>
      <c r="P44" s="14">
        <f t="shared" si="33"/>
        <v>35.536318307654433</v>
      </c>
      <c r="Q44" s="22">
        <f t="shared" si="53"/>
        <v>299.9505270524981</v>
      </c>
      <c r="R44" s="60">
        <f t="shared" si="0"/>
        <v>593.28386038583142</v>
      </c>
      <c r="S44" s="60">
        <f ca="1">AVERAGE(OFFSET($R$3,0,0,'Données projet'!$E$9+1,1))-AVERAGE(OFFSET($H$3,0,0,'Données projet'!$E$9+1,1))</f>
        <v>238.47463071449789</v>
      </c>
      <c r="T44" s="60">
        <f t="shared" si="34"/>
        <v>270.92950919803718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8.2000000000000064</v>
      </c>
      <c r="AI44" s="14">
        <f>IF('Données projet'!$A$62&gt;35,AI43+AH44-AQ43,IF(A44&lt;'Données projet'!$A$62,$AF$205^A44,IF(A44='Données projet'!$A$62,'Données projet'!$B$62,AI43+AH44-AQ43)))</f>
        <v>171.8</v>
      </c>
      <c r="AJ44" s="14">
        <f>AI44*VLOOKUP('Données projet'!$B$10,Paramètres!$A$1:$I$89,3,0)*VLOOKUP('Données projet'!$B$10,Paramètres!$A$1:$I$89,5,0)</f>
        <v>125.96375999999999</v>
      </c>
      <c r="AK44" s="14">
        <f t="shared" si="35"/>
        <v>33.061997672641603</v>
      </c>
      <c r="AL44" s="22">
        <f t="shared" si="4"/>
        <v>276.96986127985076</v>
      </c>
      <c r="AM44" s="60">
        <f t="shared" si="5"/>
        <v>570.30319461318413</v>
      </c>
      <c r="AN44" s="60">
        <f ca="1">AVERAGE(OFFSET($AM$3,0,0,'Données projet'!$E$10+1,1))-AVERAGE(OFFSET($H$3,0,0,'Données projet'!$E$10+1,1))</f>
        <v>216.80783650073869</v>
      </c>
      <c r="AO44" s="60">
        <f t="shared" si="36"/>
        <v>247.59561829759309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</v>
      </c>
      <c r="BE44" s="14">
        <f>BD44*VLOOKUP('Données projet'!$B$11,Paramètres!$A$1:$I$89,3,0)*VLOOKUP('Données projet'!$B$11,Paramètres!$A$1:$I$89,5,0)</f>
        <v>153.32571428571424</v>
      </c>
      <c r="BF44" s="14">
        <f t="shared" si="37"/>
        <v>39.333398837614155</v>
      </c>
      <c r="BG44" s="22">
        <f t="shared" si="7"/>
        <v>335.5479553564636</v>
      </c>
      <c r="BH44" s="60">
        <f t="shared" si="8"/>
        <v>628.88128868979697</v>
      </c>
      <c r="BI44" s="60">
        <f ca="1">AVERAGE(OFFSET($BH$3,0,0,'Données projet'!$E$11+1,1))-AVERAGE(OFFSET($H$3,0,0,'Données projet'!$E$11+1,1))</f>
        <v>222.34562513006574</v>
      </c>
      <c r="BJ44" s="60">
        <f t="shared" si="38"/>
        <v>213.19969928771548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</v>
      </c>
      <c r="BY44" s="13">
        <f>IF('Données projet'!$A$114&gt;35,BY43+BX44-CG43,IF(A44&lt;'Données projet'!$A$114,$BV$205^A44,IF(A44='Données projet'!$A$114,'Données projet'!$B$114,BY43+BX44-CG43)))</f>
        <v>246</v>
      </c>
      <c r="BZ44" s="14">
        <f>BY44*VLOOKUP('Données projet'!$B$12,Paramètres!$A$1:$I$89,3,0)*VLOOKUP('Données projet'!$B$12,Paramètres!$A$1:$I$89,5,0)</f>
        <v>222.58079999999998</v>
      </c>
      <c r="CA44" s="14">
        <f t="shared" si="39"/>
        <v>54.675428546153199</v>
      </c>
      <c r="CB44" s="22">
        <f t="shared" si="10"/>
        <v>482.88793138455003</v>
      </c>
      <c r="CC44" s="60">
        <f t="shared" si="11"/>
        <v>776.22126471788329</v>
      </c>
      <c r="CD44" s="60">
        <f ca="1">AVERAGE(OFFSET($CC$3,0,0,'Données projet'!$E$12+1,1))-AVERAGE(OFFSET($H$3,0,0,'Données projet'!$E$12+1,1))</f>
        <v>274.84847548786672</v>
      </c>
      <c r="CE44" s="60">
        <f t="shared" si="40"/>
        <v>376.2625056050623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0" t="e">
        <f t="shared" si="14"/>
        <v>#N/A</v>
      </c>
      <c r="CY44" s="60" t="e">
        <f ca="1">AVERAGE(OFFSET($CX$3,0,0,'Données projet'!$E$13+1,1))-AVERAGE(OFFSET($H$3,0,0,'Données projet'!$E$13+1,1))</f>
        <v>#N/A</v>
      </c>
      <c r="CZ44" s="60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8">
        <f t="shared" si="1"/>
        <v>339.94630797071898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8.2000000000000064</v>
      </c>
      <c r="N45" s="14">
        <f>IF('Données projet'!$A$36&gt;35,N44+M45-V44,IF(A45&lt;'Données projet'!$A$36,$K$205^A45,IF(A45='Données projet'!$A$36,'Données projet'!$B$36,N44+M45-V44)))</f>
        <v>180.00000000000003</v>
      </c>
      <c r="O45" s="14">
        <f>N45*VLOOKUP('Données projet'!$B$9,Paramètres!$A$1:$I$89,3,0)*VLOOKUP('Données projet'!$B$9,Paramètres!$A$1:$I$89,5,0)</f>
        <v>143.20800000000003</v>
      </c>
      <c r="P45" s="14">
        <f t="shared" si="33"/>
        <v>37.030941422835831</v>
      </c>
      <c r="Q45" s="22">
        <f t="shared" si="53"/>
        <v>313.91615631143912</v>
      </c>
      <c r="R45" s="60">
        <f t="shared" si="0"/>
        <v>607.24948964477244</v>
      </c>
      <c r="S45" s="60">
        <f ca="1">AVERAGE(OFFSET($R$3,0,0,'Données projet'!$E$9+1,1))-AVERAGE(OFFSET($H$3,0,0,'Données projet'!$E$9+1,1))</f>
        <v>238.47463071449789</v>
      </c>
      <c r="T45" s="60">
        <f t="shared" si="34"/>
        <v>270.92950919803718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8.2000000000000064</v>
      </c>
      <c r="AI45" s="14">
        <f>IF('Données projet'!$A$62&gt;35,AI44+AH45-AQ44,IF(A45&lt;'Données projet'!$A$62,$AF$205^A45,IF(A45='Données projet'!$A$62,'Données projet'!$B$62,AI44+AH45-AQ44)))</f>
        <v>180.00000000000003</v>
      </c>
      <c r="AJ45" s="14">
        <f>AI45*VLOOKUP('Données projet'!$B$10,Paramètres!$A$1:$I$89,3,0)*VLOOKUP('Données projet'!$B$10,Paramètres!$A$1:$I$89,5,0)</f>
        <v>131.97600000000003</v>
      </c>
      <c r="AK45" s="14">
        <f t="shared" si="35"/>
        <v>34.452553259401945</v>
      </c>
      <c r="AL45" s="22">
        <f t="shared" si="4"/>
        <v>289.86306359345843</v>
      </c>
      <c r="AM45" s="60">
        <f t="shared" si="5"/>
        <v>583.19639692679175</v>
      </c>
      <c r="AN45" s="60">
        <f ca="1">AVERAGE(OFFSET($AM$3,0,0,'Données projet'!$E$10+1,1))-AVERAGE(OFFSET($H$3,0,0,'Données projet'!$E$10+1,1))</f>
        <v>216.80783650073869</v>
      </c>
      <c r="AO45" s="60">
        <f t="shared" si="36"/>
        <v>247.59561829759309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207.71428571428564</v>
      </c>
      <c r="BE45" s="14">
        <f>BD45*VLOOKUP('Données projet'!$B$11,Paramètres!$A$1:$I$89,3,0)*VLOOKUP('Données projet'!$B$11,Paramètres!$A$1:$I$89,5,0)</f>
        <v>162.0171428571428</v>
      </c>
      <c r="BF45" s="14">
        <f t="shared" si="37"/>
        <v>41.29715533509664</v>
      </c>
      <c r="BG45" s="22">
        <f t="shared" si="7"/>
        <v>354.10573601815037</v>
      </c>
      <c r="BH45" s="60">
        <f t="shared" si="8"/>
        <v>647.43906935148368</v>
      </c>
      <c r="BI45" s="60">
        <f ca="1">AVERAGE(OFFSET($BH$3,0,0,'Données projet'!$E$11+1,1))-AVERAGE(OFFSET($H$3,0,0,'Données projet'!$E$11+1,1))</f>
        <v>222.34562513006574</v>
      </c>
      <c r="BJ45" s="60">
        <f t="shared" si="38"/>
        <v>213.19969928771548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</v>
      </c>
      <c r="BY45" s="13">
        <f>IF('Données projet'!$A$114&gt;35,BY44+BX45-CG44,IF(A45&lt;'Données projet'!$A$114,$BV$205^A45,IF(A45='Données projet'!$A$114,'Données projet'!$B$114,BY44+BX45-CG44)))</f>
        <v>251</v>
      </c>
      <c r="BZ45" s="14">
        <f>BY45*VLOOKUP('Données projet'!$B$12,Paramètres!$A$1:$I$89,3,0)*VLOOKUP('Données projet'!$B$12,Paramètres!$A$1:$I$89,5,0)</f>
        <v>227.10479999999998</v>
      </c>
      <c r="CA45" s="14">
        <f t="shared" si="39"/>
        <v>55.65621081652565</v>
      </c>
      <c r="CB45" s="22">
        <f t="shared" si="10"/>
        <v>492.47542717211553</v>
      </c>
      <c r="CC45" s="60">
        <f t="shared" si="11"/>
        <v>785.80876050544884</v>
      </c>
      <c r="CD45" s="60">
        <f ca="1">AVERAGE(OFFSET($CC$3,0,0,'Données projet'!$E$12+1,1))-AVERAGE(OFFSET($H$3,0,0,'Données projet'!$E$12+1,1))</f>
        <v>274.84847548786672</v>
      </c>
      <c r="CE45" s="60">
        <f t="shared" si="40"/>
        <v>376.2625056050623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0" t="e">
        <f t="shared" si="14"/>
        <v>#N/A</v>
      </c>
      <c r="CY45" s="60" t="e">
        <f ca="1">AVERAGE(OFFSET($CX$3,0,0,'Données projet'!$E$13+1,1))-AVERAGE(OFFSET($H$3,0,0,'Données projet'!$E$13+1,1))</f>
        <v>#N/A</v>
      </c>
      <c r="CZ45" s="60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8">
        <f t="shared" si="1"/>
        <v>341.02413906270732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8.2000000000000064</v>
      </c>
      <c r="N46" s="14">
        <f>IF('Données projet'!$A$36&gt;35,N45+M46-V45,IF(A46&lt;'Données projet'!$A$36,$K$205^A46,IF(A46='Données projet'!$A$36,'Données projet'!$B$36,N45+M46-V45)))</f>
        <v>188.20000000000005</v>
      </c>
      <c r="O46" s="14">
        <f>N46*VLOOKUP('Données projet'!$B$9,Paramètres!$A$1:$I$89,3,0)*VLOOKUP('Données projet'!$B$9,Paramètres!$A$1:$I$89,5,0)</f>
        <v>149.73192000000006</v>
      </c>
      <c r="P46" s="14">
        <f t="shared" si="33"/>
        <v>38.517657137847586</v>
      </c>
      <c r="Q46" s="22">
        <f t="shared" si="53"/>
        <v>327.86801351508461</v>
      </c>
      <c r="R46" s="60">
        <f t="shared" si="0"/>
        <v>621.20134684841787</v>
      </c>
      <c r="S46" s="60">
        <f ca="1">AVERAGE(OFFSET($R$3,0,0,'Données projet'!$E$9+1,1))-AVERAGE(OFFSET($H$3,0,0,'Données projet'!$E$9+1,1))</f>
        <v>238.47463071449789</v>
      </c>
      <c r="T46" s="60">
        <f t="shared" si="34"/>
        <v>270.92950919803718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8.2000000000000064</v>
      </c>
      <c r="AI46" s="14">
        <f>IF('Données projet'!$A$62&gt;35,AI45+AH46-AQ45,IF(A46&lt;'Données projet'!$A$62,$AF$205^A46,IF(A46='Données projet'!$A$62,'Données projet'!$B$62,AI45+AH46-AQ45)))</f>
        <v>188.20000000000005</v>
      </c>
      <c r="AJ46" s="14">
        <f>AI46*VLOOKUP('Données projet'!$B$10,Paramètres!$A$1:$I$89,3,0)*VLOOKUP('Données projet'!$B$10,Paramètres!$A$1:$I$89,5,0)</f>
        <v>137.98824000000005</v>
      </c>
      <c r="AK46" s="14">
        <f t="shared" si="35"/>
        <v>35.83575202197639</v>
      </c>
      <c r="AL46" s="22">
        <f t="shared" si="4"/>
        <v>302.74345277160899</v>
      </c>
      <c r="AM46" s="60">
        <f t="shared" si="5"/>
        <v>596.07678610494236</v>
      </c>
      <c r="AN46" s="60">
        <f ca="1">AVERAGE(OFFSET($AM$3,0,0,'Données projet'!$E$10+1,1))-AVERAGE(OFFSET($H$3,0,0,'Données projet'!$E$10+1,1))</f>
        <v>216.80783650073869</v>
      </c>
      <c r="AO46" s="60">
        <f t="shared" si="36"/>
        <v>247.59561829759309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218.85714285714278</v>
      </c>
      <c r="BE46" s="14">
        <f>BD46*VLOOKUP('Données projet'!$B$11,Paramètres!$A$1:$I$89,3,0)*VLOOKUP('Données projet'!$B$11,Paramètres!$A$1:$I$89,5,0)</f>
        <v>170.70857142857136</v>
      </c>
      <c r="BF46" s="14">
        <f t="shared" si="37"/>
        <v>43.248681576985376</v>
      </c>
      <c r="BG46" s="22">
        <f t="shared" si="7"/>
        <v>372.64221565134466</v>
      </c>
      <c r="BH46" s="60">
        <f t="shared" si="8"/>
        <v>665.97554898467797</v>
      </c>
      <c r="BI46" s="60">
        <f ca="1">AVERAGE(OFFSET($BH$3,0,0,'Données projet'!$E$11+1,1))-AVERAGE(OFFSET($H$3,0,0,'Données projet'!$E$11+1,1))</f>
        <v>222.34562513006574</v>
      </c>
      <c r="BJ46" s="60">
        <f t="shared" si="38"/>
        <v>213.19969928771548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</v>
      </c>
      <c r="BY46" s="13">
        <f>IF('Données projet'!$A$114&gt;35,BY45+BX46-CG45,IF(A46&lt;'Données projet'!$A$114,$BV$205^A46,IF(A46='Données projet'!$A$114,'Données projet'!$B$114,BY45+BX46-CG45)))</f>
        <v>256</v>
      </c>
      <c r="BZ46" s="14">
        <f>BY46*VLOOKUP('Données projet'!$B$12,Paramètres!$A$1:$I$89,3,0)*VLOOKUP('Données projet'!$B$12,Paramètres!$A$1:$I$89,5,0)</f>
        <v>231.62879999999998</v>
      </c>
      <c r="CA46" s="14">
        <f t="shared" si="39"/>
        <v>56.63472139815822</v>
      </c>
      <c r="CB46" s="22">
        <f t="shared" si="10"/>
        <v>502.05896643512551</v>
      </c>
      <c r="CC46" s="60">
        <f t="shared" si="11"/>
        <v>795.39229976845877</v>
      </c>
      <c r="CD46" s="60">
        <f ca="1">AVERAGE(OFFSET($CC$3,0,0,'Données projet'!$E$12+1,1))-AVERAGE(OFFSET($H$3,0,0,'Données projet'!$E$12+1,1))</f>
        <v>274.84847548786672</v>
      </c>
      <c r="CE46" s="60">
        <f t="shared" si="40"/>
        <v>376.2625056050623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0" t="e">
        <f t="shared" si="14"/>
        <v>#N/A</v>
      </c>
      <c r="CY46" s="60" t="e">
        <f ca="1">AVERAGE(OFFSET($CX$3,0,0,'Données projet'!$E$13+1,1))-AVERAGE(OFFSET($H$3,0,0,'Données projet'!$E$13+1,1))</f>
        <v>#N/A</v>
      </c>
      <c r="CZ46" s="60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8">
        <f t="shared" si="1"/>
        <v>342.1013210552274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8.2000000000000064</v>
      </c>
      <c r="N47" s="14">
        <f>IF('Données projet'!$A$36&gt;35,N46+M47-V46,IF(A47&lt;'Données projet'!$A$36,$K$205^A47,IF(A47='Données projet'!$A$36,'Données projet'!$B$36,N46+M47-V46)))</f>
        <v>196.40000000000006</v>
      </c>
      <c r="O47" s="14">
        <f>N47*VLOOKUP('Données projet'!$B$9,Paramètres!$A$1:$I$89,3,0)*VLOOKUP('Données projet'!$B$9,Paramètres!$A$1:$I$89,5,0)</f>
        <v>156.25584000000006</v>
      </c>
      <c r="P47" s="14">
        <f t="shared" si="33"/>
        <v>39.996849361050039</v>
      </c>
      <c r="Q47" s="22">
        <f t="shared" si="53"/>
        <v>341.80676730382885</v>
      </c>
      <c r="R47" s="60">
        <f t="shared" si="0"/>
        <v>635.14010063716216</v>
      </c>
      <c r="S47" s="60">
        <f ca="1">AVERAGE(OFFSET($R$3,0,0,'Données projet'!$E$9+1,1))-AVERAGE(OFFSET($H$3,0,0,'Données projet'!$E$9+1,1))</f>
        <v>238.47463071449789</v>
      </c>
      <c r="T47" s="60">
        <f t="shared" si="34"/>
        <v>270.92950919803718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8.2000000000000064</v>
      </c>
      <c r="AI47" s="14">
        <f>IF('Données projet'!$A$62&gt;35,AI46+AH47-AQ46,IF(A47&lt;'Données projet'!$A$62,$AF$205^A47,IF(A47='Données projet'!$A$62,'Données projet'!$B$62,AI46+AH47-AQ46)))</f>
        <v>196.40000000000006</v>
      </c>
      <c r="AJ47" s="14">
        <f>AI47*VLOOKUP('Données projet'!$B$10,Paramètres!$A$1:$I$89,3,0)*VLOOKUP('Données projet'!$B$10,Paramètres!$A$1:$I$89,5,0)</f>
        <v>144.00048000000004</v>
      </c>
      <c r="AK47" s="14">
        <f t="shared" si="35"/>
        <v>37.211951137976968</v>
      </c>
      <c r="AL47" s="22">
        <f t="shared" si="4"/>
        <v>315.61165089864329</v>
      </c>
      <c r="AM47" s="60">
        <f t="shared" si="5"/>
        <v>608.9449842319766</v>
      </c>
      <c r="AN47" s="60">
        <f ca="1">AVERAGE(OFFSET($AM$3,0,0,'Données projet'!$E$10+1,1))-AVERAGE(OFFSET($H$3,0,0,'Données projet'!$E$10+1,1))</f>
        <v>216.80783650073869</v>
      </c>
      <c r="AO47" s="60">
        <f t="shared" si="36"/>
        <v>247.59561829759309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229.99999999999991</v>
      </c>
      <c r="BE47" s="14">
        <f>BD47*VLOOKUP('Données projet'!$B$11,Paramètres!$A$1:$I$89,3,0)*VLOOKUP('Données projet'!$B$11,Paramètres!$A$1:$I$89,5,0)</f>
        <v>179.39999999999995</v>
      </c>
      <c r="BF47" s="14">
        <f t="shared" si="37"/>
        <v>45.188671291872232</v>
      </c>
      <c r="BG47" s="22">
        <f t="shared" si="7"/>
        <v>391.15860250001066</v>
      </c>
      <c r="BH47" s="60">
        <f t="shared" si="8"/>
        <v>684.49193583334397</v>
      </c>
      <c r="BI47" s="60">
        <f ca="1">AVERAGE(OFFSET($BH$3,0,0,'Données projet'!$E$11+1,1))-AVERAGE(OFFSET($H$3,0,0,'Données projet'!$E$11+1,1))</f>
        <v>222.34562513006574</v>
      </c>
      <c r="BJ47" s="60">
        <f t="shared" si="38"/>
        <v>213.19969928771548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</v>
      </c>
      <c r="BY47" s="13">
        <f>IF('Données projet'!$A$114&gt;35,BY46+BX47-CG46,IF(A47&lt;'Données projet'!$A$114,$BV$205^A47,IF(A47='Données projet'!$A$114,'Données projet'!$B$114,BY46+BX47-CG46)))</f>
        <v>261</v>
      </c>
      <c r="BZ47" s="14">
        <f>BY47*VLOOKUP('Données projet'!$B$12,Paramètres!$A$1:$I$89,3,0)*VLOOKUP('Données projet'!$B$12,Paramètres!$A$1:$I$89,5,0)</f>
        <v>236.15280000000001</v>
      </c>
      <c r="CA47" s="14">
        <f t="shared" si="39"/>
        <v>57.61100977459936</v>
      </c>
      <c r="CB47" s="22">
        <f t="shared" si="10"/>
        <v>511.63863535742729</v>
      </c>
      <c r="CC47" s="60">
        <f t="shared" si="11"/>
        <v>804.9719686907606</v>
      </c>
      <c r="CD47" s="60">
        <f ca="1">AVERAGE(OFFSET($CC$3,0,0,'Données projet'!$E$12+1,1))-AVERAGE(OFFSET($H$3,0,0,'Données projet'!$E$12+1,1))</f>
        <v>274.84847548786672</v>
      </c>
      <c r="CE47" s="60">
        <f t="shared" si="40"/>
        <v>376.2625056050623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0" t="e">
        <f t="shared" si="14"/>
        <v>#N/A</v>
      </c>
      <c r="CY47" s="60" t="e">
        <f ca="1">AVERAGE(OFFSET($CX$3,0,0,'Données projet'!$E$13+1,1))-AVERAGE(OFFSET($H$3,0,0,'Données projet'!$E$13+1,1))</f>
        <v>#N/A</v>
      </c>
      <c r="CZ47" s="60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8">
        <f t="shared" si="1"/>
        <v>343.17787039879954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204.60000000000002</v>
      </c>
      <c r="L48" s="13">
        <f>VLOOKUP(A48,'Données projet'!$A$35:$I$55,9,0)</f>
        <v>8.2000000000000064</v>
      </c>
      <c r="M48" s="13">
        <f t="array" ref="M48">INDEX(L:L,MIN(IF(ISNUMBER(L48:L244),ROW(L48:L244),"")))</f>
        <v>8.2000000000000064</v>
      </c>
      <c r="N48" s="14">
        <f>IF('Données projet'!$A$36&gt;35,N47+M48-V47,IF(A48&lt;'Données projet'!$A$36,$K$205^A48,IF(A48='Données projet'!$A$36,'Données projet'!$B$36,N47+M48-V47)))</f>
        <v>204.60000000000008</v>
      </c>
      <c r="O48" s="14">
        <f>N48*VLOOKUP('Données projet'!$B$9,Paramètres!$A$1:$I$89,3,0)*VLOOKUP('Données projet'!$B$9,Paramètres!$A$1:$I$89,5,0)</f>
        <v>162.77976000000007</v>
      </c>
      <c r="P48" s="14">
        <f t="shared" si="33"/>
        <v>41.468868129640093</v>
      </c>
      <c r="Q48" s="22">
        <f t="shared" si="53"/>
        <v>355.73302732578992</v>
      </c>
      <c r="R48" s="60">
        <f t="shared" si="0"/>
        <v>649.06636065912323</v>
      </c>
      <c r="S48" s="60">
        <f ca="1">AVERAGE(OFFSET($R$3,0,0,'Données projet'!$E$9+1,1))-AVERAGE(OFFSET($H$3,0,0,'Données projet'!$E$9+1,1))</f>
        <v>238.47463071449789</v>
      </c>
      <c r="T48" s="60">
        <f t="shared" si="34"/>
        <v>270.92950919803718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204.60000000000002</v>
      </c>
      <c r="AG48" s="13">
        <f>VLOOKUP(A48,'Données projet'!$A$61:$I$81,9,0)</f>
        <v>8.2000000000000064</v>
      </c>
      <c r="AH48" s="13">
        <f t="array" ref="AH48">INDEX(AG:AG,MIN(IF(ISNUMBER(AG48:AG244),ROW(AG48:AG244),"")))</f>
        <v>8.2000000000000064</v>
      </c>
      <c r="AI48" s="14">
        <f>IF('Données projet'!$A$62&gt;35,AI47+AH48-AQ47,IF(A48&lt;'Données projet'!$A$62,$AF$205^A48,IF(A48='Données projet'!$A$62,'Données projet'!$B$62,AI47+AH48-AQ47)))</f>
        <v>204.60000000000008</v>
      </c>
      <c r="AJ48" s="14">
        <f>AI48*VLOOKUP('Données projet'!$B$10,Paramètres!$A$1:$I$89,3,0)*VLOOKUP('Données projet'!$B$10,Paramètres!$A$1:$I$89,5,0)</f>
        <v>150.01272000000006</v>
      </c>
      <c r="AK48" s="14">
        <f t="shared" si="35"/>
        <v>38.581476272231662</v>
      </c>
      <c r="AL48" s="22">
        <f t="shared" si="4"/>
        <v>328.46822517413688</v>
      </c>
      <c r="AM48" s="60">
        <f t="shared" si="5"/>
        <v>621.80155850747019</v>
      </c>
      <c r="AN48" s="60">
        <f ca="1">AVERAGE(OFFSET($AM$3,0,0,'Données projet'!$E$10+1,1))-AVERAGE(OFFSET($H$3,0,0,'Données projet'!$E$10+1,1))</f>
        <v>216.80783650073869</v>
      </c>
      <c r="AO48" s="60">
        <f t="shared" si="36"/>
        <v>247.59561829759309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197.37499999999991</v>
      </c>
      <c r="BE48" s="14">
        <f>BD48*VLOOKUP('Données projet'!$B$11,Paramètres!$A$1:$I$89,3,0)*VLOOKUP('Données projet'!$B$11,Paramètres!$A$1:$I$89,5,0)</f>
        <v>153.95249999999993</v>
      </c>
      <c r="BF48" s="14">
        <f t="shared" si="37"/>
        <v>39.475441267837361</v>
      </c>
      <c r="BG48" s="22">
        <f t="shared" si="7"/>
        <v>336.88699770814992</v>
      </c>
      <c r="BH48" s="60">
        <f t="shared" si="8"/>
        <v>630.22033104148318</v>
      </c>
      <c r="BI48" s="60">
        <f ca="1">AVERAGE(OFFSET($BH$3,0,0,'Données projet'!$E$11+1,1))-AVERAGE(OFFSET($H$3,0,0,'Données projet'!$E$11+1,1))</f>
        <v>222.34562513006574</v>
      </c>
      <c r="BJ48" s="60">
        <f t="shared" si="38"/>
        <v>213.19969928771548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266</v>
      </c>
      <c r="BW48" s="13">
        <f>VLOOKUP(A48,'Données projet'!$A$113:$I$133,9,0)</f>
        <v>5</v>
      </c>
      <c r="BX48" s="13">
        <f t="array" ref="BX48">INDEX(BW:BW,MIN(IF(ISNUMBER(BW48:BW244),ROW(BW48:BW244),"")))</f>
        <v>5</v>
      </c>
      <c r="BY48" s="13">
        <f>IF('Données projet'!$A$114&gt;35,BY47+BX48-CG47,IF(A48&lt;'Données projet'!$A$114,$BV$205^A48,IF(A48='Données projet'!$A$114,'Données projet'!$B$114,BY47+BX48-CG47)))</f>
        <v>266</v>
      </c>
      <c r="BZ48" s="14">
        <f>BY48*VLOOKUP('Données projet'!$B$12,Paramètres!$A$1:$I$89,3,0)*VLOOKUP('Données projet'!$B$12,Paramètres!$A$1:$I$89,5,0)</f>
        <v>240.67680000000001</v>
      </c>
      <c r="CA48" s="14">
        <f t="shared" si="39"/>
        <v>58.585123425001029</v>
      </c>
      <c r="CB48" s="22">
        <f t="shared" si="10"/>
        <v>521.21451663187679</v>
      </c>
      <c r="CC48" s="60">
        <f t="shared" si="11"/>
        <v>814.54784996521016</v>
      </c>
      <c r="CD48" s="60">
        <f ca="1">AVERAGE(OFFSET($CC$3,0,0,'Données projet'!$E$12+1,1))-AVERAGE(OFFSET($H$3,0,0,'Données projet'!$E$12+1,1))</f>
        <v>274.84847548786672</v>
      </c>
      <c r="CE48" s="60">
        <f t="shared" si="40"/>
        <v>376.2625056050623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266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0" t="e">
        <f t="shared" si="14"/>
        <v>#N/A</v>
      </c>
      <c r="CY48" s="60" t="e">
        <f ca="1">AVERAGE(OFFSET($CX$3,0,0,'Données projet'!$E$13+1,1))-AVERAGE(OFFSET($H$3,0,0,'Données projet'!$E$13+1,1))</f>
        <v>#N/A</v>
      </c>
      <c r="CZ48" s="60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8">
        <f t="shared" si="1"/>
        <v>344.25380277106626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7.1199999999999992</v>
      </c>
      <c r="N49" s="14">
        <f>IF('Données projet'!$A$36&gt;35,N48+M49-V48,IF(A49&lt;'Données projet'!$A$36,$K$205^A49,IF(A49='Données projet'!$A$36,'Données projet'!$B$36,N48+M49-V48)))</f>
        <v>211.72000000000008</v>
      </c>
      <c r="O49" s="14">
        <f>N49*VLOOKUP('Données projet'!$B$9,Paramètres!$A$1:$I$89,3,0)*VLOOKUP('Données projet'!$B$9,Paramètres!$A$1:$I$89,5,0)</f>
        <v>168.44443200000006</v>
      </c>
      <c r="P49" s="14">
        <f t="shared" si="33"/>
        <v>42.741441926261587</v>
      </c>
      <c r="Q49" s="22">
        <f t="shared" si="53"/>
        <v>367.81539708823902</v>
      </c>
      <c r="R49" s="60">
        <f t="shared" si="0"/>
        <v>661.14873042157228</v>
      </c>
      <c r="S49" s="60">
        <f ca="1">AVERAGE(OFFSET($R$3,0,0,'Données projet'!$E$9+1,1))-AVERAGE(OFFSET($H$3,0,0,'Données projet'!$E$9+1,1))</f>
        <v>238.47463071449789</v>
      </c>
      <c r="T49" s="60">
        <f t="shared" si="34"/>
        <v>270.92950919803718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7.1199999999999992</v>
      </c>
      <c r="AI49" s="14">
        <f>IF('Données projet'!$A$62&gt;35,AI48+AH49-AQ48,IF(A49&lt;'Données projet'!$A$62,$AF$205^A49,IF(A49='Données projet'!$A$62,'Données projet'!$B$62,AI48+AH49-AQ48)))</f>
        <v>211.72000000000008</v>
      </c>
      <c r="AJ49" s="14">
        <f>AI49*VLOOKUP('Données projet'!$B$10,Paramètres!$A$1:$I$89,3,0)*VLOOKUP('Données projet'!$B$10,Paramètres!$A$1:$I$89,5,0)</f>
        <v>155.23310400000005</v>
      </c>
      <c r="AK49" s="14">
        <f t="shared" si="35"/>
        <v>39.765443377037272</v>
      </c>
      <c r="AL49" s="22">
        <f t="shared" si="4"/>
        <v>339.62247001500663</v>
      </c>
      <c r="AM49" s="60">
        <f t="shared" si="5"/>
        <v>632.95580334833994</v>
      </c>
      <c r="AN49" s="60">
        <f ca="1">AVERAGE(OFFSET($AM$3,0,0,'Données projet'!$E$10+1,1))-AVERAGE(OFFSET($H$3,0,0,'Données projet'!$E$10+1,1))</f>
        <v>216.80783650073869</v>
      </c>
      <c r="AO49" s="60">
        <f t="shared" si="36"/>
        <v>247.59561829759309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207.74999999999991</v>
      </c>
      <c r="BE49" s="14">
        <f>BD49*VLOOKUP('Données projet'!$B$11,Paramètres!$A$1:$I$89,3,0)*VLOOKUP('Données projet'!$B$11,Paramètres!$A$1:$I$89,5,0)</f>
        <v>162.04499999999993</v>
      </c>
      <c r="BF49" s="14">
        <f t="shared" si="37"/>
        <v>41.303429372463391</v>
      </c>
      <c r="BG49" s="22">
        <f t="shared" si="7"/>
        <v>354.16518115704025</v>
      </c>
      <c r="BH49" s="60">
        <f t="shared" si="8"/>
        <v>647.49851449037351</v>
      </c>
      <c r="BI49" s="60">
        <f ca="1">AVERAGE(OFFSET($BH$3,0,0,'Données projet'!$E$11+1,1))-AVERAGE(OFFSET($H$3,0,0,'Données projet'!$E$11+1,1))</f>
        <v>222.34562513006574</v>
      </c>
      <c r="BJ49" s="60">
        <f t="shared" si="38"/>
        <v>213.19969928771548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0" t="e">
        <f t="shared" si="11"/>
        <v>#NUM!</v>
      </c>
      <c r="CD49" s="60">
        <f ca="1">AVERAGE(OFFSET($CC$3,0,0,'Données projet'!$E$12+1,1))-AVERAGE(OFFSET($H$3,0,0,'Données projet'!$E$12+1,1))</f>
        <v>274.84847548786672</v>
      </c>
      <c r="CE49" s="60">
        <f t="shared" si="40"/>
        <v>376.2625056050623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0" t="e">
        <f t="shared" si="14"/>
        <v>#N/A</v>
      </c>
      <c r="CY49" s="60" t="e">
        <f ca="1">AVERAGE(OFFSET($CX$3,0,0,'Données projet'!$E$13+1,1))-AVERAGE(OFFSET($H$3,0,0,'Données projet'!$E$13+1,1))</f>
        <v>#N/A</v>
      </c>
      <c r="CZ49" s="60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8">
        <f t="shared" si="1"/>
        <v>345.32913312910375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7.1199999999999992</v>
      </c>
      <c r="N50" s="14">
        <f>IF('Données projet'!$A$36&gt;35,N49+M50-V49,IF(A50&lt;'Données projet'!$A$36,$K$205^A50,IF(A50='Données projet'!$A$36,'Données projet'!$B$36,N49+M50-V49)))</f>
        <v>218.84000000000009</v>
      </c>
      <c r="O50" s="14">
        <f>N50*VLOOKUP('Données projet'!$B$9,Paramètres!$A$1:$I$89,3,0)*VLOOKUP('Données projet'!$B$9,Paramètres!$A$1:$I$89,5,0)</f>
        <v>174.10910400000009</v>
      </c>
      <c r="P50" s="14">
        <f t="shared" si="33"/>
        <v>44.009043039404553</v>
      </c>
      <c r="Q50" s="22">
        <f t="shared" si="53"/>
        <v>379.88910609362978</v>
      </c>
      <c r="R50" s="60">
        <f t="shared" si="0"/>
        <v>673.22243942696309</v>
      </c>
      <c r="S50" s="60">
        <f ca="1">AVERAGE(OFFSET($R$3,0,0,'Données projet'!$E$9+1,1))-AVERAGE(OFFSET($H$3,0,0,'Données projet'!$E$9+1,1))</f>
        <v>238.47463071449789</v>
      </c>
      <c r="T50" s="60">
        <f t="shared" si="34"/>
        <v>270.92950919803718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7.1199999999999992</v>
      </c>
      <c r="AI50" s="14">
        <f>IF('Données projet'!$A$62&gt;35,AI49+AH50-AQ49,IF(A50&lt;'Données projet'!$A$62,$AF$205^A50,IF(A50='Données projet'!$A$62,'Données projet'!$B$62,AI49+AH50-AQ49)))</f>
        <v>218.84000000000009</v>
      </c>
      <c r="AJ50" s="14">
        <f>AI50*VLOOKUP('Données projet'!$B$10,Paramètres!$A$1:$I$89,3,0)*VLOOKUP('Données projet'!$B$10,Paramètres!$A$1:$I$89,5,0)</f>
        <v>160.45348800000008</v>
      </c>
      <c r="AK50" s="14">
        <f t="shared" si="35"/>
        <v>40.944784036070729</v>
      </c>
      <c r="AL50" s="22">
        <f t="shared" si="4"/>
        <v>350.7686571294899</v>
      </c>
      <c r="AM50" s="60">
        <f t="shared" si="5"/>
        <v>644.10199046282321</v>
      </c>
      <c r="AN50" s="60">
        <f ca="1">AVERAGE(OFFSET($AM$3,0,0,'Données projet'!$E$10+1,1))-AVERAGE(OFFSET($H$3,0,0,'Données projet'!$E$10+1,1))</f>
        <v>216.80783650073869</v>
      </c>
      <c r="AO50" s="60">
        <f t="shared" si="36"/>
        <v>247.59561829759309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218.12499999999991</v>
      </c>
      <c r="BE50" s="14">
        <f>BD50*VLOOKUP('Données projet'!$B$11,Paramètres!$A$1:$I$89,3,0)*VLOOKUP('Données projet'!$B$11,Paramètres!$A$1:$I$89,5,0)</f>
        <v>170.13749999999993</v>
      </c>
      <c r="BF50" s="14">
        <f t="shared" si="37"/>
        <v>43.120817562072375</v>
      </c>
      <c r="BG50" s="22">
        <f t="shared" si="7"/>
        <v>371.42490308727588</v>
      </c>
      <c r="BH50" s="60">
        <f t="shared" si="8"/>
        <v>664.75823642060914</v>
      </c>
      <c r="BI50" s="60">
        <f ca="1">AVERAGE(OFFSET($BH$3,0,0,'Données projet'!$E$11+1,1))-AVERAGE(OFFSET($H$3,0,0,'Données projet'!$E$11+1,1))</f>
        <v>222.34562513006574</v>
      </c>
      <c r="BJ50" s="60">
        <f t="shared" si="38"/>
        <v>213.19969928771548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0" t="e">
        <f t="shared" si="11"/>
        <v>#NUM!</v>
      </c>
      <c r="CD50" s="60">
        <f ca="1">AVERAGE(OFFSET($CC$3,0,0,'Données projet'!$E$12+1,1))-AVERAGE(OFFSET($H$3,0,0,'Données projet'!$E$12+1,1))</f>
        <v>274.84847548786672</v>
      </c>
      <c r="CE50" s="60">
        <f t="shared" si="40"/>
        <v>376.2625056050623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0" t="e">
        <f t="shared" si="14"/>
        <v>#N/A</v>
      </c>
      <c r="CY50" s="60" t="e">
        <f ca="1">AVERAGE(OFFSET($CX$3,0,0,'Données projet'!$E$13+1,1))-AVERAGE(OFFSET($H$3,0,0,'Données projet'!$E$13+1,1))</f>
        <v>#N/A</v>
      </c>
      <c r="CZ50" s="60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8">
        <f t="shared" si="1"/>
        <v>346.40387575715488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7.1199999999999992</v>
      </c>
      <c r="N51" s="14">
        <f>IF('Données projet'!$A$36&gt;35,N50+M51-V50,IF(A51&lt;'Données projet'!$A$36,$K$205^A51,IF(A51='Données projet'!$A$36,'Données projet'!$B$36,N50+M51-V50)))</f>
        <v>225.96000000000009</v>
      </c>
      <c r="O51" s="14">
        <f>N51*VLOOKUP('Données projet'!$B$9,Paramètres!$A$1:$I$89,3,0)*VLOOKUP('Données projet'!$B$9,Paramètres!$A$1:$I$89,5,0)</f>
        <v>179.77377600000008</v>
      </c>
      <c r="P51" s="14">
        <f t="shared" si="33"/>
        <v>45.271851811295718</v>
      </c>
      <c r="Q51" s="22">
        <f t="shared" si="53"/>
        <v>391.95446843800681</v>
      </c>
      <c r="R51" s="60">
        <f t="shared" si="0"/>
        <v>685.28780177134013</v>
      </c>
      <c r="S51" s="60">
        <f ca="1">AVERAGE(OFFSET($R$3,0,0,'Données projet'!$E$9+1,1))-AVERAGE(OFFSET($H$3,0,0,'Données projet'!$E$9+1,1))</f>
        <v>238.47463071449789</v>
      </c>
      <c r="T51" s="60">
        <f t="shared" si="34"/>
        <v>270.92950919803718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7.1199999999999992</v>
      </c>
      <c r="AI51" s="14">
        <f>IF('Données projet'!$A$62&gt;35,AI50+AH51-AQ50,IF(A51&lt;'Données projet'!$A$62,$AF$205^A51,IF(A51='Données projet'!$A$62,'Données projet'!$B$62,AI50+AH51-AQ50)))</f>
        <v>225.96000000000009</v>
      </c>
      <c r="AJ51" s="14">
        <f>AI51*VLOOKUP('Données projet'!$B$10,Paramètres!$A$1:$I$89,3,0)*VLOOKUP('Données projet'!$B$10,Paramètres!$A$1:$I$89,5,0)</f>
        <v>165.67387200000007</v>
      </c>
      <c r="AK51" s="14">
        <f t="shared" si="35"/>
        <v>42.119666034700927</v>
      </c>
      <c r="AL51" s="22">
        <f t="shared" si="4"/>
        <v>361.90707874377085</v>
      </c>
      <c r="AM51" s="60">
        <f t="shared" si="5"/>
        <v>655.24041207710411</v>
      </c>
      <c r="AN51" s="60">
        <f ca="1">AVERAGE(OFFSET($AM$3,0,0,'Données projet'!$E$10+1,1))-AVERAGE(OFFSET($H$3,0,0,'Données projet'!$E$10+1,1))</f>
        <v>216.80783650073869</v>
      </c>
      <c r="AO51" s="60">
        <f t="shared" si="36"/>
        <v>247.59561829759309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228.49999999999991</v>
      </c>
      <c r="BE51" s="14">
        <f>BD51*VLOOKUP('Données projet'!$B$11,Paramètres!$A$1:$I$89,3,0)*VLOOKUP('Données projet'!$B$11,Paramètres!$A$1:$I$89,5,0)</f>
        <v>178.22999999999993</v>
      </c>
      <c r="BF51" s="14">
        <f t="shared" si="37"/>
        <v>44.928167580487852</v>
      </c>
      <c r="BG51" s="22">
        <f t="shared" si="7"/>
        <v>388.66714186934951</v>
      </c>
      <c r="BH51" s="60">
        <f t="shared" si="8"/>
        <v>682.00047520268276</v>
      </c>
      <c r="BI51" s="60">
        <f ca="1">AVERAGE(OFFSET($BH$3,0,0,'Données projet'!$E$11+1,1))-AVERAGE(OFFSET($H$3,0,0,'Données projet'!$E$11+1,1))</f>
        <v>222.34562513006574</v>
      </c>
      <c r="BJ51" s="60">
        <f t="shared" si="38"/>
        <v>213.19969928771548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0" t="e">
        <f t="shared" si="11"/>
        <v>#NUM!</v>
      </c>
      <c r="CD51" s="60">
        <f ca="1">AVERAGE(OFFSET($CC$3,0,0,'Données projet'!$E$12+1,1))-AVERAGE(OFFSET($H$3,0,0,'Données projet'!$E$12+1,1))</f>
        <v>274.84847548786672</v>
      </c>
      <c r="CE51" s="60">
        <f t="shared" si="40"/>
        <v>376.2625056050623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0" t="e">
        <f t="shared" si="14"/>
        <v>#N/A</v>
      </c>
      <c r="CY51" s="60" t="e">
        <f ca="1">AVERAGE(OFFSET($CX$3,0,0,'Données projet'!$E$13+1,1))-AVERAGE(OFFSET($H$3,0,0,'Données projet'!$E$13+1,1))</f>
        <v>#N/A</v>
      </c>
      <c r="CZ51" s="60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8">
        <f t="shared" si="1"/>
        <v>347.47804431027294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7.1199999999999992</v>
      </c>
      <c r="N52" s="14">
        <f>IF('Données projet'!$A$36&gt;35,N51+M52-V51,IF(A52&lt;'Données projet'!$A$36,$K$205^A52,IF(A52='Données projet'!$A$36,'Données projet'!$B$36,N51+M52-V51)))</f>
        <v>233.0800000000001</v>
      </c>
      <c r="O52" s="14">
        <f>N52*VLOOKUP('Données projet'!$B$9,Paramètres!$A$1:$I$89,3,0)*VLOOKUP('Données projet'!$B$9,Paramètres!$A$1:$I$89,5,0)</f>
        <v>185.43844800000008</v>
      </c>
      <c r="P52" s="14">
        <f t="shared" si="33"/>
        <v>46.530036573537593</v>
      </c>
      <c r="Q52" s="22">
        <f t="shared" si="53"/>
        <v>404.01177729891145</v>
      </c>
      <c r="R52" s="60">
        <f t="shared" si="0"/>
        <v>697.34511063224477</v>
      </c>
      <c r="S52" s="60">
        <f ca="1">AVERAGE(OFFSET($R$3,0,0,'Données projet'!$E$9+1,1))-AVERAGE(OFFSET($H$3,0,0,'Données projet'!$E$9+1,1))</f>
        <v>238.47463071449789</v>
      </c>
      <c r="T52" s="60">
        <f t="shared" si="34"/>
        <v>270.92950919803718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7.1199999999999992</v>
      </c>
      <c r="AI52" s="14">
        <f>IF('Données projet'!$A$62&gt;35,AI51+AH52-AQ51,IF(A52&lt;'Données projet'!$A$62,$AF$205^A52,IF(A52='Données projet'!$A$62,'Données projet'!$B$62,AI51+AH52-AQ51)))</f>
        <v>233.0800000000001</v>
      </c>
      <c r="AJ52" s="14">
        <f>AI52*VLOOKUP('Données projet'!$B$10,Paramètres!$A$1:$I$89,3,0)*VLOOKUP('Données projet'!$B$10,Paramètres!$A$1:$I$89,5,0)</f>
        <v>170.89425600000007</v>
      </c>
      <c r="AK52" s="14">
        <f t="shared" si="35"/>
        <v>43.29024598394782</v>
      </c>
      <c r="AL52" s="22">
        <f t="shared" si="4"/>
        <v>373.03800762204258</v>
      </c>
      <c r="AM52" s="60">
        <f t="shared" si="5"/>
        <v>666.3713409553759</v>
      </c>
      <c r="AN52" s="60">
        <f ca="1">AVERAGE(OFFSET($AM$3,0,0,'Données projet'!$E$10+1,1))-AVERAGE(OFFSET($H$3,0,0,'Données projet'!$E$10+1,1))</f>
        <v>216.80783650073869</v>
      </c>
      <c r="AO52" s="60">
        <f t="shared" si="36"/>
        <v>247.59561829759309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238.87499999999991</v>
      </c>
      <c r="BE52" s="14">
        <f>BD52*VLOOKUP('Données projet'!$B$11,Paramètres!$A$1:$I$89,3,0)*VLOOKUP('Données projet'!$B$11,Paramètres!$A$1:$I$89,5,0)</f>
        <v>186.32249999999993</v>
      </c>
      <c r="BF52" s="14">
        <f t="shared" si="37"/>
        <v>46.725987276254116</v>
      </c>
      <c r="BG52" s="22">
        <f t="shared" si="7"/>
        <v>405.8927820061424</v>
      </c>
      <c r="BH52" s="60">
        <f t="shared" si="8"/>
        <v>699.22611533947565</v>
      </c>
      <c r="BI52" s="60">
        <f ca="1">AVERAGE(OFFSET($BH$3,0,0,'Données projet'!$E$11+1,1))-AVERAGE(OFFSET($H$3,0,0,'Données projet'!$E$11+1,1))</f>
        <v>222.34562513006574</v>
      </c>
      <c r="BJ52" s="60">
        <f t="shared" si="38"/>
        <v>213.19969928771548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0" t="e">
        <f t="shared" si="11"/>
        <v>#NUM!</v>
      </c>
      <c r="CD52" s="60">
        <f ca="1">AVERAGE(OFFSET($CC$3,0,0,'Données projet'!$E$12+1,1))-AVERAGE(OFFSET($H$3,0,0,'Données projet'!$E$12+1,1))</f>
        <v>274.84847548786672</v>
      </c>
      <c r="CE52" s="60">
        <f t="shared" si="40"/>
        <v>376.2625056050623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0" t="e">
        <f t="shared" si="14"/>
        <v>#N/A</v>
      </c>
      <c r="CY52" s="60" t="e">
        <f ca="1">AVERAGE(OFFSET($CX$3,0,0,'Données projet'!$E$13+1,1))-AVERAGE(OFFSET($H$3,0,0,'Données projet'!$E$13+1,1))</f>
        <v>#N/A</v>
      </c>
      <c r="CZ52" s="60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8">
        <f t="shared" si="1"/>
        <v>348.55165185430155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240.20000000000002</v>
      </c>
      <c r="L53" s="13">
        <f>VLOOKUP(A53,'Données projet'!$A$35:$I$55,9,0)</f>
        <v>7.1199999999999992</v>
      </c>
      <c r="M53" s="13">
        <f t="array" ref="M53">INDEX(L:L,MIN(IF(ISNUMBER(L53:L249),ROW(L53:L249),"")))</f>
        <v>7.1199999999999992</v>
      </c>
      <c r="N53" s="14">
        <f>IF('Données projet'!$A$36&gt;35,N52+M53-V52,IF(A53&lt;'Données projet'!$A$36,$K$205^A53,IF(A53='Données projet'!$A$36,'Données projet'!$B$36,N52+M53-V52)))</f>
        <v>240.2000000000001</v>
      </c>
      <c r="O53" s="14">
        <f>N53*VLOOKUP('Données projet'!$B$9,Paramètres!$A$1:$I$89,3,0)*VLOOKUP('Données projet'!$B$9,Paramètres!$A$1:$I$89,5,0)</f>
        <v>191.10312000000008</v>
      </c>
      <c r="P53" s="14">
        <f t="shared" si="33"/>
        <v>47.783754789189338</v>
      </c>
      <c r="Q53" s="22">
        <f t="shared" si="53"/>
        <v>416.06130692450489</v>
      </c>
      <c r="R53" s="60">
        <f t="shared" si="0"/>
        <v>709.3946402578382</v>
      </c>
      <c r="S53" s="60">
        <f ca="1">AVERAGE(OFFSET($R$3,0,0,'Données projet'!$E$9+1,1))-AVERAGE(OFFSET($H$3,0,0,'Données projet'!$E$9+1,1))</f>
        <v>238.47463071449789</v>
      </c>
      <c r="T53" s="60">
        <f t="shared" si="34"/>
        <v>270.92950919803718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38.299999999999997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240.20000000000002</v>
      </c>
      <c r="AG53" s="13">
        <f>VLOOKUP(A53,'Données projet'!$A$61:$I$81,9,0)</f>
        <v>7.1199999999999992</v>
      </c>
      <c r="AH53" s="13">
        <f t="array" ref="AH53">INDEX(AG:AG,MIN(IF(ISNUMBER(AG53:AG249),ROW(AG53:AG249),"")))</f>
        <v>7.1199999999999992</v>
      </c>
      <c r="AI53" s="14">
        <f>IF('Données projet'!$A$62&gt;35,AI52+AH53-AQ52,IF(A53&lt;'Données projet'!$A$62,$AF$205^A53,IF(A53='Données projet'!$A$62,'Données projet'!$B$62,AI52+AH53-AQ52)))</f>
        <v>240.2000000000001</v>
      </c>
      <c r="AJ53" s="14">
        <f>AI53*VLOOKUP('Données projet'!$B$10,Paramètres!$A$1:$I$89,3,0)*VLOOKUP('Données projet'!$B$10,Paramètres!$A$1:$I$89,5,0)</f>
        <v>176.11464000000009</v>
      </c>
      <c r="AK53" s="14">
        <f t="shared" si="35"/>
        <v>44.456670383042024</v>
      </c>
      <c r="AL53" s="22">
        <f t="shared" si="4"/>
        <v>384.16169891713162</v>
      </c>
      <c r="AM53" s="60">
        <f t="shared" si="5"/>
        <v>677.49503225046487</v>
      </c>
      <c r="AN53" s="60">
        <f ca="1">AVERAGE(OFFSET($AM$3,0,0,'Données projet'!$E$10+1,1))-AVERAGE(OFFSET($H$3,0,0,'Données projet'!$E$10+1,1))</f>
        <v>216.80783650073869</v>
      </c>
      <c r="AO53" s="60">
        <f t="shared" si="36"/>
        <v>247.59561829759309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38.299999999999997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249.24999999999991</v>
      </c>
      <c r="BE53" s="14">
        <f>BD53*VLOOKUP('Données projet'!$B$11,Paramètres!$A$1:$I$89,3,0)*VLOOKUP('Données projet'!$B$11,Paramètres!$A$1:$I$89,5,0)</f>
        <v>194.41499999999994</v>
      </c>
      <c r="BF53" s="14">
        <f t="shared" si="37"/>
        <v>48.514737888684927</v>
      </c>
      <c r="BG53" s="22">
        <f t="shared" si="7"/>
        <v>423.10262682279273</v>
      </c>
      <c r="BH53" s="60">
        <f t="shared" si="8"/>
        <v>716.43596015612604</v>
      </c>
      <c r="BI53" s="60">
        <f ca="1">AVERAGE(OFFSET($BH$3,0,0,'Données projet'!$E$11+1,1))-AVERAGE(OFFSET($H$3,0,0,'Données projet'!$E$11+1,1))</f>
        <v>222.34562513006574</v>
      </c>
      <c r="BJ53" s="60">
        <f t="shared" si="38"/>
        <v>213.19969928771548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0" t="e">
        <f t="shared" si="11"/>
        <v>#NUM!</v>
      </c>
      <c r="CD53" s="60">
        <f ca="1">AVERAGE(OFFSET($CC$3,0,0,'Données projet'!$E$12+1,1))-AVERAGE(OFFSET($H$3,0,0,'Données projet'!$E$12+1,1))</f>
        <v>274.84847548786672</v>
      </c>
      <c r="CE53" s="60">
        <f t="shared" si="40"/>
        <v>376.2625056050623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0" t="e">
        <f t="shared" si="14"/>
        <v>#N/A</v>
      </c>
      <c r="CY53" s="60" t="e">
        <f ca="1">AVERAGE(OFFSET($CX$3,0,0,'Données projet'!$E$13+1,1))-AVERAGE(OFFSET($H$3,0,0,'Données projet'!$E$13+1,1))</f>
        <v>#N/A</v>
      </c>
      <c r="CZ53" s="60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8">
        <f t="shared" si="1"/>
        <v>349.62471090256616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6.119999999999993</v>
      </c>
      <c r="N54" s="14">
        <f>IF('Données projet'!$A$36&gt;35,N53+M54-V53,IF(A54&lt;'Données projet'!$A$36,$K$205^A54,IF(A54='Données projet'!$A$36,'Données projet'!$B$36,N53+M54-V53)))</f>
        <v>208.0200000000001</v>
      </c>
      <c r="O54" s="14">
        <f>N54*VLOOKUP('Données projet'!$B$9,Paramètres!$A$1:$I$89,3,0)*VLOOKUP('Données projet'!$B$9,Paramètres!$A$1:$I$89,5,0)</f>
        <v>165.50071200000008</v>
      </c>
      <c r="P54" s="14">
        <f t="shared" si="33"/>
        <v>42.080765048766054</v>
      </c>
      <c r="Q54" s="22">
        <f t="shared" si="53"/>
        <v>361.53773919326767</v>
      </c>
      <c r="R54" s="60">
        <f t="shared" si="0"/>
        <v>654.87107252660098</v>
      </c>
      <c r="S54" s="60">
        <f ca="1">AVERAGE(OFFSET($R$3,0,0,'Données projet'!$E$9+1,1))-AVERAGE(OFFSET($H$3,0,0,'Données projet'!$E$9+1,1))</f>
        <v>238.47463071449789</v>
      </c>
      <c r="T54" s="60">
        <f t="shared" si="34"/>
        <v>270.92950919803718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6.119999999999993</v>
      </c>
      <c r="AI54" s="14">
        <f>IF('Données projet'!$A$62&gt;35,AI53+AH54-AQ53,IF(A54&lt;'Données projet'!$A$62,$AF$205^A54,IF(A54='Données projet'!$A$62,'Données projet'!$B$62,AI53+AH54-AQ53)))</f>
        <v>208.0200000000001</v>
      </c>
      <c r="AJ54" s="14">
        <f>AI54*VLOOKUP('Données projet'!$B$10,Paramètres!$A$1:$I$89,3,0)*VLOOKUP('Données projet'!$B$10,Paramètres!$A$1:$I$89,5,0)</f>
        <v>152.52026400000005</v>
      </c>
      <c r="AK54" s="14">
        <f t="shared" si="35"/>
        <v>39.150768069454294</v>
      </c>
      <c r="AL54" s="22">
        <f t="shared" si="4"/>
        <v>333.82704752096635</v>
      </c>
      <c r="AM54" s="60">
        <f t="shared" si="5"/>
        <v>627.16038085429966</v>
      </c>
      <c r="AN54" s="60">
        <f ca="1">AVERAGE(OFFSET($AM$3,0,0,'Données projet'!$E$10+1,1))-AVERAGE(OFFSET($H$3,0,0,'Données projet'!$E$10+1,1))</f>
        <v>216.80783650073869</v>
      </c>
      <c r="AO54" s="60">
        <f t="shared" si="36"/>
        <v>247.59561829759309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259.62499999999989</v>
      </c>
      <c r="BE54" s="14">
        <f>BD54*VLOOKUP('Données projet'!$B$11,Paramètres!$A$1:$I$89,3,0)*VLOOKUP('Données projet'!$B$11,Paramètres!$A$1:$I$89,5,0)</f>
        <v>202.50749999999991</v>
      </c>
      <c r="BF54" s="14">
        <f t="shared" si="37"/>
        <v>50.294840086606349</v>
      </c>
      <c r="BG54" s="22">
        <f t="shared" si="7"/>
        <v>440.29740898417253</v>
      </c>
      <c r="BH54" s="60">
        <f t="shared" si="8"/>
        <v>733.63074231750579</v>
      </c>
      <c r="BI54" s="60">
        <f ca="1">AVERAGE(OFFSET($BH$3,0,0,'Données projet'!$E$11+1,1))-AVERAGE(OFFSET($H$3,0,0,'Données projet'!$E$11+1,1))</f>
        <v>222.34562513006574</v>
      </c>
      <c r="BJ54" s="60">
        <f t="shared" si="38"/>
        <v>213.19969928771548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0" t="e">
        <f t="shared" si="11"/>
        <v>#NUM!</v>
      </c>
      <c r="CD54" s="60">
        <f ca="1">AVERAGE(OFFSET($CC$3,0,0,'Données projet'!$E$12+1,1))-AVERAGE(OFFSET($H$3,0,0,'Données projet'!$E$12+1,1))</f>
        <v>274.84847548786672</v>
      </c>
      <c r="CE54" s="60">
        <f t="shared" si="40"/>
        <v>376.2625056050623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0" t="e">
        <f t="shared" si="14"/>
        <v>#N/A</v>
      </c>
      <c r="CY54" s="60" t="e">
        <f ca="1">AVERAGE(OFFSET($CX$3,0,0,'Données projet'!$E$13+1,1))-AVERAGE(OFFSET($H$3,0,0,'Données projet'!$E$13+1,1))</f>
        <v>#N/A</v>
      </c>
      <c r="CZ54" s="60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8">
        <f t="shared" si="1"/>
        <v>350.69723344960619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6.119999999999993</v>
      </c>
      <c r="N55" s="14">
        <f>IF('Données projet'!$A$36&gt;35,N54+M55-V54,IF(A55&lt;'Données projet'!$A$36,$K$205^A55,IF(A55='Données projet'!$A$36,'Données projet'!$B$36,N54+M55-V54)))</f>
        <v>214.1400000000001</v>
      </c>
      <c r="O55" s="14">
        <f>N55*VLOOKUP('Données projet'!$B$9,Paramètres!$A$1:$I$89,3,0)*VLOOKUP('Données projet'!$B$9,Paramètres!$A$1:$I$89,5,0)</f>
        <v>170.3697840000001</v>
      </c>
      <c r="P55" s="14">
        <f t="shared" si="33"/>
        <v>43.172832424038276</v>
      </c>
      <c r="Q55" s="22">
        <f t="shared" si="53"/>
        <v>371.92005693853349</v>
      </c>
      <c r="R55" s="60">
        <f t="shared" si="0"/>
        <v>665.25339027186681</v>
      </c>
      <c r="S55" s="60">
        <f ca="1">AVERAGE(OFFSET($R$3,0,0,'Données projet'!$E$9+1,1))-AVERAGE(OFFSET($H$3,0,0,'Données projet'!$E$9+1,1))</f>
        <v>238.47463071449789</v>
      </c>
      <c r="T55" s="60">
        <f t="shared" si="34"/>
        <v>270.92950919803718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6.119999999999993</v>
      </c>
      <c r="AI55" s="14">
        <f>IF('Données projet'!$A$62&gt;35,AI54+AH55-AQ54,IF(A55&lt;'Données projet'!$A$62,$AF$205^A55,IF(A55='Données projet'!$A$62,'Données projet'!$B$62,AI54+AH55-AQ54)))</f>
        <v>214.1400000000001</v>
      </c>
      <c r="AJ55" s="14">
        <f>AI55*VLOOKUP('Données projet'!$B$10,Paramètres!$A$1:$I$89,3,0)*VLOOKUP('Données projet'!$B$10,Paramètres!$A$1:$I$89,5,0)</f>
        <v>157.00744800000007</v>
      </c>
      <c r="AK55" s="14">
        <f t="shared" si="35"/>
        <v>40.166797043165985</v>
      </c>
      <c r="AL55" s="22">
        <f t="shared" si="4"/>
        <v>343.41181011684756</v>
      </c>
      <c r="AM55" s="60">
        <f t="shared" si="5"/>
        <v>636.74514345018088</v>
      </c>
      <c r="AN55" s="60">
        <f ca="1">AVERAGE(OFFSET($AM$3,0,0,'Données projet'!$E$10+1,1))-AVERAGE(OFFSET($H$3,0,0,'Données projet'!$E$10+1,1))</f>
        <v>216.80783650073869</v>
      </c>
      <c r="AO55" s="60">
        <f t="shared" si="36"/>
        <v>247.59561829759309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269.99999999999989</v>
      </c>
      <c r="BE55" s="14">
        <f>BD55*VLOOKUP('Données projet'!$B$11,Paramètres!$A$1:$I$89,3,0)*VLOOKUP('Données projet'!$B$11,Paramètres!$A$1:$I$89,5,0)</f>
        <v>210.59999999999991</v>
      </c>
      <c r="BF55" s="14">
        <f t="shared" si="37"/>
        <v>52.066679014659961</v>
      </c>
      <c r="BG55" s="22">
        <f t="shared" si="7"/>
        <v>457.47779928386586</v>
      </c>
      <c r="BH55" s="60">
        <f t="shared" si="8"/>
        <v>750.81113261719918</v>
      </c>
      <c r="BI55" s="60">
        <f ca="1">AVERAGE(OFFSET($BH$3,0,0,'Données projet'!$E$11+1,1))-AVERAGE(OFFSET($H$3,0,0,'Données projet'!$E$11+1,1))</f>
        <v>222.34562513006574</v>
      </c>
      <c r="BJ55" s="60">
        <f t="shared" si="38"/>
        <v>213.19969928771548</v>
      </c>
      <c r="BK55" s="16">
        <f>IF(ISNA(VLOOKUP(A55,'Données projet'!$A$87:$I$107,3,0)),0,VLOOKUP(A55,'Données projet'!$A$87:$I$107,3,0))</f>
        <v>6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0" t="e">
        <f t="shared" si="11"/>
        <v>#NUM!</v>
      </c>
      <c r="CD55" s="60">
        <f ca="1">AVERAGE(OFFSET($CC$3,0,0,'Données projet'!$E$12+1,1))-AVERAGE(OFFSET($H$3,0,0,'Données projet'!$E$12+1,1))</f>
        <v>274.84847548786672</v>
      </c>
      <c r="CE55" s="60">
        <f t="shared" si="40"/>
        <v>376.2625056050623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0" t="e">
        <f t="shared" si="14"/>
        <v>#N/A</v>
      </c>
      <c r="CY55" s="60" t="e">
        <f ca="1">AVERAGE(OFFSET($CX$3,0,0,'Données projet'!$E$13+1,1))-AVERAGE(OFFSET($H$3,0,0,'Données projet'!$E$13+1,1))</f>
        <v>#N/A</v>
      </c>
      <c r="CZ55" s="60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8">
        <f t="shared" si="1"/>
        <v>351.76923100223922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6.119999999999993</v>
      </c>
      <c r="N56" s="14">
        <f>IF('Données projet'!$A$36&gt;35,N55+M56-V55,IF(A56&lt;'Données projet'!$A$36,$K$205^A56,IF(A56='Données projet'!$A$36,'Données projet'!$B$36,N55+M56-V55)))</f>
        <v>220.2600000000001</v>
      </c>
      <c r="O56" s="14">
        <f>N56*VLOOKUP('Données projet'!$B$9,Paramètres!$A$1:$I$89,3,0)*VLOOKUP('Données projet'!$B$9,Paramètres!$A$1:$I$89,5,0)</f>
        <v>175.23885600000008</v>
      </c>
      <c r="P56" s="14">
        <f t="shared" si="33"/>
        <v>44.261272391866463</v>
      </c>
      <c r="Q56" s="22">
        <f t="shared" si="53"/>
        <v>382.29605694916751</v>
      </c>
      <c r="R56" s="60">
        <f t="shared" si="0"/>
        <v>675.62939028250082</v>
      </c>
      <c r="S56" s="60">
        <f ca="1">AVERAGE(OFFSET($R$3,0,0,'Données projet'!$E$9+1,1))-AVERAGE(OFFSET($H$3,0,0,'Données projet'!$E$9+1,1))</f>
        <v>238.47463071449789</v>
      </c>
      <c r="T56" s="60">
        <f t="shared" si="34"/>
        <v>270.92950919803718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6.119999999999993</v>
      </c>
      <c r="AI56" s="14">
        <f>IF('Données projet'!$A$62&gt;35,AI55+AH56-AQ55,IF(A56&lt;'Données projet'!$A$62,$AF$205^A56,IF(A56='Données projet'!$A$62,'Données projet'!$B$62,AI55+AH56-AQ55)))</f>
        <v>220.2600000000001</v>
      </c>
      <c r="AJ56" s="14">
        <f>AI56*VLOOKUP('Données projet'!$B$10,Paramètres!$A$1:$I$89,3,0)*VLOOKUP('Données projet'!$B$10,Paramètres!$A$1:$I$89,5,0)</f>
        <v>161.49463200000008</v>
      </c>
      <c r="AK56" s="14">
        <f t="shared" si="35"/>
        <v>41.179451178341104</v>
      </c>
      <c r="AL56" s="22">
        <f t="shared" si="4"/>
        <v>352.99069486894427</v>
      </c>
      <c r="AM56" s="60">
        <f t="shared" si="5"/>
        <v>646.32402820227753</v>
      </c>
      <c r="AN56" s="60">
        <f ca="1">AVERAGE(OFFSET($AM$3,0,0,'Données projet'!$E$10+1,1))-AVERAGE(OFFSET($H$3,0,0,'Données projet'!$E$10+1,1))</f>
        <v>216.80783650073869</v>
      </c>
      <c r="AO56" s="60">
        <f t="shared" si="36"/>
        <v>247.59561829759309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231.37499999999989</v>
      </c>
      <c r="BE56" s="14">
        <f>BD56*VLOOKUP('Données projet'!$B$11,Paramètres!$A$1:$I$89,3,0)*VLOOKUP('Données projet'!$B$11,Paramètres!$A$1:$I$89,5,0)</f>
        <v>180.47249999999991</v>
      </c>
      <c r="BF56" s="14">
        <f t="shared" si="37"/>
        <v>45.427292666837829</v>
      </c>
      <c r="BG56" s="22">
        <f t="shared" si="7"/>
        <v>393.44213889474241</v>
      </c>
      <c r="BH56" s="60">
        <f t="shared" si="8"/>
        <v>686.77547222807573</v>
      </c>
      <c r="BI56" s="60">
        <f ca="1">AVERAGE(OFFSET($BH$3,0,0,'Données projet'!$E$11+1,1))-AVERAGE(OFFSET($H$3,0,0,'Données projet'!$E$11+1,1))</f>
        <v>222.34562513006574</v>
      </c>
      <c r="BJ56" s="60">
        <f t="shared" si="38"/>
        <v>213.19969928771548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0" t="e">
        <f t="shared" si="11"/>
        <v>#NUM!</v>
      </c>
      <c r="CD56" s="60">
        <f ca="1">AVERAGE(OFFSET($CC$3,0,0,'Données projet'!$E$12+1,1))-AVERAGE(OFFSET($H$3,0,0,'Données projet'!$E$12+1,1))</f>
        <v>274.84847548786672</v>
      </c>
      <c r="CE56" s="60">
        <f t="shared" si="40"/>
        <v>376.2625056050623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0" t="e">
        <f t="shared" si="14"/>
        <v>#N/A</v>
      </c>
      <c r="CY56" s="60" t="e">
        <f ca="1">AVERAGE(OFFSET($CX$3,0,0,'Données projet'!$E$13+1,1))-AVERAGE(OFFSET($H$3,0,0,'Données projet'!$E$13+1,1))</f>
        <v>#N/A</v>
      </c>
      <c r="CZ56" s="60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8">
        <f t="shared" si="1"/>
        <v>352.84071460821417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6.119999999999993</v>
      </c>
      <c r="N57" s="14">
        <f>IF('Données projet'!$A$36&gt;35,N56+M57-V56,IF(A57&lt;'Données projet'!$A$36,$K$205^A57,IF(A57='Données projet'!$A$36,'Données projet'!$B$36,N56+M57-V56)))</f>
        <v>226.38000000000011</v>
      </c>
      <c r="O57" s="14">
        <f>N57*VLOOKUP('Données projet'!$B$9,Paramètres!$A$1:$I$89,3,0)*VLOOKUP('Données projet'!$B$9,Paramètres!$A$1:$I$89,5,0)</f>
        <v>180.1079280000001</v>
      </c>
      <c r="P57" s="14">
        <f t="shared" si="33"/>
        <v>45.34619732035577</v>
      </c>
      <c r="Q57" s="22">
        <f t="shared" si="53"/>
        <v>392.66593493295318</v>
      </c>
      <c r="R57" s="60">
        <f t="shared" si="0"/>
        <v>685.99926826628644</v>
      </c>
      <c r="S57" s="60">
        <f ca="1">AVERAGE(OFFSET($R$3,0,0,'Données projet'!$E$9+1,1))-AVERAGE(OFFSET($H$3,0,0,'Données projet'!$E$9+1,1))</f>
        <v>238.47463071449789</v>
      </c>
      <c r="T57" s="60">
        <f t="shared" si="34"/>
        <v>270.92950919803718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6.119999999999993</v>
      </c>
      <c r="AI57" s="14">
        <f>IF('Données projet'!$A$62&gt;35,AI56+AH57-AQ56,IF(A57&lt;'Données projet'!$A$62,$AF$205^A57,IF(A57='Données projet'!$A$62,'Données projet'!$B$62,AI56+AH57-AQ56)))</f>
        <v>226.38000000000011</v>
      </c>
      <c r="AJ57" s="14">
        <f>AI57*VLOOKUP('Données projet'!$B$10,Paramètres!$A$1:$I$89,3,0)*VLOOKUP('Données projet'!$B$10,Paramètres!$A$1:$I$89,5,0)</f>
        <v>165.98181600000007</v>
      </c>
      <c r="AK57" s="14">
        <f t="shared" si="35"/>
        <v>42.188835019125143</v>
      </c>
      <c r="AL57" s="22">
        <f t="shared" si="4"/>
        <v>362.56388385830974</v>
      </c>
      <c r="AM57" s="60">
        <f t="shared" si="5"/>
        <v>655.89721719164299</v>
      </c>
      <c r="AN57" s="60">
        <f ca="1">AVERAGE(OFFSET($AM$3,0,0,'Données projet'!$E$10+1,1))-AVERAGE(OFFSET($H$3,0,0,'Données projet'!$E$10+1,1))</f>
        <v>216.80783650073869</v>
      </c>
      <c r="AO57" s="60">
        <f t="shared" si="36"/>
        <v>247.59561829759309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240.74999999999989</v>
      </c>
      <c r="BE57" s="14">
        <f>BD57*VLOOKUP('Données projet'!$B$11,Paramètres!$A$1:$I$89,3,0)*VLOOKUP('Données projet'!$B$11,Paramètres!$A$1:$I$89,5,0)</f>
        <v>187.78499999999991</v>
      </c>
      <c r="BF57" s="14">
        <f t="shared" si="37"/>
        <v>47.049914090154054</v>
      </c>
      <c r="BG57" s="22">
        <f t="shared" si="7"/>
        <v>409.0041420403515</v>
      </c>
      <c r="BH57" s="60">
        <f t="shared" si="8"/>
        <v>702.33747537368481</v>
      </c>
      <c r="BI57" s="60">
        <f ca="1">AVERAGE(OFFSET($BH$3,0,0,'Données projet'!$E$11+1,1))-AVERAGE(OFFSET($H$3,0,0,'Données projet'!$E$11+1,1))</f>
        <v>222.34562513006574</v>
      </c>
      <c r="BJ57" s="60">
        <f t="shared" si="38"/>
        <v>213.19969928771548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0" t="e">
        <f t="shared" si="11"/>
        <v>#NUM!</v>
      </c>
      <c r="CD57" s="60">
        <f ca="1">AVERAGE(OFFSET($CC$3,0,0,'Données projet'!$E$12+1,1))-AVERAGE(OFFSET($H$3,0,0,'Données projet'!$E$12+1,1))</f>
        <v>274.84847548786672</v>
      </c>
      <c r="CE57" s="60">
        <f t="shared" si="40"/>
        <v>376.2625056050623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0" t="e">
        <f t="shared" si="14"/>
        <v>#N/A</v>
      </c>
      <c r="CY57" s="60" t="e">
        <f ca="1">AVERAGE(OFFSET($CX$3,0,0,'Données projet'!$E$13+1,1))-AVERAGE(OFFSET($H$3,0,0,'Données projet'!$E$13+1,1))</f>
        <v>#N/A</v>
      </c>
      <c r="CZ57" s="60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8">
        <f t="shared" si="1"/>
        <v>353.91169488268253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232.5</v>
      </c>
      <c r="L58" s="13">
        <f>VLOOKUP(A58,'Données projet'!$A$35:$I$55,9,0)</f>
        <v>6.119999999999993</v>
      </c>
      <c r="M58" s="13">
        <f t="array" ref="M58">INDEX(L:L,MIN(IF(ISNUMBER(L58:L254),ROW(L58:L254),"")))</f>
        <v>6.119999999999993</v>
      </c>
      <c r="N58" s="14">
        <f>IF('Données projet'!$A$36&gt;35,N57+M58-V57,IF(A58&lt;'Données projet'!$A$36,$K$205^A58,IF(A58='Données projet'!$A$36,'Données projet'!$B$36,N57+M58-V57)))</f>
        <v>232.50000000000011</v>
      </c>
      <c r="O58" s="14">
        <f>N58*VLOOKUP('Données projet'!$B$9,Paramètres!$A$1:$I$89,3,0)*VLOOKUP('Données projet'!$B$9,Paramètres!$A$1:$I$89,5,0)</f>
        <v>184.97700000000009</v>
      </c>
      <c r="P58" s="14">
        <f t="shared" si="33"/>
        <v>46.427713156194159</v>
      </c>
      <c r="Q58" s="22">
        <f t="shared" si="53"/>
        <v>403.02987541370499</v>
      </c>
      <c r="R58" s="60">
        <f t="shared" si="0"/>
        <v>696.36320874703824</v>
      </c>
      <c r="S58" s="60">
        <f ca="1">AVERAGE(OFFSET($R$3,0,0,'Données projet'!$E$9+1,1))-AVERAGE(OFFSET($H$3,0,0,'Données projet'!$E$9+1,1))</f>
        <v>238.47463071449789</v>
      </c>
      <c r="T58" s="60">
        <f t="shared" si="34"/>
        <v>270.92950919803718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232.5</v>
      </c>
      <c r="AG58" s="13">
        <f>VLOOKUP(A58,'Données projet'!$A$61:$I$81,9,0)</f>
        <v>6.119999999999993</v>
      </c>
      <c r="AH58" s="13">
        <f t="array" ref="AH58">INDEX(AG:AG,MIN(IF(ISNUMBER(AG58:AG254),ROW(AG58:AG254),"")))</f>
        <v>6.119999999999993</v>
      </c>
      <c r="AI58" s="14">
        <f>IF('Données projet'!$A$62&gt;35,AI57+AH58-AQ57,IF(A58&lt;'Données projet'!$A$62,$AF$205^A58,IF(A58='Données projet'!$A$62,'Données projet'!$B$62,AI57+AH58-AQ57)))</f>
        <v>232.50000000000011</v>
      </c>
      <c r="AJ58" s="14">
        <f>AI58*VLOOKUP('Données projet'!$B$10,Paramètres!$A$1:$I$89,3,0)*VLOOKUP('Données projet'!$B$10,Paramètres!$A$1:$I$89,5,0)</f>
        <v>170.46900000000008</v>
      </c>
      <c r="AK58" s="14">
        <f t="shared" si="35"/>
        <v>43.195047135356397</v>
      </c>
      <c r="AL58" s="22">
        <f t="shared" si="4"/>
        <v>372.13154876074583</v>
      </c>
      <c r="AM58" s="60">
        <f t="shared" si="5"/>
        <v>665.46488209407914</v>
      </c>
      <c r="AN58" s="60">
        <f ca="1">AVERAGE(OFFSET($AM$3,0,0,'Données projet'!$E$10+1,1))-AVERAGE(OFFSET($H$3,0,0,'Données projet'!$E$10+1,1))</f>
        <v>216.80783650073869</v>
      </c>
      <c r="AO58" s="60">
        <f t="shared" si="36"/>
        <v>247.59561829759309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250.12499999999989</v>
      </c>
      <c r="BE58" s="14">
        <f>BD58*VLOOKUP('Données projet'!$B$11,Paramètres!$A$1:$I$89,3,0)*VLOOKUP('Données projet'!$B$11,Paramètres!$A$1:$I$89,5,0)</f>
        <v>195.09749999999991</v>
      </c>
      <c r="BF58" s="14">
        <f t="shared" si="37"/>
        <v>48.66519532492579</v>
      </c>
      <c r="BG58" s="22">
        <f t="shared" si="7"/>
        <v>424.55336102424553</v>
      </c>
      <c r="BH58" s="60">
        <f t="shared" si="8"/>
        <v>717.88669435757879</v>
      </c>
      <c r="BI58" s="60">
        <f ca="1">AVERAGE(OFFSET($BH$3,0,0,'Données projet'!$E$11+1,1))-AVERAGE(OFFSET($H$3,0,0,'Données projet'!$E$11+1,1))</f>
        <v>222.34562513006574</v>
      </c>
      <c r="BJ58" s="60">
        <f t="shared" si="38"/>
        <v>213.19969928771548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0" t="e">
        <f t="shared" si="11"/>
        <v>#NUM!</v>
      </c>
      <c r="CD58" s="60">
        <f ca="1">AVERAGE(OFFSET($CC$3,0,0,'Données projet'!$E$12+1,1))-AVERAGE(OFFSET($H$3,0,0,'Données projet'!$E$12+1,1))</f>
        <v>274.84847548786672</v>
      </c>
      <c r="CE58" s="60">
        <f t="shared" si="40"/>
        <v>376.2625056050623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0" t="e">
        <f t="shared" si="14"/>
        <v>#N/A</v>
      </c>
      <c r="CY58" s="60" t="e">
        <f ca="1">AVERAGE(OFFSET($CX$3,0,0,'Données projet'!$E$13+1,1))-AVERAGE(OFFSET($H$3,0,0,'Données projet'!$E$13+1,1))</f>
        <v>#N/A</v>
      </c>
      <c r="CZ58" s="60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8">
        <f t="shared" si="1"/>
        <v>354.98218203268914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5.1600000000000019</v>
      </c>
      <c r="N59" s="14">
        <f>IF('Données projet'!$A$36&gt;35,N58+M59-V58,IF(A59&lt;'Données projet'!$A$36,$K$205^A59,IF(A59='Données projet'!$A$36,'Données projet'!$B$36,N58+M59-V58)))</f>
        <v>237.66000000000011</v>
      </c>
      <c r="O59" s="14">
        <f>N59*VLOOKUP('Données projet'!$B$9,Paramètres!$A$1:$I$89,3,0)*VLOOKUP('Données projet'!$B$9,Paramètres!$A$1:$I$89,5,0)</f>
        <v>189.0822960000001</v>
      </c>
      <c r="P59" s="14">
        <f t="shared" si="33"/>
        <v>47.337004389591748</v>
      </c>
      <c r="Q59" s="22">
        <f t="shared" si="53"/>
        <v>411.76361484520572</v>
      </c>
      <c r="R59" s="60">
        <f t="shared" si="0"/>
        <v>705.09694817853904</v>
      </c>
      <c r="S59" s="60">
        <f ca="1">AVERAGE(OFFSET($R$3,0,0,'Données projet'!$E$9+1,1))-AVERAGE(OFFSET($H$3,0,0,'Données projet'!$E$9+1,1))</f>
        <v>238.47463071449789</v>
      </c>
      <c r="T59" s="60">
        <f t="shared" si="34"/>
        <v>270.92950919803718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5.1600000000000019</v>
      </c>
      <c r="AI59" s="14">
        <f>IF('Données projet'!$A$62&gt;35,AI58+AH59-AQ58,IF(A59&lt;'Données projet'!$A$62,$AF$205^A59,IF(A59='Données projet'!$A$62,'Données projet'!$B$62,AI58+AH59-AQ58)))</f>
        <v>237.66000000000011</v>
      </c>
      <c r="AJ59" s="14">
        <f>AI59*VLOOKUP('Données projet'!$B$10,Paramètres!$A$1:$I$89,3,0)*VLOOKUP('Données projet'!$B$10,Paramètres!$A$1:$I$89,5,0)</f>
        <v>174.25231200000007</v>
      </c>
      <c r="AK59" s="14">
        <f t="shared" si="35"/>
        <v>44.04102629341314</v>
      </c>
      <c r="AL59" s="22">
        <f t="shared" si="4"/>
        <v>380.19423086102802</v>
      </c>
      <c r="AM59" s="60">
        <f t="shared" si="5"/>
        <v>673.52756419436128</v>
      </c>
      <c r="AN59" s="60">
        <f ca="1">AVERAGE(OFFSET($AM$3,0,0,'Données projet'!$E$10+1,1))-AVERAGE(OFFSET($H$3,0,0,'Données projet'!$E$10+1,1))</f>
        <v>216.80783650073869</v>
      </c>
      <c r="AO59" s="60">
        <f t="shared" si="36"/>
        <v>247.59561829759309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259.49999999999989</v>
      </c>
      <c r="BE59" s="14">
        <f>BD59*VLOOKUP('Données projet'!$B$11,Paramètres!$A$1:$I$89,3,0)*VLOOKUP('Données projet'!$B$11,Paramètres!$A$1:$I$89,5,0)</f>
        <v>202.40999999999991</v>
      </c>
      <c r="BF59" s="14">
        <f t="shared" si="37"/>
        <v>50.273442991661817</v>
      </c>
      <c r="BG59" s="22">
        <f t="shared" si="7"/>
        <v>440.09032987714414</v>
      </c>
      <c r="BH59" s="60">
        <f t="shared" si="8"/>
        <v>733.42366321047746</v>
      </c>
      <c r="BI59" s="60">
        <f ca="1">AVERAGE(OFFSET($BH$3,0,0,'Données projet'!$E$11+1,1))-AVERAGE(OFFSET($H$3,0,0,'Données projet'!$E$11+1,1))</f>
        <v>222.34562513006574</v>
      </c>
      <c r="BJ59" s="60">
        <f t="shared" si="38"/>
        <v>213.19969928771548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0" t="e">
        <f t="shared" si="11"/>
        <v>#NUM!</v>
      </c>
      <c r="CD59" s="60">
        <f ca="1">AVERAGE(OFFSET($CC$3,0,0,'Données projet'!$E$12+1,1))-AVERAGE(OFFSET($H$3,0,0,'Données projet'!$E$12+1,1))</f>
        <v>274.84847548786672</v>
      </c>
      <c r="CE59" s="60">
        <f t="shared" si="40"/>
        <v>376.2625056050623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0" t="e">
        <f t="shared" si="14"/>
        <v>#N/A</v>
      </c>
      <c r="CY59" s="60" t="e">
        <f ca="1">AVERAGE(OFFSET($CX$3,0,0,'Données projet'!$E$13+1,1))-AVERAGE(OFFSET($H$3,0,0,'Données projet'!$E$13+1,1))</f>
        <v>#N/A</v>
      </c>
      <c r="CZ59" s="60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8">
        <f t="shared" si="1"/>
        <v>356.05218587986496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5.1600000000000019</v>
      </c>
      <c r="N60" s="14">
        <f>IF('Données projet'!$A$36&gt;35,N59+M60-V59,IF(A60&lt;'Données projet'!$A$36,$K$205^A60,IF(A60='Données projet'!$A$36,'Données projet'!$B$36,N59+M60-V59)))</f>
        <v>242.82000000000011</v>
      </c>
      <c r="O60" s="14">
        <f>N60*VLOOKUP('Données projet'!$B$9,Paramètres!$A$1:$I$89,3,0)*VLOOKUP('Données projet'!$B$9,Paramètres!$A$1:$I$89,5,0)</f>
        <v>193.18759200000011</v>
      </c>
      <c r="P60" s="14">
        <f t="shared" si="33"/>
        <v>48.244000336014693</v>
      </c>
      <c r="Q60" s="22">
        <f t="shared" si="53"/>
        <v>420.49335665189238</v>
      </c>
      <c r="R60" s="60">
        <f t="shared" si="0"/>
        <v>713.8266899852257</v>
      </c>
      <c r="S60" s="60">
        <f ca="1">AVERAGE(OFFSET($R$3,0,0,'Données projet'!$E$9+1,1))-AVERAGE(OFFSET($H$3,0,0,'Données projet'!$E$9+1,1))</f>
        <v>238.47463071449789</v>
      </c>
      <c r="T60" s="60">
        <f t="shared" si="34"/>
        <v>270.92950919803718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5.1600000000000019</v>
      </c>
      <c r="AI60" s="14">
        <f>IF('Données projet'!$A$62&gt;35,AI59+AH60-AQ59,IF(A60&lt;'Données projet'!$A$62,$AF$205^A60,IF(A60='Données projet'!$A$62,'Données projet'!$B$62,AI59+AH60-AQ59)))</f>
        <v>242.82000000000011</v>
      </c>
      <c r="AJ60" s="14">
        <f>AI60*VLOOKUP('Données projet'!$B$10,Paramètres!$A$1:$I$89,3,0)*VLOOKUP('Données projet'!$B$10,Paramètres!$A$1:$I$89,5,0)</f>
        <v>178.03562400000007</v>
      </c>
      <c r="AK60" s="14">
        <f t="shared" si="35"/>
        <v>44.884869980598666</v>
      </c>
      <c r="AL60" s="22">
        <f t="shared" si="4"/>
        <v>388.25319368287614</v>
      </c>
      <c r="AM60" s="60">
        <f t="shared" si="5"/>
        <v>681.5865270162094</v>
      </c>
      <c r="AN60" s="60">
        <f ca="1">AVERAGE(OFFSET($AM$3,0,0,'Données projet'!$E$10+1,1))-AVERAGE(OFFSET($H$3,0,0,'Données projet'!$E$10+1,1))</f>
        <v>216.80783650073869</v>
      </c>
      <c r="AO60" s="60">
        <f t="shared" si="36"/>
        <v>247.59561829759309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268.87499999999989</v>
      </c>
      <c r="BE60" s="14">
        <f>BD60*VLOOKUP('Données projet'!$B$11,Paramètres!$A$1:$I$89,3,0)*VLOOKUP('Données projet'!$B$11,Paramètres!$A$1:$I$89,5,0)</f>
        <v>209.72249999999991</v>
      </c>
      <c r="BF60" s="14">
        <f t="shared" si="37"/>
        <v>51.874940300502246</v>
      </c>
      <c r="BG60" s="22">
        <f t="shared" si="7"/>
        <v>455.61554185670792</v>
      </c>
      <c r="BH60" s="60">
        <f t="shared" si="8"/>
        <v>748.94887519004124</v>
      </c>
      <c r="BI60" s="60">
        <f ca="1">AVERAGE(OFFSET($BH$3,0,0,'Données projet'!$E$11+1,1))-AVERAGE(OFFSET($H$3,0,0,'Données projet'!$E$11+1,1))</f>
        <v>222.34562513006574</v>
      </c>
      <c r="BJ60" s="60">
        <f t="shared" si="38"/>
        <v>213.19969928771548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0" t="e">
        <f t="shared" si="11"/>
        <v>#NUM!</v>
      </c>
      <c r="CD60" s="60">
        <f ca="1">AVERAGE(OFFSET($CC$3,0,0,'Données projet'!$E$12+1,1))-AVERAGE(OFFSET($H$3,0,0,'Données projet'!$E$12+1,1))</f>
        <v>274.84847548786672</v>
      </c>
      <c r="CE60" s="60">
        <f t="shared" si="40"/>
        <v>376.2625056050623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0" t="e">
        <f t="shared" si="14"/>
        <v>#N/A</v>
      </c>
      <c r="CY60" s="60" t="e">
        <f ca="1">AVERAGE(OFFSET($CX$3,0,0,'Données projet'!$E$13+1,1))-AVERAGE(OFFSET($H$3,0,0,'Données projet'!$E$13+1,1))</f>
        <v>#N/A</v>
      </c>
      <c r="CZ60" s="60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8">
        <f t="shared" si="1"/>
        <v>357.12171588148163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5.1600000000000019</v>
      </c>
      <c r="N61" s="14">
        <f>IF('Données projet'!$A$36&gt;35,N60+M61-V60,IF(A61&lt;'Données projet'!$A$36,$K$205^A61,IF(A61='Données projet'!$A$36,'Données projet'!$B$36,N60+M61-V60)))</f>
        <v>247.9800000000001</v>
      </c>
      <c r="O61" s="14">
        <f>N61*VLOOKUP('Données projet'!$B$9,Paramètres!$A$1:$I$89,3,0)*VLOOKUP('Données projet'!$B$9,Paramètres!$A$1:$I$89,5,0)</f>
        <v>197.29288800000009</v>
      </c>
      <c r="P61" s="14">
        <f t="shared" si="33"/>
        <v>49.148755389471887</v>
      </c>
      <c r="Q61" s="22">
        <f t="shared" si="53"/>
        <v>429.219195569997</v>
      </c>
      <c r="R61" s="60">
        <f t="shared" si="0"/>
        <v>722.55252890333031</v>
      </c>
      <c r="S61" s="60">
        <f ca="1">AVERAGE(OFFSET($R$3,0,0,'Données projet'!$E$9+1,1))-AVERAGE(OFFSET($H$3,0,0,'Données projet'!$E$9+1,1))</f>
        <v>238.47463071449789</v>
      </c>
      <c r="T61" s="60">
        <f t="shared" si="34"/>
        <v>270.92950919803718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5.1600000000000019</v>
      </c>
      <c r="AI61" s="14">
        <f>IF('Données projet'!$A$62&gt;35,AI60+AH61-AQ60,IF(A61&lt;'Données projet'!$A$62,$AF$205^A61,IF(A61='Données projet'!$A$62,'Données projet'!$B$62,AI60+AH61-AQ60)))</f>
        <v>247.9800000000001</v>
      </c>
      <c r="AJ61" s="14">
        <f>AI61*VLOOKUP('Données projet'!$B$10,Paramètres!$A$1:$I$89,3,0)*VLOOKUP('Données projet'!$B$10,Paramètres!$A$1:$I$89,5,0)</f>
        <v>181.81893600000006</v>
      </c>
      <c r="AK61" s="14">
        <f t="shared" si="35"/>
        <v>45.726628803579182</v>
      </c>
      <c r="AL61" s="22">
        <f t="shared" si="4"/>
        <v>396.30852536623382</v>
      </c>
      <c r="AM61" s="60">
        <f t="shared" si="5"/>
        <v>689.64185869956714</v>
      </c>
      <c r="AN61" s="60">
        <f ca="1">AVERAGE(OFFSET($AM$3,0,0,'Données projet'!$E$10+1,1))-AVERAGE(OFFSET($H$3,0,0,'Données projet'!$E$10+1,1))</f>
        <v>216.80783650073869</v>
      </c>
      <c r="AO61" s="60">
        <f t="shared" si="36"/>
        <v>247.59561829759309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278.24999999999989</v>
      </c>
      <c r="BE61" s="14">
        <f>BD61*VLOOKUP('Données projet'!$B$11,Paramètres!$A$1:$I$89,3,0)*VLOOKUP('Données projet'!$B$11,Paramètres!$A$1:$I$89,5,0)</f>
        <v>217.03499999999991</v>
      </c>
      <c r="BF61" s="14">
        <f t="shared" si="37"/>
        <v>53.469949591969474</v>
      </c>
      <c r="BG61" s="22">
        <f t="shared" si="7"/>
        <v>471.12945387267996</v>
      </c>
      <c r="BH61" s="60">
        <f t="shared" si="8"/>
        <v>764.46278720601322</v>
      </c>
      <c r="BI61" s="60">
        <f ca="1">AVERAGE(OFFSET($BH$3,0,0,'Données projet'!$E$11+1,1))-AVERAGE(OFFSET($H$3,0,0,'Données projet'!$E$11+1,1))</f>
        <v>222.34562513006574</v>
      </c>
      <c r="BJ61" s="60">
        <f t="shared" si="38"/>
        <v>213.19969928771548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0" t="e">
        <f t="shared" si="11"/>
        <v>#NUM!</v>
      </c>
      <c r="CD61" s="60">
        <f ca="1">AVERAGE(OFFSET($CC$3,0,0,'Données projet'!$E$12+1,1))-AVERAGE(OFFSET($H$3,0,0,'Données projet'!$E$12+1,1))</f>
        <v>274.84847548786672</v>
      </c>
      <c r="CE61" s="60">
        <f t="shared" si="40"/>
        <v>376.2625056050623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0" t="e">
        <f t="shared" si="14"/>
        <v>#N/A</v>
      </c>
      <c r="CY61" s="60" t="e">
        <f ca="1">AVERAGE(OFFSET($CX$3,0,0,'Données projet'!$E$13+1,1))-AVERAGE(OFFSET($H$3,0,0,'Données projet'!$E$13+1,1))</f>
        <v>#N/A</v>
      </c>
      <c r="CZ61" s="60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8">
        <f t="shared" si="1"/>
        <v>358.19078115001309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5.1600000000000019</v>
      </c>
      <c r="N62" s="14">
        <f>IF('Données projet'!$A$36&gt;35,N61+M62-V61,IF(A62&lt;'Données projet'!$A$36,$K$205^A62,IF(A62='Données projet'!$A$36,'Données projet'!$B$36,N61+M62-V61)))</f>
        <v>253.1400000000001</v>
      </c>
      <c r="O62" s="14">
        <f>N62*VLOOKUP('Données projet'!$B$9,Paramètres!$A$1:$I$89,3,0)*VLOOKUP('Données projet'!$B$9,Paramètres!$A$1:$I$89,5,0)</f>
        <v>201.39818400000007</v>
      </c>
      <c r="P62" s="14">
        <f t="shared" si="33"/>
        <v>50.051321550931391</v>
      </c>
      <c r="Q62" s="22">
        <f t="shared" si="53"/>
        <v>437.94122216787235</v>
      </c>
      <c r="R62" s="60">
        <f t="shared" si="0"/>
        <v>731.27455550120567</v>
      </c>
      <c r="S62" s="60">
        <f ca="1">AVERAGE(OFFSET($R$3,0,0,'Données projet'!$E$9+1,1))-AVERAGE(OFFSET($H$3,0,0,'Données projet'!$E$9+1,1))</f>
        <v>238.47463071449789</v>
      </c>
      <c r="T62" s="60">
        <f t="shared" si="34"/>
        <v>270.92950919803718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5.1600000000000019</v>
      </c>
      <c r="AI62" s="14">
        <f>IF('Données projet'!$A$62&gt;35,AI61+AH62-AQ61,IF(A62&lt;'Données projet'!$A$62,$AF$205^A62,IF(A62='Données projet'!$A$62,'Données projet'!$B$62,AI61+AH62-AQ61)))</f>
        <v>253.1400000000001</v>
      </c>
      <c r="AJ62" s="14">
        <f>AI62*VLOOKUP('Données projet'!$B$10,Paramètres!$A$1:$I$89,3,0)*VLOOKUP('Données projet'!$B$10,Paramètres!$A$1:$I$89,5,0)</f>
        <v>185.60224800000006</v>
      </c>
      <c r="AK62" s="14">
        <f t="shared" si="35"/>
        <v>46.5663511426025</v>
      </c>
      <c r="AL62" s="22">
        <f t="shared" si="4"/>
        <v>404.36031017336609</v>
      </c>
      <c r="AM62" s="60">
        <f t="shared" si="5"/>
        <v>697.69364350669935</v>
      </c>
      <c r="AN62" s="60">
        <f ca="1">AVERAGE(OFFSET($AM$3,0,0,'Données projet'!$E$10+1,1))-AVERAGE(OFFSET($H$3,0,0,'Données projet'!$E$10+1,1))</f>
        <v>216.80783650073869</v>
      </c>
      <c r="AO62" s="60">
        <f t="shared" si="36"/>
        <v>247.59561829759309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287.62499999999989</v>
      </c>
      <c r="BE62" s="14">
        <f>BD62*VLOOKUP('Données projet'!$B$11,Paramètres!$A$1:$I$89,3,0)*VLOOKUP('Données projet'!$B$11,Paramètres!$A$1:$I$89,5,0)</f>
        <v>224.34749999999991</v>
      </c>
      <c r="BF62" s="14">
        <f t="shared" si="37"/>
        <v>55.058714525680429</v>
      </c>
      <c r="BG62" s="22">
        <f t="shared" si="7"/>
        <v>486.63249029889329</v>
      </c>
      <c r="BH62" s="60">
        <f t="shared" si="8"/>
        <v>779.9658236322266</v>
      </c>
      <c r="BI62" s="60">
        <f ca="1">AVERAGE(OFFSET($BH$3,0,0,'Données projet'!$E$11+1,1))-AVERAGE(OFFSET($H$3,0,0,'Données projet'!$E$11+1,1))</f>
        <v>222.34562513006574</v>
      </c>
      <c r="BJ62" s="60">
        <f t="shared" si="38"/>
        <v>213.19969928771548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0" t="e">
        <f t="shared" si="11"/>
        <v>#NUM!</v>
      </c>
      <c r="CD62" s="60">
        <f ca="1">AVERAGE(OFFSET($CC$3,0,0,'Données projet'!$E$12+1,1))-AVERAGE(OFFSET($H$3,0,0,'Données projet'!$E$12+1,1))</f>
        <v>274.84847548786672</v>
      </c>
      <c r="CE62" s="60">
        <f t="shared" si="40"/>
        <v>376.2625056050623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0" t="e">
        <f t="shared" si="14"/>
        <v>#N/A</v>
      </c>
      <c r="CY62" s="60" t="e">
        <f ca="1">AVERAGE(OFFSET($CX$3,0,0,'Données projet'!$E$13+1,1))-AVERAGE(OFFSET($H$3,0,0,'Données projet'!$E$13+1,1))</f>
        <v>#N/A</v>
      </c>
      <c r="CZ62" s="60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8">
        <f t="shared" si="1"/>
        <v>359.25939047133363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258.3</v>
      </c>
      <c r="L63" s="13">
        <f>VLOOKUP(A63,'Données projet'!$A$35:$I$55,9,0)</f>
        <v>5.1600000000000019</v>
      </c>
      <c r="M63" s="13">
        <f t="array" ref="M63">INDEX(L:L,MIN(IF(ISNUMBER(L63:L259),ROW(L63:L259),"")))</f>
        <v>5.1600000000000019</v>
      </c>
      <c r="N63" s="14">
        <f>IF('Données projet'!$A$36&gt;35,N62+M63-V62,IF(A63&lt;'Données projet'!$A$36,$K$205^A63,IF(A63='Données projet'!$A$36,'Données projet'!$B$36,N62+M63-V62)))</f>
        <v>258.30000000000013</v>
      </c>
      <c r="O63" s="14">
        <f>N63*VLOOKUP('Données projet'!$B$9,Paramètres!$A$1:$I$89,3,0)*VLOOKUP('Données projet'!$B$9,Paramètres!$A$1:$I$89,5,0)</f>
        <v>205.50348000000011</v>
      </c>
      <c r="P63" s="14">
        <f t="shared" si="33"/>
        <v>50.951748580199457</v>
      </c>
      <c r="Q63" s="22">
        <f t="shared" si="53"/>
        <v>446.65952311051416</v>
      </c>
      <c r="R63" s="60">
        <f t="shared" si="0"/>
        <v>739.99285644384747</v>
      </c>
      <c r="S63" s="60">
        <f ca="1">AVERAGE(OFFSET($R$3,0,0,'Données projet'!$E$9+1,1))-AVERAGE(OFFSET($H$3,0,0,'Données projet'!$E$9+1,1))</f>
        <v>238.47463071449789</v>
      </c>
      <c r="T63" s="60">
        <f t="shared" si="34"/>
        <v>270.92950919803718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25.200000000000003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258.3</v>
      </c>
      <c r="AG63" s="13">
        <f>VLOOKUP(A63,'Données projet'!$A$61:$I$81,9,0)</f>
        <v>5.1600000000000019</v>
      </c>
      <c r="AH63" s="13">
        <f t="array" ref="AH63">INDEX(AG:AG,MIN(IF(ISNUMBER(AG63:AG259),ROW(AG63:AG259),"")))</f>
        <v>5.1600000000000019</v>
      </c>
      <c r="AI63" s="14">
        <f>IF('Données projet'!$A$62&gt;35,AI62+AH63-AQ62,IF(A63&lt;'Données projet'!$A$62,$AF$205^A63,IF(A63='Données projet'!$A$62,'Données projet'!$B$62,AI62+AH63-AQ62)))</f>
        <v>258.30000000000013</v>
      </c>
      <c r="AJ63" s="14">
        <f>AI63*VLOOKUP('Données projet'!$B$10,Paramètres!$A$1:$I$89,3,0)*VLOOKUP('Données projet'!$B$10,Paramètres!$A$1:$I$89,5,0)</f>
        <v>189.38556000000008</v>
      </c>
      <c r="AK63" s="14">
        <f t="shared" si="35"/>
        <v>47.404083292801978</v>
      </c>
      <c r="AL63" s="22">
        <f t="shared" si="4"/>
        <v>412.40862873496354</v>
      </c>
      <c r="AM63" s="60">
        <f t="shared" si="5"/>
        <v>705.74196206829686</v>
      </c>
      <c r="AN63" s="60">
        <f ca="1">AVERAGE(OFFSET($AM$3,0,0,'Données projet'!$E$10+1,1))-AVERAGE(OFFSET($H$3,0,0,'Données projet'!$E$10+1,1))</f>
        <v>216.80783650073869</v>
      </c>
      <c r="AO63" s="60">
        <f t="shared" si="36"/>
        <v>247.59561829759309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25.200000000000003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296.99999999999989</v>
      </c>
      <c r="BE63" s="14">
        <f>BD63*VLOOKUP('Données projet'!$B$11,Paramètres!$A$1:$I$89,3,0)*VLOOKUP('Données projet'!$B$11,Paramètres!$A$1:$I$89,5,0)</f>
        <v>231.65999999999991</v>
      </c>
      <c r="BF63" s="14">
        <f t="shared" si="37"/>
        <v>56.641461975682766</v>
      </c>
      <c r="BG63" s="22">
        <f t="shared" si="7"/>
        <v>502.125046274314</v>
      </c>
      <c r="BH63" s="60">
        <f t="shared" si="8"/>
        <v>795.45837960764732</v>
      </c>
      <c r="BI63" s="60">
        <f ca="1">AVERAGE(OFFSET($BH$3,0,0,'Données projet'!$E$11+1,1))-AVERAGE(OFFSET($H$3,0,0,'Données projet'!$E$11+1,1))</f>
        <v>222.34562513006574</v>
      </c>
      <c r="BJ63" s="60">
        <f t="shared" si="38"/>
        <v>213.19969928771548</v>
      </c>
      <c r="BK63" s="16">
        <f>IF(ISNA(VLOOKUP(A63,'Données projet'!$A$87:$I$107,3,0)),0,VLOOKUP(A63,'Données projet'!$A$87:$I$107,3,0))</f>
        <v>7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0" t="e">
        <f t="shared" si="11"/>
        <v>#NUM!</v>
      </c>
      <c r="CD63" s="60">
        <f ca="1">AVERAGE(OFFSET($CC$3,0,0,'Données projet'!$E$12+1,1))-AVERAGE(OFFSET($H$3,0,0,'Données projet'!$E$12+1,1))</f>
        <v>274.84847548786672</v>
      </c>
      <c r="CE63" s="60">
        <f t="shared" si="40"/>
        <v>376.2625056050623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0" t="e">
        <f t="shared" si="14"/>
        <v>#N/A</v>
      </c>
      <c r="CY63" s="60" t="e">
        <f ca="1">AVERAGE(OFFSET($CX$3,0,0,'Données projet'!$E$13+1,1))-AVERAGE(OFFSET($H$3,0,0,'Données projet'!$E$13+1,1))</f>
        <v>#N/A</v>
      </c>
      <c r="CZ63" s="60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8">
        <f t="shared" si="1"/>
        <v>360.32755232166795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4.3399999999999981</v>
      </c>
      <c r="N64" s="14">
        <f>IF('Données projet'!$A$36&gt;35,N63+M64-V63,IF(A64&lt;'Données projet'!$A$36,$K$205^A64,IF(A64='Données projet'!$A$36,'Données projet'!$B$36,N63+M64-V63)))</f>
        <v>237.44000000000011</v>
      </c>
      <c r="O64" s="14">
        <f>N64*VLOOKUP('Données projet'!$B$9,Paramètres!$A$1:$I$89,3,0)*VLOOKUP('Données projet'!$B$9,Paramètres!$A$1:$I$89,5,0)</f>
        <v>188.90726400000011</v>
      </c>
      <c r="P64" s="14">
        <f t="shared" si="33"/>
        <v>47.298283397901834</v>
      </c>
      <c r="Q64" s="22">
        <f t="shared" si="53"/>
        <v>411.39132838467918</v>
      </c>
      <c r="R64" s="60">
        <f t="shared" si="0"/>
        <v>704.7246617180125</v>
      </c>
      <c r="S64" s="60">
        <f ca="1">AVERAGE(OFFSET($R$3,0,0,'Données projet'!$E$9+1,1))-AVERAGE(OFFSET($H$3,0,0,'Données projet'!$E$9+1,1))</f>
        <v>238.47463071449789</v>
      </c>
      <c r="T64" s="60">
        <f t="shared" si="34"/>
        <v>270.92950919803718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4.3399999999999981</v>
      </c>
      <c r="AI64" s="14">
        <f>IF('Données projet'!$A$62&gt;35,AI63+AH64-AQ63,IF(A64&lt;'Données projet'!$A$62,$AF$205^A64,IF(A64='Données projet'!$A$62,'Données projet'!$B$62,AI63+AH64-AQ63)))</f>
        <v>237.44000000000011</v>
      </c>
      <c r="AJ64" s="14">
        <f>AI64*VLOOKUP('Données projet'!$B$10,Paramètres!$A$1:$I$89,3,0)*VLOOKUP('Données projet'!$B$10,Paramètres!$A$1:$I$89,5,0)</f>
        <v>174.09100800000007</v>
      </c>
      <c r="AK64" s="14">
        <f t="shared" si="35"/>
        <v>44.005001364605072</v>
      </c>
      <c r="AL64" s="22">
        <f t="shared" si="4"/>
        <v>379.85054964335399</v>
      </c>
      <c r="AM64" s="60">
        <f t="shared" si="5"/>
        <v>673.1838829766873</v>
      </c>
      <c r="AN64" s="60">
        <f ca="1">AVERAGE(OFFSET($AM$3,0,0,'Données projet'!$E$10+1,1))-AVERAGE(OFFSET($H$3,0,0,'Données projet'!$E$10+1,1))</f>
        <v>216.80783650073869</v>
      </c>
      <c r="AO64" s="60">
        <f t="shared" si="36"/>
        <v>247.59561829759309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8.6666666666666661</v>
      </c>
      <c r="BD64" s="13">
        <f>IF('Données projet'!$A$88&gt;35,BD63+BC64-BL63,IF(A64&lt;'Données projet'!$A$88,$BA$205^A64,IF(A64='Données projet'!$A$88,'Données projet'!$B$88,BD63+BC64-BL63)))</f>
        <v>258.66666666666657</v>
      </c>
      <c r="BE64" s="14">
        <f>BD64*VLOOKUP('Données projet'!$B$11,Paramètres!$A$1:$I$89,3,0)*VLOOKUP('Données projet'!$B$11,Paramètres!$A$1:$I$89,5,0)</f>
        <v>201.75999999999993</v>
      </c>
      <c r="BF64" s="14">
        <f t="shared" si="37"/>
        <v>50.130765000424169</v>
      </c>
      <c r="BG64" s="22">
        <f t="shared" si="7"/>
        <v>438.70974904240529</v>
      </c>
      <c r="BH64" s="60">
        <f t="shared" si="8"/>
        <v>732.04308237573855</v>
      </c>
      <c r="BI64" s="60">
        <f ca="1">AVERAGE(OFFSET($BH$3,0,0,'Données projet'!$E$11+1,1))-AVERAGE(OFFSET($H$3,0,0,'Données projet'!$E$11+1,1))</f>
        <v>222.34562513006574</v>
      </c>
      <c r="BJ64" s="60">
        <f t="shared" si="38"/>
        <v>213.19969928771548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0" t="e">
        <f t="shared" si="11"/>
        <v>#NUM!</v>
      </c>
      <c r="CD64" s="60">
        <f ca="1">AVERAGE(OFFSET($CC$3,0,0,'Données projet'!$E$12+1,1))-AVERAGE(OFFSET($H$3,0,0,'Données projet'!$E$12+1,1))</f>
        <v>274.84847548786672</v>
      </c>
      <c r="CE64" s="60">
        <f t="shared" si="40"/>
        <v>376.2625056050623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0" t="e">
        <f t="shared" si="14"/>
        <v>#N/A</v>
      </c>
      <c r="CY64" s="60" t="e">
        <f ca="1">AVERAGE(OFFSET($CX$3,0,0,'Données projet'!$E$13+1,1))-AVERAGE(OFFSET($H$3,0,0,'Données projet'!$E$13+1,1))</f>
        <v>#N/A</v>
      </c>
      <c r="CZ64" s="60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8">
        <f t="shared" si="1"/>
        <v>361.39527488339854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4.3399999999999981</v>
      </c>
      <c r="N65" s="14">
        <f>IF('Données projet'!$A$36&gt;35,N64+M65-V64,IF(A65&lt;'Données projet'!$A$36,$K$205^A65,IF(A65='Données projet'!$A$36,'Données projet'!$B$36,N64+M65-V64)))</f>
        <v>241.78000000000011</v>
      </c>
      <c r="O65" s="14">
        <f>N65*VLOOKUP('Données projet'!$B$9,Paramètres!$A$1:$I$89,3,0)*VLOOKUP('Données projet'!$B$9,Paramètres!$A$1:$I$89,5,0)</f>
        <v>192.3601680000001</v>
      </c>
      <c r="P65" s="14">
        <f t="shared" si="33"/>
        <v>48.061376979759274</v>
      </c>
      <c r="Q65" s="22">
        <f t="shared" si="53"/>
        <v>418.73419083974755</v>
      </c>
      <c r="R65" s="60">
        <f t="shared" si="0"/>
        <v>712.06752417308087</v>
      </c>
      <c r="S65" s="60">
        <f ca="1">AVERAGE(OFFSET($R$3,0,0,'Données projet'!$E$9+1,1))-AVERAGE(OFFSET($H$3,0,0,'Données projet'!$E$9+1,1))</f>
        <v>238.47463071449789</v>
      </c>
      <c r="T65" s="60">
        <f t="shared" si="34"/>
        <v>270.92950919803718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4.3399999999999981</v>
      </c>
      <c r="AI65" s="14">
        <f>IF('Données projet'!$A$62&gt;35,AI64+AH65-AQ64,IF(A65&lt;'Données projet'!$A$62,$AF$205^A65,IF(A65='Données projet'!$A$62,'Données projet'!$B$62,AI64+AH65-AQ64)))</f>
        <v>241.78000000000011</v>
      </c>
      <c r="AJ65" s="14">
        <f>AI65*VLOOKUP('Données projet'!$B$10,Paramètres!$A$1:$I$89,3,0)*VLOOKUP('Données projet'!$B$10,Paramètres!$A$1:$I$89,5,0)</f>
        <v>177.27309600000007</v>
      </c>
      <c r="AK65" s="14">
        <f t="shared" si="35"/>
        <v>44.714962312414976</v>
      </c>
      <c r="AL65" s="22">
        <f t="shared" si="4"/>
        <v>386.62920156078945</v>
      </c>
      <c r="AM65" s="60">
        <f t="shared" si="5"/>
        <v>679.96253489412277</v>
      </c>
      <c r="AN65" s="60">
        <f ca="1">AVERAGE(OFFSET($AM$3,0,0,'Données projet'!$E$10+1,1))-AVERAGE(OFFSET($H$3,0,0,'Données projet'!$E$10+1,1))</f>
        <v>216.80783650073869</v>
      </c>
      <c r="AO65" s="60">
        <f t="shared" si="36"/>
        <v>247.59561829759309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8.6666666666666661</v>
      </c>
      <c r="BD65" s="13">
        <f>IF('Données projet'!$A$88&gt;35,BD64+BC65-BL64,IF(A65&lt;'Données projet'!$A$88,$BA$205^A65,IF(A65='Données projet'!$A$88,'Données projet'!$B$88,BD64+BC65-BL64)))</f>
        <v>267.33333333333326</v>
      </c>
      <c r="BE65" s="14">
        <f>BD65*VLOOKUP('Données projet'!$B$11,Paramètres!$A$1:$I$89,3,0)*VLOOKUP('Données projet'!$B$11,Paramètres!$A$1:$I$89,5,0)</f>
        <v>208.51999999999995</v>
      </c>
      <c r="BF65" s="14">
        <f t="shared" si="37"/>
        <v>51.612035456318459</v>
      </c>
      <c r="BG65" s="22">
        <f t="shared" si="7"/>
        <v>453.06329508642119</v>
      </c>
      <c r="BH65" s="60">
        <f t="shared" si="8"/>
        <v>746.39662841975451</v>
      </c>
      <c r="BI65" s="60">
        <f ca="1">AVERAGE(OFFSET($BH$3,0,0,'Données projet'!$E$11+1,1))-AVERAGE(OFFSET($H$3,0,0,'Données projet'!$E$11+1,1))</f>
        <v>222.34562513006574</v>
      </c>
      <c r="BJ65" s="60">
        <f t="shared" si="38"/>
        <v>213.19969928771548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0" t="e">
        <f t="shared" si="11"/>
        <v>#NUM!</v>
      </c>
      <c r="CD65" s="60">
        <f ca="1">AVERAGE(OFFSET($CC$3,0,0,'Données projet'!$E$12+1,1))-AVERAGE(OFFSET($H$3,0,0,'Données projet'!$E$12+1,1))</f>
        <v>274.84847548786672</v>
      </c>
      <c r="CE65" s="60">
        <f t="shared" si="40"/>
        <v>376.2625056050623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0" t="e">
        <f t="shared" si="14"/>
        <v>#N/A</v>
      </c>
      <c r="CY65" s="60" t="e">
        <f ca="1">AVERAGE(OFFSET($CX$3,0,0,'Données projet'!$E$13+1,1))-AVERAGE(OFFSET($H$3,0,0,'Données projet'!$E$13+1,1))</f>
        <v>#N/A</v>
      </c>
      <c r="CZ65" s="60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8">
        <f t="shared" si="1"/>
        <v>362.46256605982404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4.3399999999999981</v>
      </c>
      <c r="N66" s="14">
        <f>IF('Données projet'!$A$36&gt;35,N65+M66-V65,IF(A66&lt;'Données projet'!$A$36,$K$205^A66,IF(A66='Données projet'!$A$36,'Données projet'!$B$36,N65+M66-V65)))</f>
        <v>246.12000000000012</v>
      </c>
      <c r="O66" s="14">
        <f>N66*VLOOKUP('Données projet'!$B$9,Paramètres!$A$1:$I$89,3,0)*VLOOKUP('Données projet'!$B$9,Paramètres!$A$1:$I$89,5,0)</f>
        <v>195.81307200000012</v>
      </c>
      <c r="P66" s="14">
        <f t="shared" si="33"/>
        <v>48.822877725242478</v>
      </c>
      <c r="Q66" s="22">
        <f t="shared" si="53"/>
        <v>426.07427910479754</v>
      </c>
      <c r="R66" s="60">
        <f t="shared" si="0"/>
        <v>719.40761243813085</v>
      </c>
      <c r="S66" s="60">
        <f ca="1">AVERAGE(OFFSET($R$3,0,0,'Données projet'!$E$9+1,1))-AVERAGE(OFFSET($H$3,0,0,'Données projet'!$E$9+1,1))</f>
        <v>238.47463071449789</v>
      </c>
      <c r="T66" s="60">
        <f t="shared" si="34"/>
        <v>270.92950919803718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4.3399999999999981</v>
      </c>
      <c r="AI66" s="14">
        <f>IF('Données projet'!$A$62&gt;35,AI65+AH66-AQ65,IF(A66&lt;'Données projet'!$A$62,$AF$205^A66,IF(A66='Données projet'!$A$62,'Données projet'!$B$62,AI65+AH66-AQ65)))</f>
        <v>246.12000000000012</v>
      </c>
      <c r="AJ66" s="14">
        <f>AI66*VLOOKUP('Données projet'!$B$10,Paramètres!$A$1:$I$89,3,0)*VLOOKUP('Données projet'!$B$10,Paramètres!$A$1:$I$89,5,0)</f>
        <v>180.45518400000009</v>
      </c>
      <c r="AK66" s="14">
        <f t="shared" si="35"/>
        <v>45.423441329766014</v>
      </c>
      <c r="AL66" s="22">
        <f t="shared" si="4"/>
        <v>393.40527244934259</v>
      </c>
      <c r="AM66" s="60">
        <f t="shared" si="5"/>
        <v>686.7386057826759</v>
      </c>
      <c r="AN66" s="60">
        <f ca="1">AVERAGE(OFFSET($AM$3,0,0,'Données projet'!$E$10+1,1))-AVERAGE(OFFSET($H$3,0,0,'Données projet'!$E$10+1,1))</f>
        <v>216.80783650073869</v>
      </c>
      <c r="AO66" s="60">
        <f t="shared" si="36"/>
        <v>247.59561829759309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8.6666666666666661</v>
      </c>
      <c r="BD66" s="13">
        <f>IF('Données projet'!$A$88&gt;35,BD65+BC66-BL65,IF(A66&lt;'Données projet'!$A$88,$BA$205^A66,IF(A66='Données projet'!$A$88,'Données projet'!$B$88,BD65+BC66-BL65)))</f>
        <v>275.99999999999994</v>
      </c>
      <c r="BE66" s="14">
        <f>BD66*VLOOKUP('Données projet'!$B$11,Paramètres!$A$1:$I$89,3,0)*VLOOKUP('Données projet'!$B$11,Paramètres!$A$1:$I$89,5,0)</f>
        <v>215.27999999999997</v>
      </c>
      <c r="BF66" s="14">
        <f t="shared" si="37"/>
        <v>53.087725740853138</v>
      </c>
      <c r="BG66" s="22">
        <f t="shared" si="7"/>
        <v>467.40712233198587</v>
      </c>
      <c r="BH66" s="60">
        <f t="shared" si="8"/>
        <v>760.74045566531913</v>
      </c>
      <c r="BI66" s="60">
        <f ca="1">AVERAGE(OFFSET($BH$3,0,0,'Données projet'!$E$11+1,1))-AVERAGE(OFFSET($H$3,0,0,'Données projet'!$E$11+1,1))</f>
        <v>222.34562513006574</v>
      </c>
      <c r="BJ66" s="60">
        <f t="shared" si="38"/>
        <v>213.19969928771548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0" t="e">
        <f t="shared" si="11"/>
        <v>#NUM!</v>
      </c>
      <c r="CD66" s="60">
        <f ca="1">AVERAGE(OFFSET($CC$3,0,0,'Données projet'!$E$12+1,1))-AVERAGE(OFFSET($H$3,0,0,'Données projet'!$E$12+1,1))</f>
        <v>274.84847548786672</v>
      </c>
      <c r="CE66" s="60">
        <f t="shared" si="40"/>
        <v>376.2625056050623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0" t="e">
        <f t="shared" si="14"/>
        <v>#N/A</v>
      </c>
      <c r="CY66" s="60" t="e">
        <f ca="1">AVERAGE(OFFSET($CX$3,0,0,'Données projet'!$E$13+1,1))-AVERAGE(OFFSET($H$3,0,0,'Données projet'!$E$13+1,1))</f>
        <v>#N/A</v>
      </c>
      <c r="CZ66" s="60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8">
        <f t="shared" si="1"/>
        <v>363.52943348895451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4.3399999999999981</v>
      </c>
      <c r="N67" s="14">
        <f>IF('Données projet'!$A$36&gt;35,N66+M67-V66,IF(A67&lt;'Données projet'!$A$36,$K$205^A67,IF(A67='Données projet'!$A$36,'Données projet'!$B$36,N66+M67-V66)))</f>
        <v>250.46000000000012</v>
      </c>
      <c r="O67" s="14">
        <f>N67*VLOOKUP('Données projet'!$B$9,Paramètres!$A$1:$I$89,3,0)*VLOOKUP('Données projet'!$B$9,Paramètres!$A$1:$I$89,5,0)</f>
        <v>199.26597600000011</v>
      </c>
      <c r="P67" s="14">
        <f t="shared" si="33"/>
        <v>49.582816962415684</v>
      </c>
      <c r="Q67" s="22">
        <f t="shared" ref="Q67:Q98" si="54">(O67+P67)*0.475*44/12</f>
        <v>433.4116477428741</v>
      </c>
      <c r="R67" s="60">
        <f t="shared" ref="R67:R130" si="55">Q67+(I67+J67)*44/12</f>
        <v>726.74498107620741</v>
      </c>
      <c r="S67" s="60">
        <f ca="1">AVERAGE(OFFSET($R$3,0,0,'Données projet'!$E$9+1,1))-AVERAGE(OFFSET($H$3,0,0,'Données projet'!$E$9+1,1))</f>
        <v>238.47463071449789</v>
      </c>
      <c r="T67" s="60">
        <f t="shared" si="34"/>
        <v>270.92950919803718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4.3399999999999981</v>
      </c>
      <c r="AI67" s="14">
        <f>IF('Données projet'!$A$62&gt;35,AI66+AH67-AQ66,IF(A67&lt;'Données projet'!$A$62,$AF$205^A67,IF(A67='Données projet'!$A$62,'Données projet'!$B$62,AI66+AH67-AQ66)))</f>
        <v>250.46000000000012</v>
      </c>
      <c r="AJ67" s="14">
        <f>AI67*VLOOKUP('Données projet'!$B$10,Paramètres!$A$1:$I$89,3,0)*VLOOKUP('Données projet'!$B$10,Paramètres!$A$1:$I$89,5,0)</f>
        <v>183.63727200000011</v>
      </c>
      <c r="AK67" s="14">
        <f t="shared" si="35"/>
        <v>46.130467563413795</v>
      </c>
      <c r="AL67" s="22">
        <f t="shared" si="4"/>
        <v>400.17881307294584</v>
      </c>
      <c r="AM67" s="60">
        <f t="shared" si="5"/>
        <v>693.51214640627916</v>
      </c>
      <c r="AN67" s="60">
        <f ca="1">AVERAGE(OFFSET($AM$3,0,0,'Données projet'!$E$10+1,1))-AVERAGE(OFFSET($H$3,0,0,'Données projet'!$E$10+1,1))</f>
        <v>216.80783650073869</v>
      </c>
      <c r="AO67" s="60">
        <f t="shared" si="36"/>
        <v>247.59561829759309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8.6666666666666661</v>
      </c>
      <c r="BD67" s="13">
        <f>IF('Données projet'!$A$88&gt;35,BD66+BC67-BL66,IF(A67&lt;'Données projet'!$A$88,$BA$205^A67,IF(A67='Données projet'!$A$88,'Données projet'!$B$88,BD66+BC67-BL66)))</f>
        <v>284.66666666666663</v>
      </c>
      <c r="BE67" s="14">
        <f>BD67*VLOOKUP('Données projet'!$B$11,Paramètres!$A$1:$I$89,3,0)*VLOOKUP('Données projet'!$B$11,Paramètres!$A$1:$I$89,5,0)</f>
        <v>222.04</v>
      </c>
      <c r="BF67" s="14">
        <f t="shared" si="37"/>
        <v>54.558031180803546</v>
      </c>
      <c r="BG67" s="22">
        <f t="shared" si="7"/>
        <v>481.74157097323285</v>
      </c>
      <c r="BH67" s="60">
        <f t="shared" si="8"/>
        <v>775.07490430656617</v>
      </c>
      <c r="BI67" s="60">
        <f ca="1">AVERAGE(OFFSET($BH$3,0,0,'Données projet'!$E$11+1,1))-AVERAGE(OFFSET($H$3,0,0,'Données projet'!$E$11+1,1))</f>
        <v>222.34562513006574</v>
      </c>
      <c r="BJ67" s="60">
        <f t="shared" si="38"/>
        <v>213.19969928771548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0" t="e">
        <f t="shared" si="11"/>
        <v>#NUM!</v>
      </c>
      <c r="CD67" s="60">
        <f ca="1">AVERAGE(OFFSET($CC$3,0,0,'Données projet'!$E$12+1,1))-AVERAGE(OFFSET($H$3,0,0,'Données projet'!$E$12+1,1))</f>
        <v>274.84847548786672</v>
      </c>
      <c r="CE67" s="60">
        <f t="shared" si="40"/>
        <v>376.2625056050623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0" t="e">
        <f t="shared" si="14"/>
        <v>#N/A</v>
      </c>
      <c r="CY67" s="60" t="e">
        <f ca="1">AVERAGE(OFFSET($CX$3,0,0,'Données projet'!$E$13+1,1))-AVERAGE(OFFSET($H$3,0,0,'Données projet'!$E$13+1,1))</f>
        <v>#N/A</v>
      </c>
      <c r="CZ67" s="60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8">
        <f t="shared" ref="H68:H131" si="56">(B68+E68+F68)*44/12+(C68+D68)*0.475*44/12</f>
        <v>364.59588455641932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254.8</v>
      </c>
      <c r="L68" s="13">
        <f>VLOOKUP(A68,'Données projet'!$A$35:$I$55,9,0)</f>
        <v>4.3399999999999981</v>
      </c>
      <c r="M68" s="13">
        <f t="array" ref="M68">INDEX(L:L,MIN(IF(ISNUMBER(L68:L264),ROW(L68:L264),"")))</f>
        <v>4.3399999999999981</v>
      </c>
      <c r="N68" s="14">
        <f>IF('Données projet'!$A$36&gt;35,N67+M68-V67,IF(A68&lt;'Données projet'!$A$36,$K$205^A68,IF(A68='Données projet'!$A$36,'Données projet'!$B$36,N67+M68-V67)))</f>
        <v>254.80000000000013</v>
      </c>
      <c r="O68" s="14">
        <f>N68*VLOOKUP('Données projet'!$B$9,Paramètres!$A$1:$I$89,3,0)*VLOOKUP('Données projet'!$B$9,Paramètres!$A$1:$I$89,5,0)</f>
        <v>202.7188800000001</v>
      </c>
      <c r="P68" s="14">
        <f t="shared" si="33"/>
        <v>50.341224871428125</v>
      </c>
      <c r="Q68" s="22">
        <f t="shared" si="54"/>
        <v>440.7463493177375</v>
      </c>
      <c r="R68" s="60">
        <f t="shared" si="55"/>
        <v>734.07968265107081</v>
      </c>
      <c r="S68" s="60">
        <f ca="1">AVERAGE(OFFSET($R$3,0,0,'Données projet'!$E$9+1,1))-AVERAGE(OFFSET($H$3,0,0,'Données projet'!$E$9+1,1))</f>
        <v>238.47463071449789</v>
      </c>
      <c r="T68" s="60">
        <f t="shared" si="34"/>
        <v>270.92950919803718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254.8</v>
      </c>
      <c r="AG68" s="13">
        <f>VLOOKUP(A68,'Données projet'!$A$61:$I$81,9,0)</f>
        <v>4.3399999999999981</v>
      </c>
      <c r="AH68" s="13">
        <f t="array" ref="AH68">INDEX(AG:AG,MIN(IF(ISNUMBER(AG68:AG264),ROW(AG68:AG264),"")))</f>
        <v>4.3399999999999981</v>
      </c>
      <c r="AI68" s="14">
        <f>IF('Données projet'!$A$62&gt;35,AI67+AH68-AQ67,IF(A68&lt;'Données projet'!$A$62,$AF$205^A68,IF(A68='Données projet'!$A$62,'Données projet'!$B$62,AI67+AH68-AQ67)))</f>
        <v>254.80000000000013</v>
      </c>
      <c r="AJ68" s="14">
        <f>AI68*VLOOKUP('Données projet'!$B$10,Paramètres!$A$1:$I$89,3,0)*VLOOKUP('Données projet'!$B$10,Paramètres!$A$1:$I$89,5,0)</f>
        <v>186.8193600000001</v>
      </c>
      <c r="AK68" s="14">
        <f t="shared" si="35"/>
        <v>46.836069092125975</v>
      </c>
      <c r="AL68" s="22">
        <f t="shared" ref="AL68:AL131" si="58">(AJ68+AK68)*0.475*44/12</f>
        <v>406.94987233545288</v>
      </c>
      <c r="AM68" s="60">
        <f t="shared" ref="AM68:AM131" si="59">AL68+(AD68+AE68)*44/12</f>
        <v>700.2832056687862</v>
      </c>
      <c r="AN68" s="60">
        <f ca="1">AVERAGE(OFFSET($AM$3,0,0,'Données projet'!$E$10+1,1))-AVERAGE(OFFSET($H$3,0,0,'Données projet'!$E$10+1,1))</f>
        <v>216.80783650073869</v>
      </c>
      <c r="AO68" s="60">
        <f t="shared" si="36"/>
        <v>247.59561829759309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8.6666666666666661</v>
      </c>
      <c r="BD68" s="13">
        <f>IF('Données projet'!$A$88&gt;35,BD67+BC68-BL67,IF(A68&lt;'Données projet'!$A$88,$BA$205^A68,IF(A68='Données projet'!$A$88,'Données projet'!$B$88,BD67+BC68-BL67)))</f>
        <v>293.33333333333331</v>
      </c>
      <c r="BE68" s="14">
        <f>BD68*VLOOKUP('Données projet'!$B$11,Paramètres!$A$1:$I$89,3,0)*VLOOKUP('Données projet'!$B$11,Paramètres!$A$1:$I$89,5,0)</f>
        <v>228.79999999999998</v>
      </c>
      <c r="BF68" s="14">
        <f t="shared" si="37"/>
        <v>56.023134533701196</v>
      </c>
      <c r="BG68" s="22">
        <f t="shared" ref="BG68:BG131" si="61">(BE68+BF68)*0.475*44/12</f>
        <v>496.06695931286293</v>
      </c>
      <c r="BH68" s="60">
        <f t="shared" ref="BH68:BH131" si="62">BG68+(AY68+AZ68)*44/12</f>
        <v>789.40029264619625</v>
      </c>
      <c r="BI68" s="60">
        <f ca="1">AVERAGE(OFFSET($BH$3,0,0,'Données projet'!$E$11+1,1))-AVERAGE(OFFSET($H$3,0,0,'Données projet'!$E$11+1,1))</f>
        <v>222.34562513006574</v>
      </c>
      <c r="BJ68" s="60">
        <f t="shared" si="38"/>
        <v>213.19969928771548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0" t="e">
        <f t="shared" ref="CC68:CC131" si="65">CB68+(BT68+BU68)*44/12</f>
        <v>#NUM!</v>
      </c>
      <c r="CD68" s="60">
        <f ca="1">AVERAGE(OFFSET($CC$3,0,0,'Données projet'!$E$12+1,1))-AVERAGE(OFFSET($H$3,0,0,'Données projet'!$E$12+1,1))</f>
        <v>274.84847548786672</v>
      </c>
      <c r="CE68" s="60">
        <f t="shared" si="40"/>
        <v>376.2625056050623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0" t="e">
        <f t="shared" ref="CX68:CX131" si="68">CW68+(CO68+CP68)*44/12</f>
        <v>#N/A</v>
      </c>
      <c r="CY68" s="60" t="e">
        <f ca="1">AVERAGE(OFFSET($CX$3,0,0,'Données projet'!$E$13+1,1))-AVERAGE(OFFSET($H$3,0,0,'Données projet'!$E$13+1,1))</f>
        <v>#N/A</v>
      </c>
      <c r="CZ68" s="60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8">
        <f t="shared" si="56"/>
        <v>365.66192640755855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3.7599999999999909</v>
      </c>
      <c r="N69" s="14">
        <f>IF('Données projet'!$A$36&gt;35,N68+M69-V68,IF(A69&lt;'Données projet'!$A$36,$K$205^A69,IF(A69='Données projet'!$A$36,'Données projet'!$B$36,N68+M69-V68)))</f>
        <v>258.56000000000012</v>
      </c>
      <c r="O69" s="14">
        <f>N69*VLOOKUP('Données projet'!$B$9,Paramètres!$A$1:$I$89,3,0)*VLOOKUP('Données projet'!$B$9,Paramètres!$A$1:$I$89,5,0)</f>
        <v>205.7103360000001</v>
      </c>
      <c r="P69" s="14">
        <f t="shared" ref="P69:P132" si="87">EXP(-1.0587+0.8836*LN(O69)+0.284)</f>
        <v>50.99706319664395</v>
      </c>
      <c r="Q69" s="22">
        <f t="shared" si="54"/>
        <v>447.09872026748832</v>
      </c>
      <c r="R69" s="60">
        <f t="shared" si="55"/>
        <v>740.43205360082163</v>
      </c>
      <c r="S69" s="60">
        <f ca="1">AVERAGE(OFFSET($R$3,0,0,'Données projet'!$E$9+1,1))-AVERAGE(OFFSET($H$3,0,0,'Données projet'!$E$9+1,1))</f>
        <v>238.47463071449789</v>
      </c>
      <c r="T69" s="60">
        <f t="shared" ref="T69:T132" si="88">$T$3</f>
        <v>270.92950919803718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3.7599999999999909</v>
      </c>
      <c r="AI69" s="14">
        <f>IF('Données projet'!$A$62&gt;35,AI68+AH69-AQ68,IF(A69&lt;'Données projet'!$A$62,$AF$205^A69,IF(A69='Données projet'!$A$62,'Données projet'!$B$62,AI68+AH69-AQ68)))</f>
        <v>258.56000000000012</v>
      </c>
      <c r="AJ69" s="14">
        <f>AI69*VLOOKUP('Données projet'!$B$10,Paramètres!$A$1:$I$89,3,0)*VLOOKUP('Données projet'!$B$10,Paramètres!$A$1:$I$89,5,0)</f>
        <v>189.57619200000008</v>
      </c>
      <c r="AK69" s="14">
        <f t="shared" ref="AK69:AK132" si="89">EXP(-1.0587+0.8836*LN(AJ69)+0.284)</f>
        <v>47.446242745856559</v>
      </c>
      <c r="AL69" s="22">
        <f t="shared" si="58"/>
        <v>412.8140738490336</v>
      </c>
      <c r="AM69" s="60">
        <f t="shared" si="59"/>
        <v>706.14740718236692</v>
      </c>
      <c r="AN69" s="60">
        <f ca="1">AVERAGE(OFFSET($AM$3,0,0,'Données projet'!$E$10+1,1))-AVERAGE(OFFSET($H$3,0,0,'Données projet'!$E$10+1,1))</f>
        <v>216.80783650073869</v>
      </c>
      <c r="AO69" s="60">
        <f t="shared" ref="AO69:AO132" si="90">$AO$3</f>
        <v>247.59561829759309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8.6666666666666661</v>
      </c>
      <c r="BD69" s="13">
        <f>IF('Données projet'!$A$88&gt;35,BD68+BC69-BL68,IF(A69&lt;'Données projet'!$A$88,$BA$205^A69,IF(A69='Données projet'!$A$88,'Données projet'!$B$88,BD68+BC69-BL68)))</f>
        <v>302</v>
      </c>
      <c r="BE69" s="14">
        <f>BD69*VLOOKUP('Données projet'!$B$11,Paramètres!$A$1:$I$89,3,0)*VLOOKUP('Données projet'!$B$11,Paramètres!$A$1:$I$89,5,0)</f>
        <v>235.56</v>
      </c>
      <c r="BF69" s="14">
        <f t="shared" ref="BF69:BF132" si="91">EXP(-1.0587+0.8836*LN(BE69)+0.284)</f>
        <v>57.483207143847721</v>
      </c>
      <c r="BG69" s="22">
        <f t="shared" si="61"/>
        <v>510.38358577553481</v>
      </c>
      <c r="BH69" s="60">
        <f t="shared" si="62"/>
        <v>803.71691910886807</v>
      </c>
      <c r="BI69" s="60">
        <f ca="1">AVERAGE(OFFSET($BH$3,0,0,'Données projet'!$E$11+1,1))-AVERAGE(OFFSET($H$3,0,0,'Données projet'!$E$11+1,1))</f>
        <v>222.34562513006574</v>
      </c>
      <c r="BJ69" s="60">
        <f t="shared" ref="BJ69:BJ132" si="92">$BJ$3</f>
        <v>213.19969928771548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0" t="e">
        <f t="shared" si="65"/>
        <v>#NUM!</v>
      </c>
      <c r="CD69" s="60">
        <f ca="1">AVERAGE(OFFSET($CC$3,0,0,'Données projet'!$E$12+1,1))-AVERAGE(OFFSET($H$3,0,0,'Données projet'!$E$12+1,1))</f>
        <v>274.84847548786672</v>
      </c>
      <c r="CE69" s="60">
        <f t="shared" ref="CE69:CE132" si="94">$CE$3</f>
        <v>376.2625056050623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0" t="e">
        <f t="shared" si="68"/>
        <v>#N/A</v>
      </c>
      <c r="CY69" s="60" t="e">
        <f ca="1">AVERAGE(OFFSET($CX$3,0,0,'Données projet'!$E$13+1,1))-AVERAGE(OFFSET($H$3,0,0,'Données projet'!$E$13+1,1))</f>
        <v>#N/A</v>
      </c>
      <c r="CZ69" s="60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8">
        <f t="shared" si="56"/>
        <v>366.72756595876103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3.7599999999999909</v>
      </c>
      <c r="N70" s="14">
        <f>IF('Données projet'!$A$36&gt;35,N69+M70-V69,IF(A70&lt;'Données projet'!$A$36,$K$205^A70,IF(A70='Données projet'!$A$36,'Données projet'!$B$36,N69+M70-V69)))</f>
        <v>262.32000000000011</v>
      </c>
      <c r="O70" s="14">
        <f>N70*VLOOKUP('Données projet'!$B$9,Paramètres!$A$1:$I$89,3,0)*VLOOKUP('Données projet'!$B$9,Paramètres!$A$1:$I$89,5,0)</f>
        <v>208.7017920000001</v>
      </c>
      <c r="P70" s="14">
        <f t="shared" si="87"/>
        <v>51.651792283320177</v>
      </c>
      <c r="Q70" s="22">
        <f t="shared" si="54"/>
        <v>453.44915929344944</v>
      </c>
      <c r="R70" s="60">
        <f t="shared" si="55"/>
        <v>746.78249262678275</v>
      </c>
      <c r="S70" s="60">
        <f ca="1">AVERAGE(OFFSET($R$3,0,0,'Données projet'!$E$9+1,1))-AVERAGE(OFFSET($H$3,0,0,'Données projet'!$E$9+1,1))</f>
        <v>238.47463071449789</v>
      </c>
      <c r="T70" s="60">
        <f t="shared" si="88"/>
        <v>270.92950919803718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3.7599999999999909</v>
      </c>
      <c r="AI70" s="14">
        <f>IF('Données projet'!$A$62&gt;35,AI69+AH70-AQ69,IF(A70&lt;'Données projet'!$A$62,$AF$205^A70,IF(A70='Données projet'!$A$62,'Données projet'!$B$62,AI69+AH70-AQ69)))</f>
        <v>262.32000000000011</v>
      </c>
      <c r="AJ70" s="14">
        <f>AI70*VLOOKUP('Données projet'!$B$10,Paramètres!$A$1:$I$89,3,0)*VLOOKUP('Données projet'!$B$10,Paramètres!$A$1:$I$89,5,0)</f>
        <v>192.33302400000008</v>
      </c>
      <c r="AK70" s="14">
        <f t="shared" si="89"/>
        <v>48.055384395041912</v>
      </c>
      <c r="AL70" s="22">
        <f t="shared" si="58"/>
        <v>418.6764779546981</v>
      </c>
      <c r="AM70" s="60">
        <f t="shared" si="59"/>
        <v>712.00981128803141</v>
      </c>
      <c r="AN70" s="60">
        <f ca="1">AVERAGE(OFFSET($AM$3,0,0,'Données projet'!$E$10+1,1))-AVERAGE(OFFSET($H$3,0,0,'Données projet'!$E$10+1,1))</f>
        <v>216.80783650073869</v>
      </c>
      <c r="AO70" s="60">
        <f t="shared" si="90"/>
        <v>247.59561829759309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8.6666666666666661</v>
      </c>
      <c r="BD70" s="13">
        <f>IF('Données projet'!$A$88&gt;35,BD69+BC70-BL69,IF(A70&lt;'Données projet'!$A$88,$BA$205^A70,IF(A70='Données projet'!$A$88,'Données projet'!$B$88,BD69+BC70-BL69)))</f>
        <v>310.66666666666669</v>
      </c>
      <c r="BE70" s="14">
        <f>BD70*VLOOKUP('Données projet'!$B$11,Paramètres!$A$1:$I$89,3,0)*VLOOKUP('Données projet'!$B$11,Paramètres!$A$1:$I$89,5,0)</f>
        <v>242.32000000000002</v>
      </c>
      <c r="BF70" s="14">
        <f t="shared" si="91"/>
        <v>58.938409961900859</v>
      </c>
      <c r="BG70" s="22">
        <f t="shared" si="61"/>
        <v>524.69173068364398</v>
      </c>
      <c r="BH70" s="60">
        <f t="shared" si="62"/>
        <v>818.02506401697724</v>
      </c>
      <c r="BI70" s="60">
        <f ca="1">AVERAGE(OFFSET($BH$3,0,0,'Données projet'!$E$11+1,1))-AVERAGE(OFFSET($H$3,0,0,'Données projet'!$E$11+1,1))</f>
        <v>222.34562513006574</v>
      </c>
      <c r="BJ70" s="60">
        <f t="shared" si="92"/>
        <v>213.19969928771548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0" t="e">
        <f t="shared" si="65"/>
        <v>#NUM!</v>
      </c>
      <c r="CD70" s="60">
        <f ca="1">AVERAGE(OFFSET($CC$3,0,0,'Données projet'!$E$12+1,1))-AVERAGE(OFFSET($H$3,0,0,'Données projet'!$E$12+1,1))</f>
        <v>274.84847548786672</v>
      </c>
      <c r="CE70" s="60">
        <f t="shared" si="94"/>
        <v>376.2625056050623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0" t="e">
        <f t="shared" si="68"/>
        <v>#N/A</v>
      </c>
      <c r="CY70" s="60" t="e">
        <f ca="1">AVERAGE(OFFSET($CX$3,0,0,'Données projet'!$E$13+1,1))-AVERAGE(OFFSET($H$3,0,0,'Données projet'!$E$13+1,1))</f>
        <v>#N/A</v>
      </c>
      <c r="CZ70" s="60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8">
        <f t="shared" si="56"/>
        <v>367.7928099081056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3.7599999999999909</v>
      </c>
      <c r="N71" s="14">
        <f>IF('Données projet'!$A$36&gt;35,N70+M71-V70,IF(A71&lt;'Données projet'!$A$36,$K$205^A71,IF(A71='Données projet'!$A$36,'Données projet'!$B$36,N70+M71-V70)))</f>
        <v>266.0800000000001</v>
      </c>
      <c r="O71" s="14">
        <f>N71*VLOOKUP('Données projet'!$B$9,Paramètres!$A$1:$I$89,3,0)*VLOOKUP('Données projet'!$B$9,Paramètres!$A$1:$I$89,5,0)</f>
        <v>211.69324800000007</v>
      </c>
      <c r="P71" s="14">
        <f t="shared" si="87"/>
        <v>52.305429867997155</v>
      </c>
      <c r="Q71" s="22">
        <f t="shared" si="54"/>
        <v>459.79769728676183</v>
      </c>
      <c r="R71" s="60">
        <f t="shared" si="55"/>
        <v>753.13103062009509</v>
      </c>
      <c r="S71" s="60">
        <f ca="1">AVERAGE(OFFSET($R$3,0,0,'Données projet'!$E$9+1,1))-AVERAGE(OFFSET($H$3,0,0,'Données projet'!$E$9+1,1))</f>
        <v>238.47463071449789</v>
      </c>
      <c r="T71" s="60">
        <f t="shared" si="88"/>
        <v>270.92950919803718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3.7599999999999909</v>
      </c>
      <c r="AI71" s="14">
        <f>IF('Données projet'!$A$62&gt;35,AI70+AH71-AQ70,IF(A71&lt;'Données projet'!$A$62,$AF$205^A71,IF(A71='Données projet'!$A$62,'Données projet'!$B$62,AI70+AH71-AQ70)))</f>
        <v>266.0800000000001</v>
      </c>
      <c r="AJ71" s="14">
        <f>AI71*VLOOKUP('Données projet'!$B$10,Paramètres!$A$1:$I$89,3,0)*VLOOKUP('Données projet'!$B$10,Paramètres!$A$1:$I$89,5,0)</f>
        <v>195.08985600000005</v>
      </c>
      <c r="AK71" s="14">
        <f t="shared" si="89"/>
        <v>48.663510541263612</v>
      </c>
      <c r="AL71" s="22">
        <f t="shared" si="58"/>
        <v>424.53711339270086</v>
      </c>
      <c r="AM71" s="60">
        <f t="shared" si="59"/>
        <v>717.87044672603417</v>
      </c>
      <c r="AN71" s="60">
        <f ca="1">AVERAGE(OFFSET($AM$3,0,0,'Données projet'!$E$10+1,1))-AVERAGE(OFFSET($H$3,0,0,'Données projet'!$E$10+1,1))</f>
        <v>216.80783650073869</v>
      </c>
      <c r="AO71" s="60">
        <f t="shared" si="90"/>
        <v>247.59561829759309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8.6666666666666661</v>
      </c>
      <c r="BD71" s="13">
        <f>IF('Données projet'!$A$88&gt;35,BD70+BC71-BL70,IF(A71&lt;'Données projet'!$A$88,$BA$205^A71,IF(A71='Données projet'!$A$88,'Données projet'!$B$88,BD70+BC71-BL70)))</f>
        <v>319.33333333333337</v>
      </c>
      <c r="BE71" s="14">
        <f>BD71*VLOOKUP('Données projet'!$B$11,Paramètres!$A$1:$I$89,3,0)*VLOOKUP('Données projet'!$B$11,Paramètres!$A$1:$I$89,5,0)</f>
        <v>249.08000000000004</v>
      </c>
      <c r="BF71" s="14">
        <f t="shared" si="91"/>
        <v>60.388894447487807</v>
      </c>
      <c r="BG71" s="22">
        <f t="shared" si="61"/>
        <v>538.99165782937473</v>
      </c>
      <c r="BH71" s="60">
        <f t="shared" si="62"/>
        <v>832.3249911627081</v>
      </c>
      <c r="BI71" s="60">
        <f ca="1">AVERAGE(OFFSET($BH$3,0,0,'Données projet'!$E$11+1,1))-AVERAGE(OFFSET($H$3,0,0,'Données projet'!$E$11+1,1))</f>
        <v>222.34562513006574</v>
      </c>
      <c r="BJ71" s="60">
        <f t="shared" si="92"/>
        <v>213.19969928771548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0" t="e">
        <f t="shared" si="65"/>
        <v>#NUM!</v>
      </c>
      <c r="CD71" s="60">
        <f ca="1">AVERAGE(OFFSET($CC$3,0,0,'Données projet'!$E$12+1,1))-AVERAGE(OFFSET($H$3,0,0,'Données projet'!$E$12+1,1))</f>
        <v>274.84847548786672</v>
      </c>
      <c r="CE71" s="60">
        <f t="shared" si="94"/>
        <v>376.2625056050623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0" t="e">
        <f t="shared" si="68"/>
        <v>#N/A</v>
      </c>
      <c r="CY71" s="60" t="e">
        <f ca="1">AVERAGE(OFFSET($CX$3,0,0,'Données projet'!$E$13+1,1))-AVERAGE(OFFSET($H$3,0,0,'Données projet'!$E$13+1,1))</f>
        <v>#N/A</v>
      </c>
      <c r="CZ71" s="60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8">
        <f t="shared" si="56"/>
        <v>368.85766474535927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3.7599999999999909</v>
      </c>
      <c r="N72" s="14">
        <f>IF('Données projet'!$A$36&gt;35,N71+M72-V71,IF(A72&lt;'Données projet'!$A$36,$K$205^A72,IF(A72='Données projet'!$A$36,'Données projet'!$B$36,N71+M72-V71)))</f>
        <v>269.84000000000009</v>
      </c>
      <c r="O72" s="14">
        <f>N72*VLOOKUP('Données projet'!$B$9,Paramètres!$A$1:$I$89,3,0)*VLOOKUP('Données projet'!$B$9,Paramètres!$A$1:$I$89,5,0)</f>
        <v>214.68470400000007</v>
      </c>
      <c r="P72" s="14">
        <f t="shared" si="87"/>
        <v>52.957993157151179</v>
      </c>
      <c r="Q72" s="22">
        <f t="shared" si="54"/>
        <v>466.14436421537175</v>
      </c>
      <c r="R72" s="60">
        <f t="shared" si="55"/>
        <v>759.47769754870501</v>
      </c>
      <c r="S72" s="60">
        <f ca="1">AVERAGE(OFFSET($R$3,0,0,'Données projet'!$E$9+1,1))-AVERAGE(OFFSET($H$3,0,0,'Données projet'!$E$9+1,1))</f>
        <v>238.47463071449789</v>
      </c>
      <c r="T72" s="60">
        <f t="shared" si="88"/>
        <v>270.92950919803718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3.7599999999999909</v>
      </c>
      <c r="AI72" s="14">
        <f>IF('Données projet'!$A$62&gt;35,AI71+AH72-AQ71,IF(A72&lt;'Données projet'!$A$62,$AF$205^A72,IF(A72='Données projet'!$A$62,'Données projet'!$B$62,AI71+AH72-AQ71)))</f>
        <v>269.84000000000009</v>
      </c>
      <c r="AJ72" s="14">
        <f>AI72*VLOOKUP('Données projet'!$B$10,Paramètres!$A$1:$I$89,3,0)*VLOOKUP('Données projet'!$B$10,Paramètres!$A$1:$I$89,5,0)</f>
        <v>197.84668800000006</v>
      </c>
      <c r="AK72" s="14">
        <f t="shared" si="89"/>
        <v>49.270637192946445</v>
      </c>
      <c r="AL72" s="22">
        <f t="shared" si="58"/>
        <v>430.39600804438186</v>
      </c>
      <c r="AM72" s="60">
        <f t="shared" si="59"/>
        <v>723.72934137771517</v>
      </c>
      <c r="AN72" s="60">
        <f ca="1">AVERAGE(OFFSET($AM$3,0,0,'Données projet'!$E$10+1,1))-AVERAGE(OFFSET($H$3,0,0,'Données projet'!$E$10+1,1))</f>
        <v>216.80783650073869</v>
      </c>
      <c r="AO72" s="60">
        <f t="shared" si="90"/>
        <v>247.59561829759309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328</v>
      </c>
      <c r="BB72" s="13">
        <f>VLOOKUP(A72,'Données projet'!$A$87:$I$107,9,0)</f>
        <v>8.6666666666666661</v>
      </c>
      <c r="BC72" s="13">
        <f t="array" ref="BC72">INDEX(BB:BB,MIN(IF(ISNUMBER(BB72:BB268),ROW(BB72:BB268),"")))</f>
        <v>8.6666666666666661</v>
      </c>
      <c r="BD72" s="13">
        <f>IF('Données projet'!$A$88&gt;35,BD71+BC72-BL71,IF(A72&lt;'Données projet'!$A$88,$BA$205^A72,IF(A72='Données projet'!$A$88,'Données projet'!$B$88,BD71+BC72-BL71)))</f>
        <v>328.00000000000006</v>
      </c>
      <c r="BE72" s="14">
        <f>BD72*VLOOKUP('Données projet'!$B$11,Paramètres!$A$1:$I$89,3,0)*VLOOKUP('Données projet'!$B$11,Paramètres!$A$1:$I$89,5,0)</f>
        <v>255.84000000000006</v>
      </c>
      <c r="BF72" s="14">
        <f t="shared" si="91"/>
        <v>61.834803371075836</v>
      </c>
      <c r="BG72" s="22">
        <f t="shared" si="61"/>
        <v>553.28361587129041</v>
      </c>
      <c r="BH72" s="60">
        <f t="shared" si="62"/>
        <v>846.61694920462378</v>
      </c>
      <c r="BI72" s="60">
        <f ca="1">AVERAGE(OFFSET($BH$3,0,0,'Données projet'!$E$11+1,1))-AVERAGE(OFFSET($H$3,0,0,'Données projet'!$E$11+1,1))</f>
        <v>222.34562513006574</v>
      </c>
      <c r="BJ72" s="60">
        <f t="shared" si="92"/>
        <v>213.19969928771548</v>
      </c>
      <c r="BK72" s="16">
        <f>IF(ISNA(VLOOKUP(A72,'Données projet'!$A$87:$I$107,3,0)),0,VLOOKUP(A72,'Données projet'!$A$87:$I$107,3,0))</f>
        <v>8</v>
      </c>
      <c r="BL72" s="16">
        <f>IF(ISNA(VLOOKUP(A72,'Données projet'!$A$87:$I$107,4,0)),0,VLOOKUP(A72,'Données projet'!$A$87:$I$107,4,0))</f>
        <v>328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0" t="e">
        <f t="shared" si="65"/>
        <v>#NUM!</v>
      </c>
      <c r="CD72" s="60">
        <f ca="1">AVERAGE(OFFSET($CC$3,0,0,'Données projet'!$E$12+1,1))-AVERAGE(OFFSET($H$3,0,0,'Données projet'!$E$12+1,1))</f>
        <v>274.84847548786672</v>
      </c>
      <c r="CE72" s="60">
        <f t="shared" si="94"/>
        <v>376.2625056050623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0" t="e">
        <f t="shared" si="68"/>
        <v>#N/A</v>
      </c>
      <c r="CY72" s="60" t="e">
        <f ca="1">AVERAGE(OFFSET($CX$3,0,0,'Données projet'!$E$13+1,1))-AVERAGE(OFFSET($H$3,0,0,'Données projet'!$E$13+1,1))</f>
        <v>#N/A</v>
      </c>
      <c r="CZ72" s="60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8">
        <f t="shared" si="56"/>
        <v>369.92213676137879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273.59999999999997</v>
      </c>
      <c r="L73" s="13">
        <f>VLOOKUP(A73,'Données projet'!$A$35:$I$55,9,0)</f>
        <v>3.7599999999999909</v>
      </c>
      <c r="M73" s="13">
        <f t="array" ref="M73">INDEX(L:L,MIN(IF(ISNUMBER(L73:L269),ROW(L73:L269),"")))</f>
        <v>3.7599999999999909</v>
      </c>
      <c r="N73" s="14">
        <f>IF('Données projet'!$A$36&gt;35,N72+M73-V72,IF(A73&lt;'Données projet'!$A$36,$K$205^A73,IF(A73='Données projet'!$A$36,'Données projet'!$B$36,N72+M73-V72)))</f>
        <v>273.60000000000008</v>
      </c>
      <c r="O73" s="14">
        <f>N73*VLOOKUP('Données projet'!$B$9,Paramètres!$A$1:$I$89,3,0)*VLOOKUP('Données projet'!$B$9,Paramètres!$A$1:$I$89,5,0)</f>
        <v>217.67616000000007</v>
      </c>
      <c r="P73" s="14">
        <f t="shared" si="87"/>
        <v>53.609498850196708</v>
      </c>
      <c r="Q73" s="22">
        <f t="shared" si="54"/>
        <v>472.48918916409275</v>
      </c>
      <c r="R73" s="60">
        <f t="shared" si="55"/>
        <v>765.82252249742601</v>
      </c>
      <c r="S73" s="60">
        <f ca="1">AVERAGE(OFFSET($R$3,0,0,'Données projet'!$E$9+1,1))-AVERAGE(OFFSET($H$3,0,0,'Données projet'!$E$9+1,1))</f>
        <v>238.47463071449789</v>
      </c>
      <c r="T73" s="60">
        <f t="shared" si="88"/>
        <v>270.92950919803718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20.9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273.59999999999997</v>
      </c>
      <c r="AG73" s="13">
        <f>VLOOKUP(A73,'Données projet'!$A$61:$I$81,9,0)</f>
        <v>3.7599999999999909</v>
      </c>
      <c r="AH73" s="13">
        <f t="array" ref="AH73">INDEX(AG:AG,MIN(IF(ISNUMBER(AG73:AG269),ROW(AG73:AG269),"")))</f>
        <v>3.7599999999999909</v>
      </c>
      <c r="AI73" s="14">
        <f>IF('Données projet'!$A$62&gt;35,AI72+AH73-AQ72,IF(A73&lt;'Données projet'!$A$62,$AF$205^A73,IF(A73='Données projet'!$A$62,'Données projet'!$B$62,AI72+AH73-AQ72)))</f>
        <v>273.60000000000008</v>
      </c>
      <c r="AJ73" s="14">
        <f>AI73*VLOOKUP('Données projet'!$B$10,Paramètres!$A$1:$I$89,3,0)*VLOOKUP('Données projet'!$B$10,Paramètres!$A$1:$I$89,5,0)</f>
        <v>200.60352000000006</v>
      </c>
      <c r="AK73" s="14">
        <f t="shared" si="89"/>
        <v>49.87677988675906</v>
      </c>
      <c r="AL73" s="22">
        <f t="shared" si="58"/>
        <v>436.25318896943878</v>
      </c>
      <c r="AM73" s="60">
        <f t="shared" si="59"/>
        <v>729.5865223027721</v>
      </c>
      <c r="AN73" s="60">
        <f ca="1">AVERAGE(OFFSET($AM$3,0,0,'Données projet'!$E$10+1,1))-AVERAGE(OFFSET($H$3,0,0,'Données projet'!$E$10+1,1))</f>
        <v>216.80783650073869</v>
      </c>
      <c r="AO73" s="60">
        <f t="shared" si="90"/>
        <v>247.59561829759309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20.9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4.4337866711430253E-14</v>
      </c>
      <c r="BF73" s="14">
        <f t="shared" si="91"/>
        <v>7.3222115536967035E-13</v>
      </c>
      <c r="BG73" s="22">
        <f t="shared" si="61"/>
        <v>1.3525069634579169E-12</v>
      </c>
      <c r="BH73" s="60">
        <f t="shared" si="62"/>
        <v>293.33333333333468</v>
      </c>
      <c r="BI73" s="60">
        <f ca="1">AVERAGE(OFFSET($BH$3,0,0,'Données projet'!$E$11+1,1))-AVERAGE(OFFSET($H$3,0,0,'Données projet'!$E$11+1,1))</f>
        <v>222.34562513006574</v>
      </c>
      <c r="BJ73" s="60">
        <f t="shared" si="92"/>
        <v>213.19969928771548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0" t="e">
        <f t="shared" si="65"/>
        <v>#NUM!</v>
      </c>
      <c r="CD73" s="60">
        <f ca="1">AVERAGE(OFFSET($CC$3,0,0,'Données projet'!$E$12+1,1))-AVERAGE(OFFSET($H$3,0,0,'Données projet'!$E$12+1,1))</f>
        <v>274.84847548786672</v>
      </c>
      <c r="CE73" s="60">
        <f t="shared" si="94"/>
        <v>376.2625056050623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0" t="e">
        <f t="shared" si="68"/>
        <v>#N/A</v>
      </c>
      <c r="CY73" s="60" t="e">
        <f ca="1">AVERAGE(OFFSET($CX$3,0,0,'Données projet'!$E$13+1,1))-AVERAGE(OFFSET($H$3,0,0,'Données projet'!$E$13+1,1))</f>
        <v>#N/A</v>
      </c>
      <c r="CZ73" s="60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8">
        <f t="shared" si="56"/>
        <v>370.98623205696038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3.4000000000000172</v>
      </c>
      <c r="N74" s="14">
        <f>IF('Données projet'!$A$36&gt;35,N73+M74-V73,IF(A74&lt;'Données projet'!$A$36,$K$205^A74,IF(A74='Données projet'!$A$36,'Données projet'!$B$36,N73+M74-V73)))</f>
        <v>256.10000000000014</v>
      </c>
      <c r="O74" s="14">
        <f>N74*VLOOKUP('Données projet'!$B$9,Paramètres!$A$1:$I$89,3,0)*VLOOKUP('Données projet'!$B$9,Paramètres!$A$1:$I$89,5,0)</f>
        <v>203.75316000000012</v>
      </c>
      <c r="P74" s="14">
        <f t="shared" si="87"/>
        <v>50.568104070523368</v>
      </c>
      <c r="Q74" s="22">
        <f t="shared" si="54"/>
        <v>442.94286825616172</v>
      </c>
      <c r="R74" s="60">
        <f t="shared" si="55"/>
        <v>736.27620158949503</v>
      </c>
      <c r="S74" s="60">
        <f ca="1">AVERAGE(OFFSET($R$3,0,0,'Données projet'!$E$9+1,1))-AVERAGE(OFFSET($H$3,0,0,'Données projet'!$E$9+1,1))</f>
        <v>238.47463071449789</v>
      </c>
      <c r="T74" s="60">
        <f t="shared" si="88"/>
        <v>270.92950919803718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3.4000000000000172</v>
      </c>
      <c r="AI74" s="14">
        <f>IF('Données projet'!$A$62&gt;35,AI73+AH74-AQ73,IF(A74&lt;'Données projet'!$A$62,$AF$205^A74,IF(A74='Données projet'!$A$62,'Données projet'!$B$62,AI73+AH74-AQ73)))</f>
        <v>256.10000000000014</v>
      </c>
      <c r="AJ74" s="14">
        <f>AI74*VLOOKUP('Données projet'!$B$10,Paramètres!$A$1:$I$89,3,0)*VLOOKUP('Données projet'!$B$10,Paramètres!$A$1:$I$89,5,0)</f>
        <v>187.7725200000001</v>
      </c>
      <c r="AK74" s="14">
        <f t="shared" si="89"/>
        <v>47.047151159984438</v>
      </c>
      <c r="AL74" s="22">
        <f t="shared" si="58"/>
        <v>408.97759393697305</v>
      </c>
      <c r="AM74" s="60">
        <f t="shared" si="59"/>
        <v>702.31092727030637</v>
      </c>
      <c r="AN74" s="60">
        <f ca="1">AVERAGE(OFFSET($AM$3,0,0,'Données projet'!$E$10+1,1))-AVERAGE(OFFSET($H$3,0,0,'Données projet'!$E$10+1,1))</f>
        <v>216.80783650073869</v>
      </c>
      <c r="AO74" s="60">
        <f t="shared" si="90"/>
        <v>247.59561829759309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4.4337866711430253E-14</v>
      </c>
      <c r="BF74" s="14">
        <f t="shared" si="91"/>
        <v>7.3222115536967035E-13</v>
      </c>
      <c r="BG74" s="22">
        <f t="shared" si="61"/>
        <v>1.3525069634579169E-12</v>
      </c>
      <c r="BH74" s="60">
        <f t="shared" si="62"/>
        <v>293.33333333333468</v>
      </c>
      <c r="BI74" s="60">
        <f ca="1">AVERAGE(OFFSET($BH$3,0,0,'Données projet'!$E$11+1,1))-AVERAGE(OFFSET($H$3,0,0,'Données projet'!$E$11+1,1))</f>
        <v>222.34562513006574</v>
      </c>
      <c r="BJ74" s="60">
        <f t="shared" si="92"/>
        <v>213.19969928771548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0" t="e">
        <f t="shared" si="65"/>
        <v>#NUM!</v>
      </c>
      <c r="CD74" s="60">
        <f ca="1">AVERAGE(OFFSET($CC$3,0,0,'Données projet'!$E$12+1,1))-AVERAGE(OFFSET($H$3,0,0,'Données projet'!$E$12+1,1))</f>
        <v>274.84847548786672</v>
      </c>
      <c r="CE74" s="60">
        <f t="shared" si="94"/>
        <v>376.2625056050623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0" t="e">
        <f t="shared" si="68"/>
        <v>#N/A</v>
      </c>
      <c r="CY74" s="60" t="e">
        <f ca="1">AVERAGE(OFFSET($CX$3,0,0,'Données projet'!$E$13+1,1))-AVERAGE(OFFSET($H$3,0,0,'Données projet'!$E$13+1,1))</f>
        <v>#N/A</v>
      </c>
      <c r="CZ74" s="60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8">
        <f t="shared" si="56"/>
        <v>372.04995655117574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3.4000000000000172</v>
      </c>
      <c r="N75" s="14">
        <f>IF('Données projet'!$A$36&gt;35,N74+M75-V74,IF(A75&lt;'Données projet'!$A$36,$K$205^A75,IF(A75='Données projet'!$A$36,'Données projet'!$B$36,N74+M75-V74)))</f>
        <v>259.50000000000017</v>
      </c>
      <c r="O75" s="14">
        <f>N75*VLOOKUP('Données projet'!$B$9,Paramètres!$A$1:$I$89,3,0)*VLOOKUP('Données projet'!$B$9,Paramètres!$A$1:$I$89,5,0)</f>
        <v>206.45820000000015</v>
      </c>
      <c r="P75" s="14">
        <f t="shared" si="87"/>
        <v>51.160848757309601</v>
      </c>
      <c r="Q75" s="22">
        <f t="shared" si="54"/>
        <v>448.68650991898113</v>
      </c>
      <c r="R75" s="60">
        <f t="shared" si="55"/>
        <v>742.01984325231444</v>
      </c>
      <c r="S75" s="60">
        <f ca="1">AVERAGE(OFFSET($R$3,0,0,'Données projet'!$E$9+1,1))-AVERAGE(OFFSET($H$3,0,0,'Données projet'!$E$9+1,1))</f>
        <v>238.47463071449789</v>
      </c>
      <c r="T75" s="60">
        <f t="shared" si="88"/>
        <v>270.92950919803718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3.4000000000000172</v>
      </c>
      <c r="AI75" s="14">
        <f>IF('Données projet'!$A$62&gt;35,AI74+AH75-AQ74,IF(A75&lt;'Données projet'!$A$62,$AF$205^A75,IF(A75='Données projet'!$A$62,'Données projet'!$B$62,AI74+AH75-AQ74)))</f>
        <v>259.50000000000017</v>
      </c>
      <c r="AJ75" s="14">
        <f>AI75*VLOOKUP('Données projet'!$B$10,Paramètres!$A$1:$I$89,3,0)*VLOOKUP('Données projet'!$B$10,Paramètres!$A$1:$I$89,5,0)</f>
        <v>190.26540000000011</v>
      </c>
      <c r="AK75" s="14">
        <f t="shared" si="89"/>
        <v>47.598624255349414</v>
      </c>
      <c r="AL75" s="22">
        <f t="shared" si="58"/>
        <v>414.2798422447338</v>
      </c>
      <c r="AM75" s="60">
        <f t="shared" si="59"/>
        <v>707.61317557806706</v>
      </c>
      <c r="AN75" s="60">
        <f ca="1">AVERAGE(OFFSET($AM$3,0,0,'Données projet'!$E$10+1,1))-AVERAGE(OFFSET($H$3,0,0,'Données projet'!$E$10+1,1))</f>
        <v>216.80783650073869</v>
      </c>
      <c r="AO75" s="60">
        <f t="shared" si="90"/>
        <v>247.59561829759309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4.4337866711430253E-14</v>
      </c>
      <c r="BF75" s="14">
        <f t="shared" si="91"/>
        <v>7.3222115536967035E-13</v>
      </c>
      <c r="BG75" s="22">
        <f t="shared" si="61"/>
        <v>1.3525069634579169E-12</v>
      </c>
      <c r="BH75" s="60">
        <f t="shared" si="62"/>
        <v>293.33333333333468</v>
      </c>
      <c r="BI75" s="60">
        <f ca="1">AVERAGE(OFFSET($BH$3,0,0,'Données projet'!$E$11+1,1))-AVERAGE(OFFSET($H$3,0,0,'Données projet'!$E$11+1,1))</f>
        <v>222.34562513006574</v>
      </c>
      <c r="BJ75" s="60">
        <f t="shared" si="92"/>
        <v>213.19969928771548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0" t="e">
        <f t="shared" si="65"/>
        <v>#NUM!</v>
      </c>
      <c r="CD75" s="60">
        <f ca="1">AVERAGE(OFFSET($CC$3,0,0,'Données projet'!$E$12+1,1))-AVERAGE(OFFSET($H$3,0,0,'Données projet'!$E$12+1,1))</f>
        <v>274.84847548786672</v>
      </c>
      <c r="CE75" s="60">
        <f t="shared" si="94"/>
        <v>376.2625056050623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0" t="e">
        <f t="shared" si="68"/>
        <v>#N/A</v>
      </c>
      <c r="CY75" s="60" t="e">
        <f ca="1">AVERAGE(OFFSET($CX$3,0,0,'Données projet'!$E$13+1,1))-AVERAGE(OFFSET($H$3,0,0,'Données projet'!$E$13+1,1))</f>
        <v>#N/A</v>
      </c>
      <c r="CZ75" s="60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8">
        <f t="shared" si="56"/>
        <v>373.11331598923283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3.4000000000000172</v>
      </c>
      <c r="N76" s="14">
        <f>IF('Données projet'!$A$36&gt;35,N75+M76-V75,IF(A76&lt;'Données projet'!$A$36,$K$205^A76,IF(A76='Données projet'!$A$36,'Données projet'!$B$36,N75+M76-V75)))</f>
        <v>262.9000000000002</v>
      </c>
      <c r="O76" s="14">
        <f>N76*VLOOKUP('Données projet'!$B$9,Paramètres!$A$1:$I$89,3,0)*VLOOKUP('Données projet'!$B$9,Paramètres!$A$1:$I$89,5,0)</f>
        <v>209.16324000000014</v>
      </c>
      <c r="P76" s="14">
        <f t="shared" si="87"/>
        <v>51.752690118703946</v>
      </c>
      <c r="Q76" s="22">
        <f t="shared" si="54"/>
        <v>454.42857829007625</v>
      </c>
      <c r="R76" s="60">
        <f t="shared" si="55"/>
        <v>747.76191162340956</v>
      </c>
      <c r="S76" s="60">
        <f ca="1">AVERAGE(OFFSET($R$3,0,0,'Données projet'!$E$9+1,1))-AVERAGE(OFFSET($H$3,0,0,'Données projet'!$E$9+1,1))</f>
        <v>238.47463071449789</v>
      </c>
      <c r="T76" s="60">
        <f t="shared" si="88"/>
        <v>270.92950919803718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3.4000000000000172</v>
      </c>
      <c r="AI76" s="14">
        <f>IF('Données projet'!$A$62&gt;35,AI75+AH76-AQ75,IF(A76&lt;'Données projet'!$A$62,$AF$205^A76,IF(A76='Données projet'!$A$62,'Données projet'!$B$62,AI75+AH76-AQ75)))</f>
        <v>262.9000000000002</v>
      </c>
      <c r="AJ76" s="14">
        <f>AI76*VLOOKUP('Données projet'!$B$10,Paramètres!$A$1:$I$89,3,0)*VLOOKUP('Données projet'!$B$10,Paramètres!$A$1:$I$89,5,0)</f>
        <v>192.75828000000016</v>
      </c>
      <c r="AK76" s="14">
        <f t="shared" si="89"/>
        <v>48.149256922008618</v>
      </c>
      <c r="AL76" s="22">
        <f t="shared" si="58"/>
        <v>419.58062680583197</v>
      </c>
      <c r="AM76" s="60">
        <f t="shared" si="59"/>
        <v>712.91396013916528</v>
      </c>
      <c r="AN76" s="60">
        <f ca="1">AVERAGE(OFFSET($AM$3,0,0,'Données projet'!$E$10+1,1))-AVERAGE(OFFSET($H$3,0,0,'Données projet'!$E$10+1,1))</f>
        <v>216.80783650073869</v>
      </c>
      <c r="AO76" s="60">
        <f t="shared" si="90"/>
        <v>247.59561829759309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4.4337866711430253E-14</v>
      </c>
      <c r="BF76" s="14">
        <f t="shared" si="91"/>
        <v>7.3222115536967035E-13</v>
      </c>
      <c r="BG76" s="22">
        <f t="shared" si="61"/>
        <v>1.3525069634579169E-12</v>
      </c>
      <c r="BH76" s="60">
        <f t="shared" si="62"/>
        <v>293.33333333333468</v>
      </c>
      <c r="BI76" s="60">
        <f ca="1">AVERAGE(OFFSET($BH$3,0,0,'Données projet'!$E$11+1,1))-AVERAGE(OFFSET($H$3,0,0,'Données projet'!$E$11+1,1))</f>
        <v>222.34562513006574</v>
      </c>
      <c r="BJ76" s="60">
        <f t="shared" si="92"/>
        <v>213.19969928771548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0" t="e">
        <f t="shared" si="65"/>
        <v>#NUM!</v>
      </c>
      <c r="CD76" s="60">
        <f ca="1">AVERAGE(OFFSET($CC$3,0,0,'Données projet'!$E$12+1,1))-AVERAGE(OFFSET($H$3,0,0,'Données projet'!$E$12+1,1))</f>
        <v>274.84847548786672</v>
      </c>
      <c r="CE76" s="60">
        <f t="shared" si="94"/>
        <v>376.2625056050623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0" t="e">
        <f t="shared" si="68"/>
        <v>#N/A</v>
      </c>
      <c r="CY76" s="60" t="e">
        <f ca="1">AVERAGE(OFFSET($CX$3,0,0,'Données projet'!$E$13+1,1))-AVERAGE(OFFSET($H$3,0,0,'Données projet'!$E$13+1,1))</f>
        <v>#N/A</v>
      </c>
      <c r="CZ76" s="60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8">
        <f t="shared" si="56"/>
        <v>374.17631594989302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3.4000000000000172</v>
      </c>
      <c r="N77" s="14">
        <f>IF('Données projet'!$A$36&gt;35,N76+M77-V76,IF(A77&lt;'Données projet'!$A$36,$K$205^A77,IF(A77='Données projet'!$A$36,'Données projet'!$B$36,N76+M77-V76)))</f>
        <v>266.30000000000024</v>
      </c>
      <c r="O77" s="14">
        <f>N77*VLOOKUP('Données projet'!$B$9,Paramètres!$A$1:$I$89,3,0)*VLOOKUP('Données projet'!$B$9,Paramètres!$A$1:$I$89,5,0)</f>
        <v>211.8682800000002</v>
      </c>
      <c r="P77" s="14">
        <f t="shared" si="87"/>
        <v>52.343641187871285</v>
      </c>
      <c r="Q77" s="22">
        <f t="shared" si="54"/>
        <v>460.16909606887612</v>
      </c>
      <c r="R77" s="60">
        <f t="shared" si="55"/>
        <v>753.50242940220937</v>
      </c>
      <c r="S77" s="60">
        <f ca="1">AVERAGE(OFFSET($R$3,0,0,'Données projet'!$E$9+1,1))-AVERAGE(OFFSET($H$3,0,0,'Données projet'!$E$9+1,1))</f>
        <v>238.47463071449789</v>
      </c>
      <c r="T77" s="60">
        <f t="shared" si="88"/>
        <v>270.92950919803718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3.4000000000000172</v>
      </c>
      <c r="AI77" s="14">
        <f>IF('Données projet'!$A$62&gt;35,AI76+AH77-AQ76,IF(A77&lt;'Données projet'!$A$62,$AF$205^A77,IF(A77='Données projet'!$A$62,'Données projet'!$B$62,AI76+AH77-AQ76)))</f>
        <v>266.30000000000024</v>
      </c>
      <c r="AJ77" s="14">
        <f>AI77*VLOOKUP('Données projet'!$B$10,Paramètres!$A$1:$I$89,3,0)*VLOOKUP('Données projet'!$B$10,Paramètres!$A$1:$I$89,5,0)</f>
        <v>195.25116000000017</v>
      </c>
      <c r="AK77" s="14">
        <f t="shared" si="89"/>
        <v>48.699061285654452</v>
      </c>
      <c r="AL77" s="22">
        <f t="shared" si="58"/>
        <v>424.87996873918178</v>
      </c>
      <c r="AM77" s="60">
        <f t="shared" si="59"/>
        <v>718.21330207251503</v>
      </c>
      <c r="AN77" s="60">
        <f ca="1">AVERAGE(OFFSET($AM$3,0,0,'Données projet'!$E$10+1,1))-AVERAGE(OFFSET($H$3,0,0,'Données projet'!$E$10+1,1))</f>
        <v>216.80783650073869</v>
      </c>
      <c r="AO77" s="60">
        <f t="shared" si="90"/>
        <v>247.59561829759309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4.4337866711430253E-14</v>
      </c>
      <c r="BF77" s="14">
        <f t="shared" si="91"/>
        <v>7.3222115536967035E-13</v>
      </c>
      <c r="BG77" s="22">
        <f t="shared" si="61"/>
        <v>1.3525069634579169E-12</v>
      </c>
      <c r="BH77" s="60">
        <f t="shared" si="62"/>
        <v>293.33333333333468</v>
      </c>
      <c r="BI77" s="60">
        <f ca="1">AVERAGE(OFFSET($BH$3,0,0,'Données projet'!$E$11+1,1))-AVERAGE(OFFSET($H$3,0,0,'Données projet'!$E$11+1,1))</f>
        <v>222.34562513006574</v>
      </c>
      <c r="BJ77" s="60">
        <f t="shared" si="92"/>
        <v>213.19969928771548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0" t="e">
        <f t="shared" si="65"/>
        <v>#NUM!</v>
      </c>
      <c r="CD77" s="60">
        <f ca="1">AVERAGE(OFFSET($CC$3,0,0,'Données projet'!$E$12+1,1))-AVERAGE(OFFSET($H$3,0,0,'Données projet'!$E$12+1,1))</f>
        <v>274.84847548786672</v>
      </c>
      <c r="CE77" s="60">
        <f t="shared" si="94"/>
        <v>376.2625056050623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0" t="e">
        <f t="shared" si="68"/>
        <v>#N/A</v>
      </c>
      <c r="CY77" s="60" t="e">
        <f ca="1">AVERAGE(OFFSET($CX$3,0,0,'Données projet'!$E$13+1,1))-AVERAGE(OFFSET($H$3,0,0,'Données projet'!$E$13+1,1))</f>
        <v>#N/A</v>
      </c>
      <c r="CZ77" s="60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8">
        <f t="shared" si="56"/>
        <v>375.238961852476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269.70000000000005</v>
      </c>
      <c r="L78" s="13">
        <f>VLOOKUP(A78,'Données projet'!$A$35:$I$55,9,0)</f>
        <v>3.4000000000000172</v>
      </c>
      <c r="M78" s="13">
        <f t="array" ref="M78">INDEX(L:L,MIN(IF(ISNUMBER(L78:L274),ROW(L78:L274),"")))</f>
        <v>3.4000000000000172</v>
      </c>
      <c r="N78" s="14">
        <f>IF('Données projet'!$A$36&gt;35,N77+M78-V77,IF(A78&lt;'Données projet'!$A$36,$K$205^A78,IF(A78='Données projet'!$A$36,'Données projet'!$B$36,N77+M78-V77)))</f>
        <v>269.70000000000027</v>
      </c>
      <c r="O78" s="14">
        <f>N78*VLOOKUP('Données projet'!$B$9,Paramètres!$A$1:$I$89,3,0)*VLOOKUP('Données projet'!$B$9,Paramètres!$A$1:$I$89,5,0)</f>
        <v>214.57332000000022</v>
      </c>
      <c r="P78" s="14">
        <f t="shared" si="87"/>
        <v>52.933714646037032</v>
      </c>
      <c r="Q78" s="22">
        <f t="shared" si="54"/>
        <v>465.90808534184816</v>
      </c>
      <c r="R78" s="60">
        <f t="shared" si="55"/>
        <v>759.24141867518142</v>
      </c>
      <c r="S78" s="60">
        <f ca="1">AVERAGE(OFFSET($R$3,0,0,'Données projet'!$E$9+1,1))-AVERAGE(OFFSET($H$3,0,0,'Données projet'!$E$9+1,1))</f>
        <v>238.47463071449789</v>
      </c>
      <c r="T78" s="60">
        <f t="shared" si="88"/>
        <v>270.92950919803718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269.70000000000005</v>
      </c>
      <c r="AG78" s="13">
        <f>VLOOKUP(A78,'Données projet'!$A$61:$I$81,9,0)</f>
        <v>3.4000000000000172</v>
      </c>
      <c r="AH78" s="13">
        <f t="array" ref="AH78">INDEX(AG:AG,MIN(IF(ISNUMBER(AG78:AG274),ROW(AG78:AG274),"")))</f>
        <v>3.4000000000000172</v>
      </c>
      <c r="AI78" s="14">
        <f>IF('Données projet'!$A$62&gt;35,AI77+AH78-AQ77,IF(A78&lt;'Données projet'!$A$62,$AF$205^A78,IF(A78='Données projet'!$A$62,'Données projet'!$B$62,AI77+AH78-AQ77)))</f>
        <v>269.70000000000027</v>
      </c>
      <c r="AJ78" s="14">
        <f>AI78*VLOOKUP('Données projet'!$B$10,Paramètres!$A$1:$I$89,3,0)*VLOOKUP('Données projet'!$B$10,Paramètres!$A$1:$I$89,5,0)</f>
        <v>197.74404000000018</v>
      </c>
      <c r="AK78" s="14">
        <f t="shared" si="89"/>
        <v>49.248049144544709</v>
      </c>
      <c r="AL78" s="22">
        <f t="shared" si="58"/>
        <v>430.17788859341562</v>
      </c>
      <c r="AM78" s="60">
        <f t="shared" si="59"/>
        <v>723.51122192674893</v>
      </c>
      <c r="AN78" s="60">
        <f ca="1">AVERAGE(OFFSET($AM$3,0,0,'Données projet'!$E$10+1,1))-AVERAGE(OFFSET($H$3,0,0,'Données projet'!$E$10+1,1))</f>
        <v>216.80783650073869</v>
      </c>
      <c r="AO78" s="60">
        <f t="shared" si="90"/>
        <v>247.59561829759309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4.4337866711430253E-14</v>
      </c>
      <c r="BF78" s="14">
        <f t="shared" si="91"/>
        <v>7.3222115536967035E-13</v>
      </c>
      <c r="BG78" s="22">
        <f t="shared" si="61"/>
        <v>1.3525069634579169E-12</v>
      </c>
      <c r="BH78" s="60">
        <f t="shared" si="62"/>
        <v>293.33333333333468</v>
      </c>
      <c r="BI78" s="60">
        <f ca="1">AVERAGE(OFFSET($BH$3,0,0,'Données projet'!$E$11+1,1))-AVERAGE(OFFSET($H$3,0,0,'Données projet'!$E$11+1,1))</f>
        <v>222.34562513006574</v>
      </c>
      <c r="BJ78" s="60">
        <f t="shared" si="92"/>
        <v>213.19969928771548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0" t="e">
        <f t="shared" si="65"/>
        <v>#NUM!</v>
      </c>
      <c r="CD78" s="60">
        <f ca="1">AVERAGE(OFFSET($CC$3,0,0,'Données projet'!$E$12+1,1))-AVERAGE(OFFSET($H$3,0,0,'Données projet'!$E$12+1,1))</f>
        <v>274.84847548786672</v>
      </c>
      <c r="CE78" s="60">
        <f t="shared" si="94"/>
        <v>376.2625056050623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0" t="e">
        <f t="shared" si="68"/>
        <v>#N/A</v>
      </c>
      <c r="CY78" s="60" t="e">
        <f ca="1">AVERAGE(OFFSET($CX$3,0,0,'Données projet'!$E$13+1,1))-AVERAGE(OFFSET($H$3,0,0,'Données projet'!$E$13+1,1))</f>
        <v>#N/A</v>
      </c>
      <c r="CZ78" s="60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8">
        <f t="shared" si="56"/>
        <v>376.30125896348062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2.9799999999999955</v>
      </c>
      <c r="N79" s="14">
        <f>IF('Données projet'!$A$36&gt;35,N78+M79-V78,IF(A79&lt;'Données projet'!$A$36,$K$205^A79,IF(A79='Données projet'!$A$36,'Données projet'!$B$36,N78+M79-V78)))</f>
        <v>272.68000000000029</v>
      </c>
      <c r="O79" s="14">
        <f>N79*VLOOKUP('Données projet'!$B$9,Paramètres!$A$1:$I$89,3,0)*VLOOKUP('Données projet'!$B$9,Paramètres!$A$1:$I$89,5,0)</f>
        <v>216.94420800000023</v>
      </c>
      <c r="P79" s="14">
        <f t="shared" si="87"/>
        <v>53.450184726422172</v>
      </c>
      <c r="Q79" s="22">
        <f t="shared" si="54"/>
        <v>470.93690066518553</v>
      </c>
      <c r="R79" s="60">
        <f t="shared" si="55"/>
        <v>764.27023399851885</v>
      </c>
      <c r="S79" s="60">
        <f ca="1">AVERAGE(OFFSET($R$3,0,0,'Données projet'!$E$9+1,1))-AVERAGE(OFFSET($H$3,0,0,'Données projet'!$E$9+1,1))</f>
        <v>238.47463071449789</v>
      </c>
      <c r="T79" s="60">
        <f t="shared" si="88"/>
        <v>270.92950919803718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2.9799999999999955</v>
      </c>
      <c r="AI79" s="14">
        <f>IF('Données projet'!$A$62&gt;35,AI78+AH79-AQ78,IF(A79&lt;'Données projet'!$A$62,$AF$205^A79,IF(A79='Données projet'!$A$62,'Données projet'!$B$62,AI78+AH79-AQ78)))</f>
        <v>272.68000000000029</v>
      </c>
      <c r="AJ79" s="14">
        <f>AI79*VLOOKUP('Données projet'!$B$10,Paramètres!$A$1:$I$89,3,0)*VLOOKUP('Données projet'!$B$10,Paramètres!$A$1:$I$89,5,0)</f>
        <v>199.9289760000002</v>
      </c>
      <c r="AK79" s="14">
        <f t="shared" si="89"/>
        <v>49.728558477218208</v>
      </c>
      <c r="AL79" s="22">
        <f t="shared" si="58"/>
        <v>434.82020588115535</v>
      </c>
      <c r="AM79" s="60">
        <f t="shared" si="59"/>
        <v>728.15353921448866</v>
      </c>
      <c r="AN79" s="60">
        <f ca="1">AVERAGE(OFFSET($AM$3,0,0,'Données projet'!$E$10+1,1))-AVERAGE(OFFSET($H$3,0,0,'Données projet'!$E$10+1,1))</f>
        <v>216.80783650073869</v>
      </c>
      <c r="AO79" s="60">
        <f t="shared" si="90"/>
        <v>247.59561829759309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4.4337866711430253E-14</v>
      </c>
      <c r="BF79" s="14">
        <f t="shared" si="91"/>
        <v>7.3222115536967035E-13</v>
      </c>
      <c r="BG79" s="22">
        <f t="shared" si="61"/>
        <v>1.3525069634579169E-12</v>
      </c>
      <c r="BH79" s="60">
        <f t="shared" si="62"/>
        <v>293.33333333333468</v>
      </c>
      <c r="BI79" s="60">
        <f ca="1">AVERAGE(OFFSET($BH$3,0,0,'Données projet'!$E$11+1,1))-AVERAGE(OFFSET($H$3,0,0,'Données projet'!$E$11+1,1))</f>
        <v>222.34562513006574</v>
      </c>
      <c r="BJ79" s="60">
        <f t="shared" si="92"/>
        <v>213.19969928771548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0" t="e">
        <f t="shared" si="65"/>
        <v>#NUM!</v>
      </c>
      <c r="CD79" s="60">
        <f ca="1">AVERAGE(OFFSET($CC$3,0,0,'Données projet'!$E$12+1,1))-AVERAGE(OFFSET($H$3,0,0,'Données projet'!$E$12+1,1))</f>
        <v>274.84847548786672</v>
      </c>
      <c r="CE79" s="60">
        <f t="shared" si="94"/>
        <v>376.2625056050623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0" t="e">
        <f t="shared" si="68"/>
        <v>#N/A</v>
      </c>
      <c r="CY79" s="60" t="e">
        <f ca="1">AVERAGE(OFFSET($CX$3,0,0,'Données projet'!$E$13+1,1))-AVERAGE(OFFSET($H$3,0,0,'Données projet'!$E$13+1,1))</f>
        <v>#N/A</v>
      </c>
      <c r="CZ79" s="60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8">
        <f t="shared" si="56"/>
        <v>377.36321240284718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2.9799999999999955</v>
      </c>
      <c r="N80" s="14">
        <f>IF('Données projet'!$A$36&gt;35,N79+M80-V79,IF(A80&lt;'Données projet'!$A$36,$K$205^A80,IF(A80='Données projet'!$A$36,'Données projet'!$B$36,N79+M80-V79)))</f>
        <v>275.66000000000031</v>
      </c>
      <c r="O80" s="14">
        <f>N80*VLOOKUP('Données projet'!$B$9,Paramètres!$A$1:$I$89,3,0)*VLOOKUP('Données projet'!$B$9,Paramètres!$A$1:$I$89,5,0)</f>
        <v>219.31509600000024</v>
      </c>
      <c r="P80" s="14">
        <f t="shared" si="87"/>
        <v>53.965998217102616</v>
      </c>
      <c r="Q80" s="22">
        <f t="shared" si="54"/>
        <v>475.96457242812079</v>
      </c>
      <c r="R80" s="60">
        <f t="shared" si="55"/>
        <v>769.2979057614541</v>
      </c>
      <c r="S80" s="60">
        <f ca="1">AVERAGE(OFFSET($R$3,0,0,'Données projet'!$E$9+1,1))-AVERAGE(OFFSET($H$3,0,0,'Données projet'!$E$9+1,1))</f>
        <v>238.47463071449789</v>
      </c>
      <c r="T80" s="60">
        <f t="shared" si="88"/>
        <v>270.92950919803718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2.9799999999999955</v>
      </c>
      <c r="AI80" s="14">
        <f>IF('Données projet'!$A$62&gt;35,AI79+AH80-AQ79,IF(A80&lt;'Données projet'!$A$62,$AF$205^A80,IF(A80='Données projet'!$A$62,'Données projet'!$B$62,AI79+AH80-AQ79)))</f>
        <v>275.66000000000031</v>
      </c>
      <c r="AJ80" s="14">
        <f>AI80*VLOOKUP('Données projet'!$B$10,Paramètres!$A$1:$I$89,3,0)*VLOOKUP('Données projet'!$B$10,Paramètres!$A$1:$I$89,5,0)</f>
        <v>202.11391200000025</v>
      </c>
      <c r="AK80" s="14">
        <f t="shared" si="89"/>
        <v>50.208456937175463</v>
      </c>
      <c r="AL80" s="22">
        <f t="shared" si="58"/>
        <v>439.46145923224771</v>
      </c>
      <c r="AM80" s="60">
        <f t="shared" si="59"/>
        <v>732.79479256558102</v>
      </c>
      <c r="AN80" s="60">
        <f ca="1">AVERAGE(OFFSET($AM$3,0,0,'Données projet'!$E$10+1,1))-AVERAGE(OFFSET($H$3,0,0,'Données projet'!$E$10+1,1))</f>
        <v>216.80783650073869</v>
      </c>
      <c r="AO80" s="60">
        <f t="shared" si="90"/>
        <v>247.59561829759309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4.4337866711430253E-14</v>
      </c>
      <c r="BF80" s="14">
        <f t="shared" si="91"/>
        <v>7.3222115536967035E-13</v>
      </c>
      <c r="BG80" s="22">
        <f t="shared" si="61"/>
        <v>1.3525069634579169E-12</v>
      </c>
      <c r="BH80" s="60">
        <f t="shared" si="62"/>
        <v>293.33333333333468</v>
      </c>
      <c r="BI80" s="60">
        <f ca="1">AVERAGE(OFFSET($BH$3,0,0,'Données projet'!$E$11+1,1))-AVERAGE(OFFSET($H$3,0,0,'Données projet'!$E$11+1,1))</f>
        <v>222.34562513006574</v>
      </c>
      <c r="BJ80" s="60">
        <f t="shared" si="92"/>
        <v>213.19969928771548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0" t="e">
        <f t="shared" si="65"/>
        <v>#NUM!</v>
      </c>
      <c r="CD80" s="60">
        <f ca="1">AVERAGE(OFFSET($CC$3,0,0,'Données projet'!$E$12+1,1))-AVERAGE(OFFSET($H$3,0,0,'Données projet'!$E$12+1,1))</f>
        <v>274.84847548786672</v>
      </c>
      <c r="CE80" s="60">
        <f t="shared" si="94"/>
        <v>376.2625056050623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0" t="e">
        <f t="shared" si="68"/>
        <v>#N/A</v>
      </c>
      <c r="CY80" s="60" t="e">
        <f ca="1">AVERAGE(OFFSET($CX$3,0,0,'Données projet'!$E$13+1,1))-AVERAGE(OFFSET($H$3,0,0,'Données projet'!$E$13+1,1))</f>
        <v>#N/A</v>
      </c>
      <c r="CZ80" s="60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8">
        <f t="shared" si="56"/>
        <v>378.42482714988546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2.9799999999999955</v>
      </c>
      <c r="N81" s="14">
        <f>IF('Données projet'!$A$36&gt;35,N80+M81-V80,IF(A81&lt;'Données projet'!$A$36,$K$205^A81,IF(A81='Données projet'!$A$36,'Données projet'!$B$36,N80+M81-V80)))</f>
        <v>278.64000000000033</v>
      </c>
      <c r="O81" s="14">
        <f>N81*VLOOKUP('Données projet'!$B$9,Paramètres!$A$1:$I$89,3,0)*VLOOKUP('Données projet'!$B$9,Paramètres!$A$1:$I$89,5,0)</f>
        <v>221.68598400000027</v>
      </c>
      <c r="P81" s="14">
        <f t="shared" si="87"/>
        <v>54.481163037622622</v>
      </c>
      <c r="Q81" s="22">
        <f t="shared" si="54"/>
        <v>480.99111442385987</v>
      </c>
      <c r="R81" s="60">
        <f t="shared" si="55"/>
        <v>774.32444775719318</v>
      </c>
      <c r="S81" s="60">
        <f ca="1">AVERAGE(OFFSET($R$3,0,0,'Données projet'!$E$9+1,1))-AVERAGE(OFFSET($H$3,0,0,'Données projet'!$E$9+1,1))</f>
        <v>238.47463071449789</v>
      </c>
      <c r="T81" s="60">
        <f t="shared" si="88"/>
        <v>270.92950919803718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2.9799999999999955</v>
      </c>
      <c r="AI81" s="14">
        <f>IF('Données projet'!$A$62&gt;35,AI80+AH81-AQ80,IF(A81&lt;'Données projet'!$A$62,$AF$205^A81,IF(A81='Données projet'!$A$62,'Données projet'!$B$62,AI80+AH81-AQ80)))</f>
        <v>278.64000000000033</v>
      </c>
      <c r="AJ81" s="14">
        <f>AI81*VLOOKUP('Données projet'!$B$10,Paramètres!$A$1:$I$89,3,0)*VLOOKUP('Données projet'!$B$10,Paramètres!$A$1:$I$89,5,0)</f>
        <v>204.29884800000025</v>
      </c>
      <c r="AK81" s="14">
        <f t="shared" si="89"/>
        <v>50.687751892539211</v>
      </c>
      <c r="AL81" s="22">
        <f t="shared" si="58"/>
        <v>444.10166147950622</v>
      </c>
      <c r="AM81" s="60">
        <f t="shared" si="59"/>
        <v>737.43499481283948</v>
      </c>
      <c r="AN81" s="60">
        <f ca="1">AVERAGE(OFFSET($AM$3,0,0,'Données projet'!$E$10+1,1))-AVERAGE(OFFSET($H$3,0,0,'Données projet'!$E$10+1,1))</f>
        <v>216.80783650073869</v>
      </c>
      <c r="AO81" s="60">
        <f t="shared" si="90"/>
        <v>247.59561829759309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4.4337866711430253E-14</v>
      </c>
      <c r="BF81" s="14">
        <f t="shared" si="91"/>
        <v>7.3222115536967035E-13</v>
      </c>
      <c r="BG81" s="22">
        <f t="shared" si="61"/>
        <v>1.3525069634579169E-12</v>
      </c>
      <c r="BH81" s="60">
        <f t="shared" si="62"/>
        <v>293.33333333333468</v>
      </c>
      <c r="BI81" s="60">
        <f ca="1">AVERAGE(OFFSET($BH$3,0,0,'Données projet'!$E$11+1,1))-AVERAGE(OFFSET($H$3,0,0,'Données projet'!$E$11+1,1))</f>
        <v>222.34562513006574</v>
      </c>
      <c r="BJ81" s="60">
        <f t="shared" si="92"/>
        <v>213.19969928771548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0" t="e">
        <f t="shared" si="65"/>
        <v>#NUM!</v>
      </c>
      <c r="CD81" s="60">
        <f ca="1">AVERAGE(OFFSET($CC$3,0,0,'Données projet'!$E$12+1,1))-AVERAGE(OFFSET($H$3,0,0,'Données projet'!$E$12+1,1))</f>
        <v>274.84847548786672</v>
      </c>
      <c r="CE81" s="60">
        <f t="shared" si="94"/>
        <v>376.2625056050623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0" t="e">
        <f t="shared" si="68"/>
        <v>#N/A</v>
      </c>
      <c r="CY81" s="60" t="e">
        <f ca="1">AVERAGE(OFFSET($CX$3,0,0,'Données projet'!$E$13+1,1))-AVERAGE(OFFSET($H$3,0,0,'Données projet'!$E$13+1,1))</f>
        <v>#N/A</v>
      </c>
      <c r="CZ81" s="60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8">
        <f t="shared" si="56"/>
        <v>379.48610804888961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2.9799999999999955</v>
      </c>
      <c r="N82" s="14">
        <f>IF('Données projet'!$A$36&gt;35,N81+M82-V81,IF(A82&lt;'Données projet'!$A$36,$K$205^A82,IF(A82='Données projet'!$A$36,'Données projet'!$B$36,N81+M82-V81)))</f>
        <v>281.62000000000035</v>
      </c>
      <c r="O82" s="14">
        <f>N82*VLOOKUP('Données projet'!$B$9,Paramètres!$A$1:$I$89,3,0)*VLOOKUP('Données projet'!$B$9,Paramètres!$A$1:$I$89,5,0)</f>
        <v>224.05687200000028</v>
      </c>
      <c r="P82" s="14">
        <f t="shared" si="87"/>
        <v>54.995686928373175</v>
      </c>
      <c r="Q82" s="22">
        <f t="shared" si="54"/>
        <v>486.01654013358376</v>
      </c>
      <c r="R82" s="60">
        <f t="shared" si="55"/>
        <v>779.34987346691707</v>
      </c>
      <c r="S82" s="60">
        <f ca="1">AVERAGE(OFFSET($R$3,0,0,'Données projet'!$E$9+1,1))-AVERAGE(OFFSET($H$3,0,0,'Données projet'!$E$9+1,1))</f>
        <v>238.47463071449789</v>
      </c>
      <c r="T82" s="60">
        <f t="shared" si="88"/>
        <v>270.92950919803718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2.9799999999999955</v>
      </c>
      <c r="AI82" s="14">
        <f>IF('Données projet'!$A$62&gt;35,AI81+AH82-AQ81,IF(A82&lt;'Données projet'!$A$62,$AF$205^A82,IF(A82='Données projet'!$A$62,'Données projet'!$B$62,AI81+AH82-AQ81)))</f>
        <v>281.62000000000035</v>
      </c>
      <c r="AJ82" s="14">
        <f>AI82*VLOOKUP('Données projet'!$B$10,Paramètres!$A$1:$I$89,3,0)*VLOOKUP('Données projet'!$B$10,Paramètres!$A$1:$I$89,5,0)</f>
        <v>206.48378400000024</v>
      </c>
      <c r="AK82" s="14">
        <f t="shared" si="89"/>
        <v>51.166450544752927</v>
      </c>
      <c r="AL82" s="22">
        <f t="shared" si="58"/>
        <v>448.74082516544513</v>
      </c>
      <c r="AM82" s="60">
        <f t="shared" si="59"/>
        <v>742.07415849877839</v>
      </c>
      <c r="AN82" s="60">
        <f ca="1">AVERAGE(OFFSET($AM$3,0,0,'Données projet'!$E$10+1,1))-AVERAGE(OFFSET($H$3,0,0,'Données projet'!$E$10+1,1))</f>
        <v>216.80783650073869</v>
      </c>
      <c r="AO82" s="60">
        <f t="shared" si="90"/>
        <v>247.59561829759309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4.4337866711430253E-14</v>
      </c>
      <c r="BF82" s="14">
        <f t="shared" si="91"/>
        <v>7.3222115536967035E-13</v>
      </c>
      <c r="BG82" s="22">
        <f t="shared" si="61"/>
        <v>1.3525069634579169E-12</v>
      </c>
      <c r="BH82" s="60">
        <f t="shared" si="62"/>
        <v>293.33333333333468</v>
      </c>
      <c r="BI82" s="60">
        <f ca="1">AVERAGE(OFFSET($BH$3,0,0,'Données projet'!$E$11+1,1))-AVERAGE(OFFSET($H$3,0,0,'Données projet'!$E$11+1,1))</f>
        <v>222.34562513006574</v>
      </c>
      <c r="BJ82" s="60">
        <f t="shared" si="92"/>
        <v>213.19969928771548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0" t="e">
        <f t="shared" si="65"/>
        <v>#NUM!</v>
      </c>
      <c r="CD82" s="60">
        <f ca="1">AVERAGE(OFFSET($CC$3,0,0,'Données projet'!$E$12+1,1))-AVERAGE(OFFSET($H$3,0,0,'Données projet'!$E$12+1,1))</f>
        <v>274.84847548786672</v>
      </c>
      <c r="CE82" s="60">
        <f t="shared" si="94"/>
        <v>376.2625056050623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0" t="e">
        <f t="shared" si="68"/>
        <v>#N/A</v>
      </c>
      <c r="CY82" s="60" t="e">
        <f ca="1">AVERAGE(OFFSET($CX$3,0,0,'Données projet'!$E$13+1,1))-AVERAGE(OFFSET($H$3,0,0,'Données projet'!$E$13+1,1))</f>
        <v>#N/A</v>
      </c>
      <c r="CZ82" s="60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8">
        <f t="shared" si="56"/>
        <v>380.54705981446097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284.60000000000002</v>
      </c>
      <c r="L83" s="13">
        <f>VLOOKUP(A83,'Données projet'!$A$35:$I$55,9,0)</f>
        <v>2.9799999999999955</v>
      </c>
      <c r="M83" s="13">
        <f t="array" ref="M83">INDEX(L:L,MIN(IF(ISNUMBER(L83:L279),ROW(L83:L279),"")))</f>
        <v>2.9799999999999955</v>
      </c>
      <c r="N83" s="14">
        <f>IF('Données projet'!$A$36&gt;35,N82+M83-V82,IF(A83&lt;'Données projet'!$A$36,$K$205^A83,IF(A83='Données projet'!$A$36,'Données projet'!$B$36,N82+M83-V82)))</f>
        <v>284.60000000000036</v>
      </c>
      <c r="O83" s="14">
        <f>N83*VLOOKUP('Données projet'!$B$9,Paramètres!$A$1:$I$89,3,0)*VLOOKUP('Données projet'!$B$9,Paramètres!$A$1:$I$89,5,0)</f>
        <v>226.42776000000029</v>
      </c>
      <c r="P83" s="14">
        <f t="shared" si="87"/>
        <v>55.50957745649643</v>
      </c>
      <c r="Q83" s="22">
        <f t="shared" si="54"/>
        <v>491.0408627367317</v>
      </c>
      <c r="R83" s="60">
        <f t="shared" si="55"/>
        <v>784.37419607006495</v>
      </c>
      <c r="S83" s="60">
        <f ca="1">AVERAGE(OFFSET($R$3,0,0,'Données projet'!$E$9+1,1))-AVERAGE(OFFSET($H$3,0,0,'Données projet'!$E$9+1,1))</f>
        <v>238.47463071449789</v>
      </c>
      <c r="T83" s="60">
        <f t="shared" si="88"/>
        <v>270.92950919803718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284.60000000000002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284.60000000000002</v>
      </c>
      <c r="AG83" s="13">
        <f>VLOOKUP(A83,'Données projet'!$A$61:$I$81,9,0)</f>
        <v>2.9799999999999955</v>
      </c>
      <c r="AH83" s="13">
        <f t="array" ref="AH83">INDEX(AG:AG,MIN(IF(ISNUMBER(AG83:AG279),ROW(AG83:AG279),"")))</f>
        <v>2.9799999999999955</v>
      </c>
      <c r="AI83" s="14">
        <f>IF('Données projet'!$A$62&gt;35,AI82+AH83-AQ82,IF(A83&lt;'Données projet'!$A$62,$AF$205^A83,IF(A83='Données projet'!$A$62,'Données projet'!$B$62,AI82+AH83-AQ82)))</f>
        <v>284.60000000000036</v>
      </c>
      <c r="AJ83" s="14">
        <f>AI83*VLOOKUP('Données projet'!$B$10,Paramètres!$A$1:$I$89,3,0)*VLOOKUP('Données projet'!$B$10,Paramètres!$A$1:$I$89,5,0)</f>
        <v>208.66872000000026</v>
      </c>
      <c r="AK83" s="14">
        <f t="shared" si="89"/>
        <v>51.644559934074373</v>
      </c>
      <c r="AL83" s="22">
        <f t="shared" si="58"/>
        <v>453.3789625518466</v>
      </c>
      <c r="AM83" s="60">
        <f t="shared" si="59"/>
        <v>746.71229588517986</v>
      </c>
      <c r="AN83" s="60">
        <f ca="1">AVERAGE(OFFSET($AM$3,0,0,'Données projet'!$E$10+1,1))-AVERAGE(OFFSET($H$3,0,0,'Données projet'!$E$10+1,1))</f>
        <v>216.80783650073869</v>
      </c>
      <c r="AO83" s="60">
        <f t="shared" si="90"/>
        <v>247.59561829759309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284.60000000000002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4.4337866711430253E-14</v>
      </c>
      <c r="BF83" s="14">
        <f t="shared" si="91"/>
        <v>7.3222115536967035E-13</v>
      </c>
      <c r="BG83" s="22">
        <f t="shared" si="61"/>
        <v>1.3525069634579169E-12</v>
      </c>
      <c r="BH83" s="60">
        <f t="shared" si="62"/>
        <v>293.33333333333468</v>
      </c>
      <c r="BI83" s="60">
        <f ca="1">AVERAGE(OFFSET($BH$3,0,0,'Données projet'!$E$11+1,1))-AVERAGE(OFFSET($H$3,0,0,'Données projet'!$E$11+1,1))</f>
        <v>222.34562513006574</v>
      </c>
      <c r="BJ83" s="60">
        <f t="shared" si="92"/>
        <v>213.19969928771548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0" t="e">
        <f t="shared" si="65"/>
        <v>#NUM!</v>
      </c>
      <c r="CD83" s="60">
        <f ca="1">AVERAGE(OFFSET($CC$3,0,0,'Données projet'!$E$12+1,1))-AVERAGE(OFFSET($H$3,0,0,'Données projet'!$E$12+1,1))</f>
        <v>274.84847548786672</v>
      </c>
      <c r="CE83" s="60">
        <f t="shared" si="94"/>
        <v>376.2625056050623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0" t="e">
        <f t="shared" si="68"/>
        <v>#N/A</v>
      </c>
      <c r="CY83" s="60" t="e">
        <f ca="1">AVERAGE(OFFSET($CX$3,0,0,'Données projet'!$E$13+1,1))-AVERAGE(OFFSET($H$3,0,0,'Données projet'!$E$13+1,1))</f>
        <v>#N/A</v>
      </c>
      <c r="CZ83" s="60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8">
        <f t="shared" si="56"/>
        <v>381.60768703655714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3.4106051316484809E-13</v>
      </c>
      <c r="O84" s="14">
        <f>N84*VLOOKUP('Données projet'!$B$9,Paramètres!$A$1:$I$89,3,0)*VLOOKUP('Données projet'!$B$9,Paramètres!$A$1:$I$89,5,0)</f>
        <v>2.7134774427395314E-13</v>
      </c>
      <c r="P84" s="14">
        <f t="shared" si="87"/>
        <v>3.6292411711343559E-12</v>
      </c>
      <c r="Q84" s="22">
        <f t="shared" si="54"/>
        <v>6.7935256943361388E-12</v>
      </c>
      <c r="R84" s="60">
        <f t="shared" si="55"/>
        <v>293.33333333334014</v>
      </c>
      <c r="S84" s="60">
        <f ca="1">AVERAGE(OFFSET($R$3,0,0,'Données projet'!$E$9+1,1))-AVERAGE(OFFSET($H$3,0,0,'Données projet'!$E$9+1,1))</f>
        <v>238.47463071449789</v>
      </c>
      <c r="T84" s="60">
        <f t="shared" si="88"/>
        <v>270.92950919803718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2.5006556825246659E-13</v>
      </c>
      <c r="AK84" s="14">
        <f t="shared" si="89"/>
        <v>3.3765445850268018E-12</v>
      </c>
      <c r="AL84" s="22">
        <f t="shared" si="58"/>
        <v>6.3163460169613921E-12</v>
      </c>
      <c r="AM84" s="60">
        <f t="shared" si="59"/>
        <v>293.33333333333962</v>
      </c>
      <c r="AN84" s="60">
        <f ca="1">AVERAGE(OFFSET($AM$3,0,0,'Données projet'!$E$10+1,1))-AVERAGE(OFFSET($H$3,0,0,'Données projet'!$E$10+1,1))</f>
        <v>216.80783650073869</v>
      </c>
      <c r="AO84" s="60">
        <f t="shared" si="90"/>
        <v>247.59561829759309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4.4337866711430253E-14</v>
      </c>
      <c r="BF84" s="14">
        <f t="shared" si="91"/>
        <v>7.3222115536967035E-13</v>
      </c>
      <c r="BG84" s="22">
        <f t="shared" si="61"/>
        <v>1.3525069634579169E-12</v>
      </c>
      <c r="BH84" s="60">
        <f t="shared" si="62"/>
        <v>293.33333333333468</v>
      </c>
      <c r="BI84" s="60">
        <f ca="1">AVERAGE(OFFSET($BH$3,0,0,'Données projet'!$E$11+1,1))-AVERAGE(OFFSET($H$3,0,0,'Données projet'!$E$11+1,1))</f>
        <v>222.34562513006574</v>
      </c>
      <c r="BJ84" s="60">
        <f t="shared" si="92"/>
        <v>213.19969928771548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274.84847548786672</v>
      </c>
      <c r="CE84" s="60">
        <f t="shared" si="94"/>
        <v>376.2625056050623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0" t="e">
        <f t="shared" si="68"/>
        <v>#N/A</v>
      </c>
      <c r="CY84" s="60" t="e">
        <f ca="1">AVERAGE(OFFSET($CX$3,0,0,'Données projet'!$E$13+1,1))-AVERAGE(OFFSET($H$3,0,0,'Données projet'!$E$13+1,1))</f>
        <v>#N/A</v>
      </c>
      <c r="CZ84" s="60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8">
        <f t="shared" si="56"/>
        <v>382.66799418528461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3.4106051316484809E-13</v>
      </c>
      <c r="O85" s="14">
        <f>N85*VLOOKUP('Données projet'!$B$9,Paramètres!$A$1:$I$89,3,0)*VLOOKUP('Données projet'!$B$9,Paramètres!$A$1:$I$89,5,0)</f>
        <v>2.7134774427395314E-13</v>
      </c>
      <c r="P85" s="14">
        <f t="shared" si="87"/>
        <v>3.6292411711343559E-12</v>
      </c>
      <c r="Q85" s="22">
        <f t="shared" si="54"/>
        <v>6.7935256943361388E-12</v>
      </c>
      <c r="R85" s="60">
        <f t="shared" si="55"/>
        <v>293.33333333334014</v>
      </c>
      <c r="S85" s="60">
        <f ca="1">AVERAGE(OFFSET($R$3,0,0,'Données projet'!$E$9+1,1))-AVERAGE(OFFSET($H$3,0,0,'Données projet'!$E$9+1,1))</f>
        <v>238.47463071449789</v>
      </c>
      <c r="T85" s="60">
        <f t="shared" si="88"/>
        <v>270.92950919803718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2.5006556825246659E-13</v>
      </c>
      <c r="AK85" s="14">
        <f t="shared" si="89"/>
        <v>3.3765445850268018E-12</v>
      </c>
      <c r="AL85" s="22">
        <f t="shared" si="58"/>
        <v>6.3163460169613921E-12</v>
      </c>
      <c r="AM85" s="60">
        <f t="shared" si="59"/>
        <v>293.33333333333962</v>
      </c>
      <c r="AN85" s="60">
        <f ca="1">AVERAGE(OFFSET($AM$3,0,0,'Données projet'!$E$10+1,1))-AVERAGE(OFFSET($H$3,0,0,'Données projet'!$E$10+1,1))</f>
        <v>216.80783650073869</v>
      </c>
      <c r="AO85" s="60">
        <f t="shared" si="90"/>
        <v>247.59561829759309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4.4337866711430253E-14</v>
      </c>
      <c r="BF85" s="14">
        <f t="shared" si="91"/>
        <v>7.3222115536967035E-13</v>
      </c>
      <c r="BG85" s="22">
        <f t="shared" si="61"/>
        <v>1.3525069634579169E-12</v>
      </c>
      <c r="BH85" s="60">
        <f t="shared" si="62"/>
        <v>293.33333333333468</v>
      </c>
      <c r="BI85" s="60">
        <f ca="1">AVERAGE(OFFSET($BH$3,0,0,'Données projet'!$E$11+1,1))-AVERAGE(OFFSET($H$3,0,0,'Données projet'!$E$11+1,1))</f>
        <v>222.34562513006574</v>
      </c>
      <c r="BJ85" s="60">
        <f t="shared" si="92"/>
        <v>213.19969928771548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274.84847548786672</v>
      </c>
      <c r="CE85" s="60">
        <f t="shared" si="94"/>
        <v>376.2625056050623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0" t="e">
        <f t="shared" si="68"/>
        <v>#N/A</v>
      </c>
      <c r="CY85" s="60" t="e">
        <f ca="1">AVERAGE(OFFSET($CX$3,0,0,'Données projet'!$E$13+1,1))-AVERAGE(OFFSET($H$3,0,0,'Données projet'!$E$13+1,1))</f>
        <v>#N/A</v>
      </c>
      <c r="CZ85" s="60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8">
        <f t="shared" si="56"/>
        <v>383.7279856154509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3.4106051316484809E-13</v>
      </c>
      <c r="O86" s="14">
        <f>N86*VLOOKUP('Données projet'!$B$9,Paramètres!$A$1:$I$89,3,0)*VLOOKUP('Données projet'!$B$9,Paramètres!$A$1:$I$89,5,0)</f>
        <v>2.7134774427395314E-13</v>
      </c>
      <c r="P86" s="14">
        <f t="shared" si="87"/>
        <v>3.6292411711343559E-12</v>
      </c>
      <c r="Q86" s="22">
        <f t="shared" si="54"/>
        <v>6.7935256943361388E-12</v>
      </c>
      <c r="R86" s="60">
        <f t="shared" si="55"/>
        <v>293.33333333334014</v>
      </c>
      <c r="S86" s="60">
        <f ca="1">AVERAGE(OFFSET($R$3,0,0,'Données projet'!$E$9+1,1))-AVERAGE(OFFSET($H$3,0,0,'Données projet'!$E$9+1,1))</f>
        <v>238.47463071449789</v>
      </c>
      <c r="T86" s="60">
        <f t="shared" si="88"/>
        <v>270.92950919803718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2.5006556825246659E-13</v>
      </c>
      <c r="AK86" s="14">
        <f t="shared" si="89"/>
        <v>3.3765445850268018E-12</v>
      </c>
      <c r="AL86" s="22">
        <f t="shared" si="58"/>
        <v>6.3163460169613921E-12</v>
      </c>
      <c r="AM86" s="60">
        <f t="shared" si="59"/>
        <v>293.33333333333962</v>
      </c>
      <c r="AN86" s="60">
        <f ca="1">AVERAGE(OFFSET($AM$3,0,0,'Données projet'!$E$10+1,1))-AVERAGE(OFFSET($H$3,0,0,'Données projet'!$E$10+1,1))</f>
        <v>216.80783650073869</v>
      </c>
      <c r="AO86" s="60">
        <f t="shared" si="90"/>
        <v>247.59561829759309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4.4337866711430253E-14</v>
      </c>
      <c r="BF86" s="14">
        <f t="shared" si="91"/>
        <v>7.3222115536967035E-13</v>
      </c>
      <c r="BG86" s="22">
        <f t="shared" si="61"/>
        <v>1.3525069634579169E-12</v>
      </c>
      <c r="BH86" s="60">
        <f t="shared" si="62"/>
        <v>293.33333333333468</v>
      </c>
      <c r="BI86" s="60">
        <f ca="1">AVERAGE(OFFSET($BH$3,0,0,'Données projet'!$E$11+1,1))-AVERAGE(OFFSET($H$3,0,0,'Données projet'!$E$11+1,1))</f>
        <v>222.34562513006574</v>
      </c>
      <c r="BJ86" s="60">
        <f t="shared" si="92"/>
        <v>213.19969928771548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274.84847548786672</v>
      </c>
      <c r="CE86" s="60">
        <f t="shared" si="94"/>
        <v>376.2625056050623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0" t="e">
        <f t="shared" si="68"/>
        <v>#N/A</v>
      </c>
      <c r="CY86" s="60" t="e">
        <f ca="1">AVERAGE(OFFSET($CX$3,0,0,'Données projet'!$E$13+1,1))-AVERAGE(OFFSET($H$3,0,0,'Données projet'!$E$13+1,1))</f>
        <v>#N/A</v>
      </c>
      <c r="CZ86" s="60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8">
        <f t="shared" si="56"/>
        <v>384.78766557089091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3.4106051316484809E-13</v>
      </c>
      <c r="O87" s="14">
        <f>N87*VLOOKUP('Données projet'!$B$9,Paramètres!$A$1:$I$89,3,0)*VLOOKUP('Données projet'!$B$9,Paramètres!$A$1:$I$89,5,0)</f>
        <v>2.7134774427395314E-13</v>
      </c>
      <c r="P87" s="14">
        <f t="shared" si="87"/>
        <v>3.6292411711343559E-12</v>
      </c>
      <c r="Q87" s="22">
        <f t="shared" si="54"/>
        <v>6.7935256943361388E-12</v>
      </c>
      <c r="R87" s="60">
        <f t="shared" si="55"/>
        <v>293.33333333334014</v>
      </c>
      <c r="S87" s="60">
        <f ca="1">AVERAGE(OFFSET($R$3,0,0,'Données projet'!$E$9+1,1))-AVERAGE(OFFSET($H$3,0,0,'Données projet'!$E$9+1,1))</f>
        <v>238.47463071449789</v>
      </c>
      <c r="T87" s="60">
        <f t="shared" si="88"/>
        <v>270.92950919803718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2.5006556825246659E-13</v>
      </c>
      <c r="AK87" s="14">
        <f t="shared" si="89"/>
        <v>3.3765445850268018E-12</v>
      </c>
      <c r="AL87" s="22">
        <f t="shared" si="58"/>
        <v>6.3163460169613921E-12</v>
      </c>
      <c r="AM87" s="60">
        <f t="shared" si="59"/>
        <v>293.33333333333962</v>
      </c>
      <c r="AN87" s="60">
        <f ca="1">AVERAGE(OFFSET($AM$3,0,0,'Données projet'!$E$10+1,1))-AVERAGE(OFFSET($H$3,0,0,'Données projet'!$E$10+1,1))</f>
        <v>216.80783650073869</v>
      </c>
      <c r="AO87" s="60">
        <f t="shared" si="90"/>
        <v>247.59561829759309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4.4337866711430253E-14</v>
      </c>
      <c r="BF87" s="14">
        <f t="shared" si="91"/>
        <v>7.3222115536967035E-13</v>
      </c>
      <c r="BG87" s="22">
        <f t="shared" si="61"/>
        <v>1.3525069634579169E-12</v>
      </c>
      <c r="BH87" s="60">
        <f t="shared" si="62"/>
        <v>293.33333333333468</v>
      </c>
      <c r="BI87" s="60">
        <f ca="1">AVERAGE(OFFSET($BH$3,0,0,'Données projet'!$E$11+1,1))-AVERAGE(OFFSET($H$3,0,0,'Données projet'!$E$11+1,1))</f>
        <v>222.34562513006574</v>
      </c>
      <c r="BJ87" s="60">
        <f t="shared" si="92"/>
        <v>213.19969928771548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274.84847548786672</v>
      </c>
      <c r="CE87" s="60">
        <f t="shared" si="94"/>
        <v>376.2625056050623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0" t="e">
        <f t="shared" si="68"/>
        <v>#N/A</v>
      </c>
      <c r="CY87" s="60" t="e">
        <f ca="1">AVERAGE(OFFSET($CX$3,0,0,'Données projet'!$E$13+1,1))-AVERAGE(OFFSET($H$3,0,0,'Données projet'!$E$13+1,1))</f>
        <v>#N/A</v>
      </c>
      <c r="CZ87" s="60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8">
        <f t="shared" si="56"/>
        <v>385.84703818858173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3.4106051316484809E-13</v>
      </c>
      <c r="O88" s="14">
        <f>N88*VLOOKUP('Données projet'!$B$9,Paramètres!$A$1:$I$89,3,0)*VLOOKUP('Données projet'!$B$9,Paramètres!$A$1:$I$89,5,0)</f>
        <v>2.7134774427395314E-13</v>
      </c>
      <c r="P88" s="14">
        <f t="shared" si="87"/>
        <v>3.6292411711343559E-12</v>
      </c>
      <c r="Q88" s="22">
        <f t="shared" si="54"/>
        <v>6.7935256943361388E-12</v>
      </c>
      <c r="R88" s="60">
        <f t="shared" si="55"/>
        <v>293.33333333334014</v>
      </c>
      <c r="S88" s="60">
        <f ca="1">AVERAGE(OFFSET($R$3,0,0,'Données projet'!$E$9+1,1))-AVERAGE(OFFSET($H$3,0,0,'Données projet'!$E$9+1,1))</f>
        <v>238.47463071449789</v>
      </c>
      <c r="T88" s="60">
        <f t="shared" si="88"/>
        <v>270.92950919803718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2.5006556825246659E-13</v>
      </c>
      <c r="AK88" s="14">
        <f t="shared" si="89"/>
        <v>3.3765445850268018E-12</v>
      </c>
      <c r="AL88" s="22">
        <f t="shared" si="58"/>
        <v>6.3163460169613921E-12</v>
      </c>
      <c r="AM88" s="60">
        <f t="shared" si="59"/>
        <v>293.33333333333962</v>
      </c>
      <c r="AN88" s="60">
        <f ca="1">AVERAGE(OFFSET($AM$3,0,0,'Données projet'!$E$10+1,1))-AVERAGE(OFFSET($H$3,0,0,'Données projet'!$E$10+1,1))</f>
        <v>216.80783650073869</v>
      </c>
      <c r="AO88" s="60">
        <f t="shared" si="90"/>
        <v>247.59561829759309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4.4337866711430253E-14</v>
      </c>
      <c r="BF88" s="14">
        <f t="shared" si="91"/>
        <v>7.3222115536967035E-13</v>
      </c>
      <c r="BG88" s="22">
        <f t="shared" si="61"/>
        <v>1.3525069634579169E-12</v>
      </c>
      <c r="BH88" s="60">
        <f t="shared" si="62"/>
        <v>293.33333333333468</v>
      </c>
      <c r="BI88" s="60">
        <f ca="1">AVERAGE(OFFSET($BH$3,0,0,'Données projet'!$E$11+1,1))-AVERAGE(OFFSET($H$3,0,0,'Données projet'!$E$11+1,1))</f>
        <v>222.34562513006574</v>
      </c>
      <c r="BJ88" s="60">
        <f t="shared" si="92"/>
        <v>213.19969928771548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274.84847548786672</v>
      </c>
      <c r="CE88" s="60">
        <f t="shared" si="94"/>
        <v>376.2625056050623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0" t="e">
        <f t="shared" si="68"/>
        <v>#N/A</v>
      </c>
      <c r="CY88" s="60" t="e">
        <f ca="1">AVERAGE(OFFSET($CX$3,0,0,'Données projet'!$E$13+1,1))-AVERAGE(OFFSET($H$3,0,0,'Données projet'!$E$13+1,1))</f>
        <v>#N/A</v>
      </c>
      <c r="CZ88" s="60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8">
        <f t="shared" si="56"/>
        <v>386.90610750255792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3.4106051316484809E-13</v>
      </c>
      <c r="O89" s="14">
        <f>N89*VLOOKUP('Données projet'!$B$9,Paramètres!$A$1:$I$89,3,0)*VLOOKUP('Données projet'!$B$9,Paramètres!$A$1:$I$89,5,0)</f>
        <v>2.7134774427395314E-13</v>
      </c>
      <c r="P89" s="14">
        <f t="shared" si="87"/>
        <v>3.6292411711343559E-12</v>
      </c>
      <c r="Q89" s="22">
        <f t="shared" si="54"/>
        <v>6.7935256943361388E-12</v>
      </c>
      <c r="R89" s="60">
        <f t="shared" si="55"/>
        <v>293.33333333334014</v>
      </c>
      <c r="S89" s="60">
        <f ca="1">AVERAGE(OFFSET($R$3,0,0,'Données projet'!$E$9+1,1))-AVERAGE(OFFSET($H$3,0,0,'Données projet'!$E$9+1,1))</f>
        <v>238.47463071449789</v>
      </c>
      <c r="T89" s="60">
        <f t="shared" si="88"/>
        <v>270.92950919803718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2.5006556825246659E-13</v>
      </c>
      <c r="AK89" s="14">
        <f t="shared" si="89"/>
        <v>3.3765445850268018E-12</v>
      </c>
      <c r="AL89" s="22">
        <f t="shared" si="58"/>
        <v>6.3163460169613921E-12</v>
      </c>
      <c r="AM89" s="60">
        <f t="shared" si="59"/>
        <v>293.33333333333962</v>
      </c>
      <c r="AN89" s="60">
        <f ca="1">AVERAGE(OFFSET($AM$3,0,0,'Données projet'!$E$10+1,1))-AVERAGE(OFFSET($H$3,0,0,'Données projet'!$E$10+1,1))</f>
        <v>216.80783650073869</v>
      </c>
      <c r="AO89" s="60">
        <f t="shared" si="90"/>
        <v>247.59561829759309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4.4337866711430253E-14</v>
      </c>
      <c r="BF89" s="14">
        <f t="shared" si="91"/>
        <v>7.3222115536967035E-13</v>
      </c>
      <c r="BG89" s="22">
        <f t="shared" si="61"/>
        <v>1.3525069634579169E-12</v>
      </c>
      <c r="BH89" s="60">
        <f t="shared" si="62"/>
        <v>293.33333333333468</v>
      </c>
      <c r="BI89" s="60">
        <f ca="1">AVERAGE(OFFSET($BH$3,0,0,'Données projet'!$E$11+1,1))-AVERAGE(OFFSET($H$3,0,0,'Données projet'!$E$11+1,1))</f>
        <v>222.34562513006574</v>
      </c>
      <c r="BJ89" s="60">
        <f t="shared" si="92"/>
        <v>213.19969928771548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274.84847548786672</v>
      </c>
      <c r="CE89" s="60">
        <f t="shared" si="94"/>
        <v>376.2625056050623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0" t="e">
        <f t="shared" si="68"/>
        <v>#N/A</v>
      </c>
      <c r="CY89" s="60" t="e">
        <f ca="1">AVERAGE(OFFSET($CX$3,0,0,'Données projet'!$E$13+1,1))-AVERAGE(OFFSET($H$3,0,0,'Données projet'!$E$13+1,1))</f>
        <v>#N/A</v>
      </c>
      <c r="CZ89" s="60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8">
        <f t="shared" si="56"/>
        <v>387.96487744763988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3.4106051316484809E-13</v>
      </c>
      <c r="O90" s="14">
        <f>N90*VLOOKUP('Données projet'!$B$9,Paramètres!$A$1:$I$89,3,0)*VLOOKUP('Données projet'!$B$9,Paramètres!$A$1:$I$89,5,0)</f>
        <v>2.7134774427395314E-13</v>
      </c>
      <c r="P90" s="14">
        <f t="shared" si="87"/>
        <v>3.6292411711343559E-12</v>
      </c>
      <c r="Q90" s="22">
        <f t="shared" si="54"/>
        <v>6.7935256943361388E-12</v>
      </c>
      <c r="R90" s="60">
        <f t="shared" si="55"/>
        <v>293.33333333334014</v>
      </c>
      <c r="S90" s="60">
        <f ca="1">AVERAGE(OFFSET($R$3,0,0,'Données projet'!$E$9+1,1))-AVERAGE(OFFSET($H$3,0,0,'Données projet'!$E$9+1,1))</f>
        <v>238.47463071449789</v>
      </c>
      <c r="T90" s="60">
        <f t="shared" si="88"/>
        <v>270.92950919803718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2.5006556825246659E-13</v>
      </c>
      <c r="AK90" s="14">
        <f t="shared" si="89"/>
        <v>3.3765445850268018E-12</v>
      </c>
      <c r="AL90" s="22">
        <f t="shared" si="58"/>
        <v>6.3163460169613921E-12</v>
      </c>
      <c r="AM90" s="60">
        <f t="shared" si="59"/>
        <v>293.33333333333962</v>
      </c>
      <c r="AN90" s="60">
        <f ca="1">AVERAGE(OFFSET($AM$3,0,0,'Données projet'!$E$10+1,1))-AVERAGE(OFFSET($H$3,0,0,'Données projet'!$E$10+1,1))</f>
        <v>216.80783650073869</v>
      </c>
      <c r="AO90" s="60">
        <f t="shared" si="90"/>
        <v>247.59561829759309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4.4337866711430253E-14</v>
      </c>
      <c r="BF90" s="14">
        <f t="shared" si="91"/>
        <v>7.3222115536967035E-13</v>
      </c>
      <c r="BG90" s="22">
        <f t="shared" si="61"/>
        <v>1.3525069634579169E-12</v>
      </c>
      <c r="BH90" s="60">
        <f t="shared" si="62"/>
        <v>293.33333333333468</v>
      </c>
      <c r="BI90" s="60">
        <f ca="1">AVERAGE(OFFSET($BH$3,0,0,'Données projet'!$E$11+1,1))-AVERAGE(OFFSET($H$3,0,0,'Données projet'!$E$11+1,1))</f>
        <v>222.34562513006574</v>
      </c>
      <c r="BJ90" s="60">
        <f t="shared" si="92"/>
        <v>213.19969928771548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274.84847548786672</v>
      </c>
      <c r="CE90" s="60">
        <f t="shared" si="94"/>
        <v>376.2625056050623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0" t="e">
        <f t="shared" si="68"/>
        <v>#N/A</v>
      </c>
      <c r="CY90" s="60" t="e">
        <f ca="1">AVERAGE(OFFSET($CX$3,0,0,'Données projet'!$E$13+1,1))-AVERAGE(OFFSET($H$3,0,0,'Données projet'!$E$13+1,1))</f>
        <v>#N/A</v>
      </c>
      <c r="CZ90" s="60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8">
        <f t="shared" si="56"/>
        <v>389.02335186298552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3.4106051316484809E-13</v>
      </c>
      <c r="O91" s="14">
        <f>N91*VLOOKUP('Données projet'!$B$9,Paramètres!$A$1:$I$89,3,0)*VLOOKUP('Données projet'!$B$9,Paramètres!$A$1:$I$89,5,0)</f>
        <v>2.7134774427395314E-13</v>
      </c>
      <c r="P91" s="14">
        <f t="shared" si="87"/>
        <v>3.6292411711343559E-12</v>
      </c>
      <c r="Q91" s="22">
        <f t="shared" si="54"/>
        <v>6.7935256943361388E-12</v>
      </c>
      <c r="R91" s="60">
        <f t="shared" si="55"/>
        <v>293.33333333334014</v>
      </c>
      <c r="S91" s="60">
        <f ca="1">AVERAGE(OFFSET($R$3,0,0,'Données projet'!$E$9+1,1))-AVERAGE(OFFSET($H$3,0,0,'Données projet'!$E$9+1,1))</f>
        <v>238.47463071449789</v>
      </c>
      <c r="T91" s="60">
        <f t="shared" si="88"/>
        <v>270.92950919803718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2.5006556825246659E-13</v>
      </c>
      <c r="AK91" s="14">
        <f t="shared" si="89"/>
        <v>3.3765445850268018E-12</v>
      </c>
      <c r="AL91" s="22">
        <f t="shared" si="58"/>
        <v>6.3163460169613921E-12</v>
      </c>
      <c r="AM91" s="60">
        <f t="shared" si="59"/>
        <v>293.33333333333962</v>
      </c>
      <c r="AN91" s="60">
        <f ca="1">AVERAGE(OFFSET($AM$3,0,0,'Données projet'!$E$10+1,1))-AVERAGE(OFFSET($H$3,0,0,'Données projet'!$E$10+1,1))</f>
        <v>216.80783650073869</v>
      </c>
      <c r="AO91" s="60">
        <f t="shared" si="90"/>
        <v>247.59561829759309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4.4337866711430253E-14</v>
      </c>
      <c r="BF91" s="14">
        <f t="shared" si="91"/>
        <v>7.3222115536967035E-13</v>
      </c>
      <c r="BG91" s="22">
        <f t="shared" si="61"/>
        <v>1.3525069634579169E-12</v>
      </c>
      <c r="BH91" s="60">
        <f t="shared" si="62"/>
        <v>293.33333333333468</v>
      </c>
      <c r="BI91" s="60">
        <f ca="1">AVERAGE(OFFSET($BH$3,0,0,'Données projet'!$E$11+1,1))-AVERAGE(OFFSET($H$3,0,0,'Données projet'!$E$11+1,1))</f>
        <v>222.34562513006574</v>
      </c>
      <c r="BJ91" s="60">
        <f t="shared" si="92"/>
        <v>213.19969928771548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274.84847548786672</v>
      </c>
      <c r="CE91" s="60">
        <f t="shared" si="94"/>
        <v>376.2625056050623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0" t="e">
        <f t="shared" si="68"/>
        <v>#N/A</v>
      </c>
      <c r="CY91" s="60" t="e">
        <f ca="1">AVERAGE(OFFSET($CX$3,0,0,'Données projet'!$E$13+1,1))-AVERAGE(OFFSET($H$3,0,0,'Données projet'!$E$13+1,1))</f>
        <v>#N/A</v>
      </c>
      <c r="CZ91" s="60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8">
        <f t="shared" si="56"/>
        <v>390.08153449547615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3.4106051316484809E-13</v>
      </c>
      <c r="O92" s="14">
        <f>N92*VLOOKUP('Données projet'!$B$9,Paramètres!$A$1:$I$89,3,0)*VLOOKUP('Données projet'!$B$9,Paramètres!$A$1:$I$89,5,0)</f>
        <v>2.7134774427395314E-13</v>
      </c>
      <c r="P92" s="14">
        <f t="shared" si="87"/>
        <v>3.6292411711343559E-12</v>
      </c>
      <c r="Q92" s="22">
        <f t="shared" si="54"/>
        <v>6.7935256943361388E-12</v>
      </c>
      <c r="R92" s="60">
        <f t="shared" si="55"/>
        <v>293.33333333334014</v>
      </c>
      <c r="S92" s="60">
        <f ca="1">AVERAGE(OFFSET($R$3,0,0,'Données projet'!$E$9+1,1))-AVERAGE(OFFSET($H$3,0,0,'Données projet'!$E$9+1,1))</f>
        <v>238.47463071449789</v>
      </c>
      <c r="T92" s="60">
        <f t="shared" si="88"/>
        <v>270.92950919803718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2.5006556825246659E-13</v>
      </c>
      <c r="AK92" s="14">
        <f t="shared" si="89"/>
        <v>3.3765445850268018E-12</v>
      </c>
      <c r="AL92" s="22">
        <f t="shared" si="58"/>
        <v>6.3163460169613921E-12</v>
      </c>
      <c r="AM92" s="60">
        <f t="shared" si="59"/>
        <v>293.33333333333962</v>
      </c>
      <c r="AN92" s="60">
        <f ca="1">AVERAGE(OFFSET($AM$3,0,0,'Données projet'!$E$10+1,1))-AVERAGE(OFFSET($H$3,0,0,'Données projet'!$E$10+1,1))</f>
        <v>216.80783650073869</v>
      </c>
      <c r="AO92" s="60">
        <f t="shared" si="90"/>
        <v>247.59561829759309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4.4337866711430253E-14</v>
      </c>
      <c r="BF92" s="14">
        <f t="shared" si="91"/>
        <v>7.3222115536967035E-13</v>
      </c>
      <c r="BG92" s="22">
        <f t="shared" si="61"/>
        <v>1.3525069634579169E-12</v>
      </c>
      <c r="BH92" s="60">
        <f t="shared" si="62"/>
        <v>293.33333333333468</v>
      </c>
      <c r="BI92" s="60">
        <f ca="1">AVERAGE(OFFSET($BH$3,0,0,'Données projet'!$E$11+1,1))-AVERAGE(OFFSET($H$3,0,0,'Données projet'!$E$11+1,1))</f>
        <v>222.34562513006574</v>
      </c>
      <c r="BJ92" s="60">
        <f t="shared" si="92"/>
        <v>213.19969928771548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274.84847548786672</v>
      </c>
      <c r="CE92" s="60">
        <f t="shared" si="94"/>
        <v>376.2625056050623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0" t="e">
        <f t="shared" si="68"/>
        <v>#N/A</v>
      </c>
      <c r="CY92" s="60" t="e">
        <f ca="1">AVERAGE(OFFSET($CX$3,0,0,'Données projet'!$E$13+1,1))-AVERAGE(OFFSET($H$3,0,0,'Données projet'!$E$13+1,1))</f>
        <v>#N/A</v>
      </c>
      <c r="CZ92" s="60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8">
        <f t="shared" si="56"/>
        <v>391.13942900294575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3.4106051316484809E-13</v>
      </c>
      <c r="O93" s="14">
        <f>N93*VLOOKUP('Données projet'!$B$9,Paramètres!$A$1:$I$89,3,0)*VLOOKUP('Données projet'!$B$9,Paramètres!$A$1:$I$89,5,0)</f>
        <v>2.7134774427395314E-13</v>
      </c>
      <c r="P93" s="14">
        <f t="shared" si="87"/>
        <v>3.6292411711343559E-12</v>
      </c>
      <c r="Q93" s="22">
        <f t="shared" si="54"/>
        <v>6.7935256943361388E-12</v>
      </c>
      <c r="R93" s="60">
        <f t="shared" si="55"/>
        <v>293.33333333334014</v>
      </c>
      <c r="S93" s="60">
        <f ca="1">AVERAGE(OFFSET($R$3,0,0,'Données projet'!$E$9+1,1))-AVERAGE(OFFSET($H$3,0,0,'Données projet'!$E$9+1,1))</f>
        <v>238.47463071449789</v>
      </c>
      <c r="T93" s="60">
        <f t="shared" si="88"/>
        <v>270.92950919803718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2.5006556825246659E-13</v>
      </c>
      <c r="AK93" s="14">
        <f t="shared" si="89"/>
        <v>3.3765445850268018E-12</v>
      </c>
      <c r="AL93" s="22">
        <f t="shared" si="58"/>
        <v>6.3163460169613921E-12</v>
      </c>
      <c r="AM93" s="60">
        <f t="shared" si="59"/>
        <v>293.33333333333962</v>
      </c>
      <c r="AN93" s="60">
        <f ca="1">AVERAGE(OFFSET($AM$3,0,0,'Données projet'!$E$10+1,1))-AVERAGE(OFFSET($H$3,0,0,'Données projet'!$E$10+1,1))</f>
        <v>216.80783650073869</v>
      </c>
      <c r="AO93" s="60">
        <f t="shared" si="90"/>
        <v>247.59561829759309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4.4337866711430253E-14</v>
      </c>
      <c r="BF93" s="14">
        <f t="shared" si="91"/>
        <v>7.3222115536967035E-13</v>
      </c>
      <c r="BG93" s="22">
        <f t="shared" si="61"/>
        <v>1.3525069634579169E-12</v>
      </c>
      <c r="BH93" s="60">
        <f t="shared" si="62"/>
        <v>293.33333333333468</v>
      </c>
      <c r="BI93" s="60">
        <f ca="1">AVERAGE(OFFSET($BH$3,0,0,'Données projet'!$E$11+1,1))-AVERAGE(OFFSET($H$3,0,0,'Données projet'!$E$11+1,1))</f>
        <v>222.34562513006574</v>
      </c>
      <c r="BJ93" s="60">
        <f t="shared" si="92"/>
        <v>213.19969928771548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274.84847548786672</v>
      </c>
      <c r="CE93" s="60">
        <f t="shared" si="94"/>
        <v>376.2625056050623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0" t="e">
        <f t="shared" si="68"/>
        <v>#N/A</v>
      </c>
      <c r="CY93" s="60" t="e">
        <f ca="1">AVERAGE(OFFSET($CX$3,0,0,'Données projet'!$E$13+1,1))-AVERAGE(OFFSET($H$3,0,0,'Données projet'!$E$13+1,1))</f>
        <v>#N/A</v>
      </c>
      <c r="CZ93" s="60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8">
        <f t="shared" si="56"/>
        <v>392.19703895726269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3.4106051316484809E-13</v>
      </c>
      <c r="O94" s="14">
        <f>N94*VLOOKUP('Données projet'!$B$9,Paramètres!$A$1:$I$89,3,0)*VLOOKUP('Données projet'!$B$9,Paramètres!$A$1:$I$89,5,0)</f>
        <v>2.7134774427395314E-13</v>
      </c>
      <c r="P94" s="14">
        <f t="shared" si="87"/>
        <v>3.6292411711343559E-12</v>
      </c>
      <c r="Q94" s="22">
        <f t="shared" si="54"/>
        <v>6.7935256943361388E-12</v>
      </c>
      <c r="R94" s="60">
        <f t="shared" si="55"/>
        <v>293.33333333334014</v>
      </c>
      <c r="S94" s="60">
        <f ca="1">AVERAGE(OFFSET($R$3,0,0,'Données projet'!$E$9+1,1))-AVERAGE(OFFSET($H$3,0,0,'Données projet'!$E$9+1,1))</f>
        <v>238.47463071449789</v>
      </c>
      <c r="T94" s="60">
        <f t="shared" si="88"/>
        <v>270.92950919803718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2.5006556825246659E-13</v>
      </c>
      <c r="AK94" s="14">
        <f t="shared" si="89"/>
        <v>3.3765445850268018E-12</v>
      </c>
      <c r="AL94" s="22">
        <f t="shared" si="58"/>
        <v>6.3163460169613921E-12</v>
      </c>
      <c r="AM94" s="60">
        <f t="shared" si="59"/>
        <v>293.33333333333962</v>
      </c>
      <c r="AN94" s="60">
        <f ca="1">AVERAGE(OFFSET($AM$3,0,0,'Données projet'!$E$10+1,1))-AVERAGE(OFFSET($H$3,0,0,'Données projet'!$E$10+1,1))</f>
        <v>216.80783650073869</v>
      </c>
      <c r="AO94" s="60">
        <f t="shared" si="90"/>
        <v>247.59561829759309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4.4337866711430253E-14</v>
      </c>
      <c r="BF94" s="14">
        <f t="shared" si="91"/>
        <v>7.3222115536967035E-13</v>
      </c>
      <c r="BG94" s="22">
        <f t="shared" si="61"/>
        <v>1.3525069634579169E-12</v>
      </c>
      <c r="BH94" s="60">
        <f t="shared" si="62"/>
        <v>293.33333333333468</v>
      </c>
      <c r="BI94" s="60">
        <f ca="1">AVERAGE(OFFSET($BH$3,0,0,'Données projet'!$E$11+1,1))-AVERAGE(OFFSET($H$3,0,0,'Données projet'!$E$11+1,1))</f>
        <v>222.34562513006574</v>
      </c>
      <c r="BJ94" s="60">
        <f t="shared" si="92"/>
        <v>213.19969928771548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274.84847548786672</v>
      </c>
      <c r="CE94" s="60">
        <f t="shared" si="94"/>
        <v>376.2625056050623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0" t="e">
        <f t="shared" si="68"/>
        <v>#N/A</v>
      </c>
      <c r="CY94" s="60" t="e">
        <f ca="1">AVERAGE(OFFSET($CX$3,0,0,'Données projet'!$E$13+1,1))-AVERAGE(OFFSET($H$3,0,0,'Données projet'!$E$13+1,1))</f>
        <v>#N/A</v>
      </c>
      <c r="CZ94" s="60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8">
        <f t="shared" si="56"/>
        <v>393.25436784727196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3.4106051316484809E-13</v>
      </c>
      <c r="O95" s="14">
        <f>N95*VLOOKUP('Données projet'!$B$9,Paramètres!$A$1:$I$89,3,0)*VLOOKUP('Données projet'!$B$9,Paramètres!$A$1:$I$89,5,0)</f>
        <v>2.7134774427395314E-13</v>
      </c>
      <c r="P95" s="14">
        <f t="shared" si="87"/>
        <v>3.6292411711343559E-12</v>
      </c>
      <c r="Q95" s="22">
        <f t="shared" si="54"/>
        <v>6.7935256943361388E-12</v>
      </c>
      <c r="R95" s="60">
        <f t="shared" si="55"/>
        <v>293.33333333334014</v>
      </c>
      <c r="S95" s="60">
        <f ca="1">AVERAGE(OFFSET($R$3,0,0,'Données projet'!$E$9+1,1))-AVERAGE(OFFSET($H$3,0,0,'Données projet'!$E$9+1,1))</f>
        <v>238.47463071449789</v>
      </c>
      <c r="T95" s="60">
        <f t="shared" si="88"/>
        <v>270.92950919803718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2.5006556825246659E-13</v>
      </c>
      <c r="AK95" s="14">
        <f t="shared" si="89"/>
        <v>3.3765445850268018E-12</v>
      </c>
      <c r="AL95" s="22">
        <f t="shared" si="58"/>
        <v>6.3163460169613921E-12</v>
      </c>
      <c r="AM95" s="60">
        <f t="shared" si="59"/>
        <v>293.33333333333962</v>
      </c>
      <c r="AN95" s="60">
        <f ca="1">AVERAGE(OFFSET($AM$3,0,0,'Données projet'!$E$10+1,1))-AVERAGE(OFFSET($H$3,0,0,'Données projet'!$E$10+1,1))</f>
        <v>216.80783650073869</v>
      </c>
      <c r="AO95" s="60">
        <f t="shared" si="90"/>
        <v>247.59561829759309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4.4337866711430253E-14</v>
      </c>
      <c r="BF95" s="14">
        <f t="shared" si="91"/>
        <v>7.3222115536967035E-13</v>
      </c>
      <c r="BG95" s="22">
        <f t="shared" si="61"/>
        <v>1.3525069634579169E-12</v>
      </c>
      <c r="BH95" s="60">
        <f t="shared" si="62"/>
        <v>293.33333333333468</v>
      </c>
      <c r="BI95" s="60">
        <f ca="1">AVERAGE(OFFSET($BH$3,0,0,'Données projet'!$E$11+1,1))-AVERAGE(OFFSET($H$3,0,0,'Données projet'!$E$11+1,1))</f>
        <v>222.34562513006574</v>
      </c>
      <c r="BJ95" s="60">
        <f t="shared" si="92"/>
        <v>213.19969928771548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274.84847548786672</v>
      </c>
      <c r="CE95" s="60">
        <f t="shared" si="94"/>
        <v>376.2625056050623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0" t="e">
        <f t="shared" si="68"/>
        <v>#N/A</v>
      </c>
      <c r="CY95" s="60" t="e">
        <f ca="1">AVERAGE(OFFSET($CX$3,0,0,'Données projet'!$E$13+1,1))-AVERAGE(OFFSET($H$3,0,0,'Données projet'!$E$13+1,1))</f>
        <v>#N/A</v>
      </c>
      <c r="CZ95" s="60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8">
        <f t="shared" si="56"/>
        <v>394.311419081606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3.4106051316484809E-13</v>
      </c>
      <c r="O96" s="14">
        <f>N96*VLOOKUP('Données projet'!$B$9,Paramètres!$A$1:$I$89,3,0)*VLOOKUP('Données projet'!$B$9,Paramètres!$A$1:$I$89,5,0)</f>
        <v>2.7134774427395314E-13</v>
      </c>
      <c r="P96" s="14">
        <f t="shared" si="87"/>
        <v>3.6292411711343559E-12</v>
      </c>
      <c r="Q96" s="22">
        <f t="shared" si="54"/>
        <v>6.7935256943361388E-12</v>
      </c>
      <c r="R96" s="60">
        <f t="shared" si="55"/>
        <v>293.33333333334014</v>
      </c>
      <c r="S96" s="60">
        <f ca="1">AVERAGE(OFFSET($R$3,0,0,'Données projet'!$E$9+1,1))-AVERAGE(OFFSET($H$3,0,0,'Données projet'!$E$9+1,1))</f>
        <v>238.47463071449789</v>
      </c>
      <c r="T96" s="60">
        <f t="shared" si="88"/>
        <v>270.92950919803718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2.5006556825246659E-13</v>
      </c>
      <c r="AK96" s="14">
        <f t="shared" si="89"/>
        <v>3.3765445850268018E-12</v>
      </c>
      <c r="AL96" s="22">
        <f t="shared" si="58"/>
        <v>6.3163460169613921E-12</v>
      </c>
      <c r="AM96" s="60">
        <f t="shared" si="59"/>
        <v>293.33333333333962</v>
      </c>
      <c r="AN96" s="60">
        <f ca="1">AVERAGE(OFFSET($AM$3,0,0,'Données projet'!$E$10+1,1))-AVERAGE(OFFSET($H$3,0,0,'Données projet'!$E$10+1,1))</f>
        <v>216.80783650073869</v>
      </c>
      <c r="AO96" s="60">
        <f t="shared" si="90"/>
        <v>247.59561829759309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4.4337866711430253E-14</v>
      </c>
      <c r="BF96" s="14">
        <f t="shared" si="91"/>
        <v>7.3222115536967035E-13</v>
      </c>
      <c r="BG96" s="22">
        <f t="shared" si="61"/>
        <v>1.3525069634579169E-12</v>
      </c>
      <c r="BH96" s="60">
        <f t="shared" si="62"/>
        <v>293.33333333333468</v>
      </c>
      <c r="BI96" s="60">
        <f ca="1">AVERAGE(OFFSET($BH$3,0,0,'Données projet'!$E$11+1,1))-AVERAGE(OFFSET($H$3,0,0,'Données projet'!$E$11+1,1))</f>
        <v>222.34562513006574</v>
      </c>
      <c r="BJ96" s="60">
        <f t="shared" si="92"/>
        <v>213.19969928771548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274.84847548786672</v>
      </c>
      <c r="CE96" s="60">
        <f t="shared" si="94"/>
        <v>376.2625056050623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0" t="e">
        <f t="shared" si="68"/>
        <v>#N/A</v>
      </c>
      <c r="CY96" s="60" t="e">
        <f ca="1">AVERAGE(OFFSET($CX$3,0,0,'Données projet'!$E$13+1,1))-AVERAGE(OFFSET($H$3,0,0,'Données projet'!$E$13+1,1))</f>
        <v>#N/A</v>
      </c>
      <c r="CZ96" s="60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8">
        <f t="shared" si="56"/>
        <v>395.36819599137124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3.4106051316484809E-13</v>
      </c>
      <c r="O97" s="14">
        <f>N97*VLOOKUP('Données projet'!$B$9,Paramètres!$A$1:$I$89,3,0)*VLOOKUP('Données projet'!$B$9,Paramètres!$A$1:$I$89,5,0)</f>
        <v>2.7134774427395314E-13</v>
      </c>
      <c r="P97" s="14">
        <f t="shared" si="87"/>
        <v>3.6292411711343559E-12</v>
      </c>
      <c r="Q97" s="22">
        <f t="shared" si="54"/>
        <v>6.7935256943361388E-12</v>
      </c>
      <c r="R97" s="60">
        <f t="shared" si="55"/>
        <v>293.33333333334014</v>
      </c>
      <c r="S97" s="60">
        <f ca="1">AVERAGE(OFFSET($R$3,0,0,'Données projet'!$E$9+1,1))-AVERAGE(OFFSET($H$3,0,0,'Données projet'!$E$9+1,1))</f>
        <v>238.47463071449789</v>
      </c>
      <c r="T97" s="60">
        <f t="shared" si="88"/>
        <v>270.92950919803718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2.5006556825246659E-13</v>
      </c>
      <c r="AK97" s="14">
        <f t="shared" si="89"/>
        <v>3.3765445850268018E-12</v>
      </c>
      <c r="AL97" s="22">
        <f t="shared" si="58"/>
        <v>6.3163460169613921E-12</v>
      </c>
      <c r="AM97" s="60">
        <f t="shared" si="59"/>
        <v>293.33333333333962</v>
      </c>
      <c r="AN97" s="60">
        <f ca="1">AVERAGE(OFFSET($AM$3,0,0,'Données projet'!$E$10+1,1))-AVERAGE(OFFSET($H$3,0,0,'Données projet'!$E$10+1,1))</f>
        <v>216.80783650073869</v>
      </c>
      <c r="AO97" s="60">
        <f t="shared" si="90"/>
        <v>247.59561829759309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4.4337866711430253E-14</v>
      </c>
      <c r="BF97" s="14">
        <f t="shared" si="91"/>
        <v>7.3222115536967035E-13</v>
      </c>
      <c r="BG97" s="22">
        <f t="shared" si="61"/>
        <v>1.3525069634579169E-12</v>
      </c>
      <c r="BH97" s="60">
        <f t="shared" si="62"/>
        <v>293.33333333333468</v>
      </c>
      <c r="BI97" s="60">
        <f ca="1">AVERAGE(OFFSET($BH$3,0,0,'Données projet'!$E$11+1,1))-AVERAGE(OFFSET($H$3,0,0,'Données projet'!$E$11+1,1))</f>
        <v>222.34562513006574</v>
      </c>
      <c r="BJ97" s="60">
        <f t="shared" si="92"/>
        <v>213.19969928771548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274.84847548786672</v>
      </c>
      <c r="CE97" s="60">
        <f t="shared" si="94"/>
        <v>376.2625056050623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0" t="e">
        <f t="shared" si="68"/>
        <v>#N/A</v>
      </c>
      <c r="CY97" s="60" t="e">
        <f ca="1">AVERAGE(OFFSET($CX$3,0,0,'Données projet'!$E$13+1,1))-AVERAGE(OFFSET($H$3,0,0,'Données projet'!$E$13+1,1))</f>
        <v>#N/A</v>
      </c>
      <c r="CZ97" s="60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8">
        <f t="shared" si="56"/>
        <v>396.42470183271661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3.4106051316484809E-13</v>
      </c>
      <c r="O98" s="14">
        <f>N98*VLOOKUP('Données projet'!$B$9,Paramètres!$A$1:$I$89,3,0)*VLOOKUP('Données projet'!$B$9,Paramètres!$A$1:$I$89,5,0)</f>
        <v>2.7134774427395314E-13</v>
      </c>
      <c r="P98" s="14">
        <f t="shared" si="87"/>
        <v>3.6292411711343559E-12</v>
      </c>
      <c r="Q98" s="22">
        <f t="shared" si="54"/>
        <v>6.7935256943361388E-12</v>
      </c>
      <c r="R98" s="60">
        <f t="shared" si="55"/>
        <v>293.33333333334014</v>
      </c>
      <c r="S98" s="60">
        <f ca="1">AVERAGE(OFFSET($R$3,0,0,'Données projet'!$E$9+1,1))-AVERAGE(OFFSET($H$3,0,0,'Données projet'!$E$9+1,1))</f>
        <v>238.47463071449789</v>
      </c>
      <c r="T98" s="60">
        <f t="shared" si="88"/>
        <v>270.92950919803718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2.5006556825246659E-13</v>
      </c>
      <c r="AK98" s="14">
        <f t="shared" si="89"/>
        <v>3.3765445850268018E-12</v>
      </c>
      <c r="AL98" s="22">
        <f t="shared" si="58"/>
        <v>6.3163460169613921E-12</v>
      </c>
      <c r="AM98" s="60">
        <f t="shared" si="59"/>
        <v>293.33333333333962</v>
      </c>
      <c r="AN98" s="60">
        <f ca="1">AVERAGE(OFFSET($AM$3,0,0,'Données projet'!$E$10+1,1))-AVERAGE(OFFSET($H$3,0,0,'Données projet'!$E$10+1,1))</f>
        <v>216.80783650073869</v>
      </c>
      <c r="AO98" s="60">
        <f t="shared" si="90"/>
        <v>247.59561829759309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4.4337866711430253E-14</v>
      </c>
      <c r="BF98" s="14">
        <f t="shared" si="91"/>
        <v>7.3222115536967035E-13</v>
      </c>
      <c r="BG98" s="22">
        <f t="shared" si="61"/>
        <v>1.3525069634579169E-12</v>
      </c>
      <c r="BH98" s="60">
        <f t="shared" si="62"/>
        <v>293.33333333333468</v>
      </c>
      <c r="BI98" s="60">
        <f ca="1">AVERAGE(OFFSET($BH$3,0,0,'Données projet'!$E$11+1,1))-AVERAGE(OFFSET($H$3,0,0,'Données projet'!$E$11+1,1))</f>
        <v>222.34562513006574</v>
      </c>
      <c r="BJ98" s="60">
        <f t="shared" si="92"/>
        <v>213.19969928771548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274.84847548786672</v>
      </c>
      <c r="CE98" s="60">
        <f t="shared" si="94"/>
        <v>376.2625056050623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0" t="e">
        <f t="shared" si="68"/>
        <v>#N/A</v>
      </c>
      <c r="CY98" s="60" t="e">
        <f ca="1">AVERAGE(OFFSET($CX$3,0,0,'Données projet'!$E$13+1,1))-AVERAGE(OFFSET($H$3,0,0,'Données projet'!$E$13+1,1))</f>
        <v>#N/A</v>
      </c>
      <c r="CZ98" s="60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8">
        <f t="shared" si="56"/>
        <v>397.48093978929154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3.4106051316484809E-13</v>
      </c>
      <c r="O99" s="14">
        <f>N99*VLOOKUP('Données projet'!$B$9,Paramètres!$A$1:$I$89,3,0)*VLOOKUP('Données projet'!$B$9,Paramètres!$A$1:$I$89,5,0)</f>
        <v>2.7134774427395314E-13</v>
      </c>
      <c r="P99" s="14">
        <f t="shared" si="87"/>
        <v>3.6292411711343559E-12</v>
      </c>
      <c r="Q99" s="22">
        <f t="shared" ref="Q99:Q130" si="107">(O99+P99)*0.475*44/12</f>
        <v>6.7935256943361388E-12</v>
      </c>
      <c r="R99" s="60">
        <f t="shared" si="55"/>
        <v>293.33333333334014</v>
      </c>
      <c r="S99" s="60">
        <f ca="1">AVERAGE(OFFSET($R$3,0,0,'Données projet'!$E$9+1,1))-AVERAGE(OFFSET($H$3,0,0,'Données projet'!$E$9+1,1))</f>
        <v>238.47463071449789</v>
      </c>
      <c r="T99" s="60">
        <f t="shared" si="88"/>
        <v>270.92950919803718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2.5006556825246659E-13</v>
      </c>
      <c r="AK99" s="14">
        <f t="shared" si="89"/>
        <v>3.3765445850268018E-12</v>
      </c>
      <c r="AL99" s="22">
        <f t="shared" si="58"/>
        <v>6.3163460169613921E-12</v>
      </c>
      <c r="AM99" s="60">
        <f t="shared" si="59"/>
        <v>293.33333333333962</v>
      </c>
      <c r="AN99" s="60">
        <f ca="1">AVERAGE(OFFSET($AM$3,0,0,'Données projet'!$E$10+1,1))-AVERAGE(OFFSET($H$3,0,0,'Données projet'!$E$10+1,1))</f>
        <v>216.80783650073869</v>
      </c>
      <c r="AO99" s="60">
        <f t="shared" si="90"/>
        <v>247.59561829759309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4.4337866711430253E-14</v>
      </c>
      <c r="BF99" s="14">
        <f t="shared" si="91"/>
        <v>7.3222115536967035E-13</v>
      </c>
      <c r="BG99" s="22">
        <f t="shared" si="61"/>
        <v>1.3525069634579169E-12</v>
      </c>
      <c r="BH99" s="60">
        <f t="shared" si="62"/>
        <v>293.33333333333468</v>
      </c>
      <c r="BI99" s="60">
        <f ca="1">AVERAGE(OFFSET($BH$3,0,0,'Données projet'!$E$11+1,1))-AVERAGE(OFFSET($H$3,0,0,'Données projet'!$E$11+1,1))</f>
        <v>222.34562513006574</v>
      </c>
      <c r="BJ99" s="60">
        <f t="shared" si="92"/>
        <v>213.19969928771548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274.84847548786672</v>
      </c>
      <c r="CE99" s="60">
        <f t="shared" si="94"/>
        <v>376.2625056050623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0" t="e">
        <f t="shared" si="68"/>
        <v>#N/A</v>
      </c>
      <c r="CY99" s="60" t="e">
        <f ca="1">AVERAGE(OFFSET($CX$3,0,0,'Données projet'!$E$13+1,1))-AVERAGE(OFFSET($H$3,0,0,'Données projet'!$E$13+1,1))</f>
        <v>#N/A</v>
      </c>
      <c r="CZ99" s="60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8">
        <f t="shared" si="56"/>
        <v>398.5369129745979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3.4106051316484809E-13</v>
      </c>
      <c r="O100" s="14">
        <f>N100*VLOOKUP('Données projet'!$B$9,Paramètres!$A$1:$I$89,3,0)*VLOOKUP('Données projet'!$B$9,Paramètres!$A$1:$I$89,5,0)</f>
        <v>2.7134774427395314E-13</v>
      </c>
      <c r="P100" s="14">
        <f t="shared" si="87"/>
        <v>3.6292411711343559E-12</v>
      </c>
      <c r="Q100" s="22">
        <f t="shared" si="107"/>
        <v>6.7935256943361388E-12</v>
      </c>
      <c r="R100" s="60">
        <f t="shared" si="55"/>
        <v>293.33333333334014</v>
      </c>
      <c r="S100" s="60">
        <f ca="1">AVERAGE(OFFSET($R$3,0,0,'Données projet'!$E$9+1,1))-AVERAGE(OFFSET($H$3,0,0,'Données projet'!$E$9+1,1))</f>
        <v>238.47463071449789</v>
      </c>
      <c r="T100" s="60">
        <f t="shared" si="88"/>
        <v>270.92950919803718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2.5006556825246659E-13</v>
      </c>
      <c r="AK100" s="14">
        <f t="shared" si="89"/>
        <v>3.3765445850268018E-12</v>
      </c>
      <c r="AL100" s="22">
        <f t="shared" si="58"/>
        <v>6.3163460169613921E-12</v>
      </c>
      <c r="AM100" s="60">
        <f t="shared" si="59"/>
        <v>293.33333333333962</v>
      </c>
      <c r="AN100" s="60">
        <f ca="1">AVERAGE(OFFSET($AM$3,0,0,'Données projet'!$E$10+1,1))-AVERAGE(OFFSET($H$3,0,0,'Données projet'!$E$10+1,1))</f>
        <v>216.80783650073869</v>
      </c>
      <c r="AO100" s="60">
        <f t="shared" si="90"/>
        <v>247.59561829759309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4.4337866711430253E-14</v>
      </c>
      <c r="BF100" s="14">
        <f t="shared" si="91"/>
        <v>7.3222115536967035E-13</v>
      </c>
      <c r="BG100" s="22">
        <f t="shared" si="61"/>
        <v>1.3525069634579169E-12</v>
      </c>
      <c r="BH100" s="60">
        <f t="shared" si="62"/>
        <v>293.33333333333468</v>
      </c>
      <c r="BI100" s="60">
        <f ca="1">AVERAGE(OFFSET($BH$3,0,0,'Données projet'!$E$11+1,1))-AVERAGE(OFFSET($H$3,0,0,'Données projet'!$E$11+1,1))</f>
        <v>222.34562513006574</v>
      </c>
      <c r="BJ100" s="60">
        <f t="shared" si="92"/>
        <v>213.19969928771548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274.84847548786672</v>
      </c>
      <c r="CE100" s="60">
        <f t="shared" si="94"/>
        <v>376.2625056050623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0" t="e">
        <f t="shared" si="68"/>
        <v>#N/A</v>
      </c>
      <c r="CY100" s="60" t="e">
        <f ca="1">AVERAGE(OFFSET($CX$3,0,0,'Données projet'!$E$13+1,1))-AVERAGE(OFFSET($H$3,0,0,'Données projet'!$E$13+1,1))</f>
        <v>#N/A</v>
      </c>
      <c r="CZ100" s="60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8">
        <f t="shared" si="56"/>
        <v>399.59262443424268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3.4106051316484809E-13</v>
      </c>
      <c r="O101" s="14">
        <f>N101*VLOOKUP('Données projet'!$B$9,Paramètres!$A$1:$I$89,3,0)*VLOOKUP('Données projet'!$B$9,Paramètres!$A$1:$I$89,5,0)</f>
        <v>2.7134774427395314E-13</v>
      </c>
      <c r="P101" s="14">
        <f t="shared" si="87"/>
        <v>3.6292411711343559E-12</v>
      </c>
      <c r="Q101" s="22">
        <f t="shared" si="107"/>
        <v>6.7935256943361388E-12</v>
      </c>
      <c r="R101" s="60">
        <f t="shared" si="55"/>
        <v>293.33333333334014</v>
      </c>
      <c r="S101" s="60">
        <f ca="1">AVERAGE(OFFSET($R$3,0,0,'Données projet'!$E$9+1,1))-AVERAGE(OFFSET($H$3,0,0,'Données projet'!$E$9+1,1))</f>
        <v>238.47463071449789</v>
      </c>
      <c r="T101" s="60">
        <f t="shared" si="88"/>
        <v>270.92950919803718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2.5006556825246659E-13</v>
      </c>
      <c r="AK101" s="14">
        <f t="shared" si="89"/>
        <v>3.3765445850268018E-12</v>
      </c>
      <c r="AL101" s="22">
        <f t="shared" si="58"/>
        <v>6.3163460169613921E-12</v>
      </c>
      <c r="AM101" s="60">
        <f t="shared" si="59"/>
        <v>293.33333333333962</v>
      </c>
      <c r="AN101" s="60">
        <f ca="1">AVERAGE(OFFSET($AM$3,0,0,'Données projet'!$E$10+1,1))-AVERAGE(OFFSET($H$3,0,0,'Données projet'!$E$10+1,1))</f>
        <v>216.80783650073869</v>
      </c>
      <c r="AO101" s="60">
        <f t="shared" si="90"/>
        <v>247.59561829759309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4.4337866711430253E-14</v>
      </c>
      <c r="BF101" s="14">
        <f t="shared" si="91"/>
        <v>7.3222115536967035E-13</v>
      </c>
      <c r="BG101" s="22">
        <f t="shared" si="61"/>
        <v>1.3525069634579169E-12</v>
      </c>
      <c r="BH101" s="60">
        <f t="shared" si="62"/>
        <v>293.33333333333468</v>
      </c>
      <c r="BI101" s="60">
        <f ca="1">AVERAGE(OFFSET($BH$3,0,0,'Données projet'!$E$11+1,1))-AVERAGE(OFFSET($H$3,0,0,'Données projet'!$E$11+1,1))</f>
        <v>222.34562513006574</v>
      </c>
      <c r="BJ101" s="60">
        <f t="shared" si="92"/>
        <v>213.19969928771548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274.84847548786672</v>
      </c>
      <c r="CE101" s="60">
        <f t="shared" si="94"/>
        <v>376.2625056050623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0" t="e">
        <f t="shared" si="68"/>
        <v>#N/A</v>
      </c>
      <c r="CY101" s="60" t="e">
        <f ca="1">AVERAGE(OFFSET($CX$3,0,0,'Données projet'!$E$13+1,1))-AVERAGE(OFFSET($H$3,0,0,'Données projet'!$E$13+1,1))</f>
        <v>#N/A</v>
      </c>
      <c r="CZ101" s="60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8">
        <f t="shared" si="56"/>
        <v>400.64807714809581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3.4106051316484809E-13</v>
      </c>
      <c r="O102" s="14">
        <f>N102*VLOOKUP('Données projet'!$B$9,Paramètres!$A$1:$I$89,3,0)*VLOOKUP('Données projet'!$B$9,Paramètres!$A$1:$I$89,5,0)</f>
        <v>2.7134774427395314E-13</v>
      </c>
      <c r="P102" s="14">
        <f t="shared" si="87"/>
        <v>3.6292411711343559E-12</v>
      </c>
      <c r="Q102" s="22">
        <f t="shared" si="107"/>
        <v>6.7935256943361388E-12</v>
      </c>
      <c r="R102" s="60">
        <f t="shared" si="55"/>
        <v>293.33333333334014</v>
      </c>
      <c r="S102" s="60">
        <f ca="1">AVERAGE(OFFSET($R$3,0,0,'Données projet'!$E$9+1,1))-AVERAGE(OFFSET($H$3,0,0,'Données projet'!$E$9+1,1))</f>
        <v>238.47463071449789</v>
      </c>
      <c r="T102" s="60">
        <f t="shared" si="88"/>
        <v>270.92950919803718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2.5006556825246659E-13</v>
      </c>
      <c r="AK102" s="14">
        <f t="shared" si="89"/>
        <v>3.3765445850268018E-12</v>
      </c>
      <c r="AL102" s="22">
        <f t="shared" si="58"/>
        <v>6.3163460169613921E-12</v>
      </c>
      <c r="AM102" s="60">
        <f t="shared" si="59"/>
        <v>293.33333333333962</v>
      </c>
      <c r="AN102" s="60">
        <f ca="1">AVERAGE(OFFSET($AM$3,0,0,'Données projet'!$E$10+1,1))-AVERAGE(OFFSET($H$3,0,0,'Données projet'!$E$10+1,1))</f>
        <v>216.80783650073869</v>
      </c>
      <c r="AO102" s="60">
        <f t="shared" si="90"/>
        <v>247.59561829759309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4.4337866711430253E-14</v>
      </c>
      <c r="BF102" s="14">
        <f t="shared" si="91"/>
        <v>7.3222115536967035E-13</v>
      </c>
      <c r="BG102" s="22">
        <f t="shared" si="61"/>
        <v>1.3525069634579169E-12</v>
      </c>
      <c r="BH102" s="60">
        <f t="shared" si="62"/>
        <v>293.33333333333468</v>
      </c>
      <c r="BI102" s="60">
        <f ca="1">AVERAGE(OFFSET($BH$3,0,0,'Données projet'!$E$11+1,1))-AVERAGE(OFFSET($H$3,0,0,'Données projet'!$E$11+1,1))</f>
        <v>222.34562513006574</v>
      </c>
      <c r="BJ102" s="60">
        <f t="shared" si="92"/>
        <v>213.19969928771548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274.84847548786672</v>
      </c>
      <c r="CE102" s="60">
        <f t="shared" si="94"/>
        <v>376.2625056050623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0" t="e">
        <f t="shared" si="68"/>
        <v>#N/A</v>
      </c>
      <c r="CY102" s="60" t="e">
        <f ca="1">AVERAGE(OFFSET($CX$3,0,0,'Données projet'!$E$13+1,1))-AVERAGE(OFFSET($H$3,0,0,'Données projet'!$E$13+1,1))</f>
        <v>#N/A</v>
      </c>
      <c r="CZ102" s="60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8">
        <f t="shared" si="56"/>
        <v>401.70327403235842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3.4106051316484809E-13</v>
      </c>
      <c r="O103" s="14">
        <f>N103*VLOOKUP('Données projet'!$B$9,Paramètres!$A$1:$I$89,3,0)*VLOOKUP('Données projet'!$B$9,Paramètres!$A$1:$I$89,5,0)</f>
        <v>2.7134774427395314E-13</v>
      </c>
      <c r="P103" s="14">
        <f t="shared" si="87"/>
        <v>3.6292411711343559E-12</v>
      </c>
      <c r="Q103" s="22">
        <f t="shared" si="107"/>
        <v>6.7935256943361388E-12</v>
      </c>
      <c r="R103" s="60">
        <f t="shared" si="55"/>
        <v>293.33333333334014</v>
      </c>
      <c r="S103" s="60">
        <f ca="1">AVERAGE(OFFSET($R$3,0,0,'Données projet'!$E$9+1,1))-AVERAGE(OFFSET($H$3,0,0,'Données projet'!$E$9+1,1))</f>
        <v>238.47463071449789</v>
      </c>
      <c r="T103" s="60">
        <f t="shared" si="88"/>
        <v>270.92950919803718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2.5006556825246659E-13</v>
      </c>
      <c r="AK103" s="14">
        <f t="shared" si="89"/>
        <v>3.3765445850268018E-12</v>
      </c>
      <c r="AL103" s="22">
        <f t="shared" si="58"/>
        <v>6.3163460169613921E-12</v>
      </c>
      <c r="AM103" s="60">
        <f t="shared" si="59"/>
        <v>293.33333333333962</v>
      </c>
      <c r="AN103" s="60">
        <f ca="1">AVERAGE(OFFSET($AM$3,0,0,'Données projet'!$E$10+1,1))-AVERAGE(OFFSET($H$3,0,0,'Données projet'!$E$10+1,1))</f>
        <v>216.80783650073869</v>
      </c>
      <c r="AO103" s="60">
        <f t="shared" si="90"/>
        <v>247.59561829759309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4.4337866711430253E-14</v>
      </c>
      <c r="BF103" s="14">
        <f t="shared" si="91"/>
        <v>7.3222115536967035E-13</v>
      </c>
      <c r="BG103" s="22">
        <f t="shared" si="61"/>
        <v>1.3525069634579169E-12</v>
      </c>
      <c r="BH103" s="60">
        <f t="shared" si="62"/>
        <v>293.33333333333468</v>
      </c>
      <c r="BI103" s="60">
        <f ca="1">AVERAGE(OFFSET($BH$3,0,0,'Données projet'!$E$11+1,1))-AVERAGE(OFFSET($H$3,0,0,'Données projet'!$E$11+1,1))</f>
        <v>222.34562513006574</v>
      </c>
      <c r="BJ103" s="60">
        <f t="shared" si="92"/>
        <v>213.19969928771548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274.84847548786672</v>
      </c>
      <c r="CE103" s="60">
        <f t="shared" si="94"/>
        <v>376.2625056050623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0" t="e">
        <f t="shared" si="68"/>
        <v>#N/A</v>
      </c>
      <c r="CY103" s="60" t="e">
        <f ca="1">AVERAGE(OFFSET($CX$3,0,0,'Données projet'!$E$13+1,1))-AVERAGE(OFFSET($H$3,0,0,'Données projet'!$E$13+1,1))</f>
        <v>#N/A</v>
      </c>
      <c r="CZ103" s="60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8">
        <f t="shared" si="56"/>
        <v>402.75821794154609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3.4106051316484809E-13</v>
      </c>
      <c r="O104" s="14">
        <f>N104*VLOOKUP('Données projet'!$B$9,Paramètres!$A$1:$I$89,3,0)*VLOOKUP('Données projet'!$B$9,Paramètres!$A$1:$I$89,5,0)</f>
        <v>2.7134774427395314E-13</v>
      </c>
      <c r="P104" s="14">
        <f t="shared" si="87"/>
        <v>3.6292411711343559E-12</v>
      </c>
      <c r="Q104" s="22">
        <f t="shared" si="107"/>
        <v>6.7935256943361388E-12</v>
      </c>
      <c r="R104" s="60">
        <f t="shared" si="55"/>
        <v>293.33333333334014</v>
      </c>
      <c r="S104" s="60">
        <f ca="1">AVERAGE(OFFSET($R$3,0,0,'Données projet'!$E$9+1,1))-AVERAGE(OFFSET($H$3,0,0,'Données projet'!$E$9+1,1))</f>
        <v>238.47463071449789</v>
      </c>
      <c r="T104" s="60">
        <f t="shared" si="88"/>
        <v>270.92950919803718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2.5006556825246659E-13</v>
      </c>
      <c r="AK104" s="14">
        <f t="shared" si="89"/>
        <v>3.3765445850268018E-12</v>
      </c>
      <c r="AL104" s="22">
        <f t="shared" si="58"/>
        <v>6.3163460169613921E-12</v>
      </c>
      <c r="AM104" s="60">
        <f t="shared" si="59"/>
        <v>293.33333333333962</v>
      </c>
      <c r="AN104" s="60">
        <f ca="1">AVERAGE(OFFSET($AM$3,0,0,'Données projet'!$E$10+1,1))-AVERAGE(OFFSET($H$3,0,0,'Données projet'!$E$10+1,1))</f>
        <v>216.80783650073869</v>
      </c>
      <c r="AO104" s="60">
        <f t="shared" si="90"/>
        <v>247.59561829759309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4.4337866711430253E-14</v>
      </c>
      <c r="BF104" s="14">
        <f t="shared" si="91"/>
        <v>7.3222115536967035E-13</v>
      </c>
      <c r="BG104" s="22">
        <f t="shared" si="61"/>
        <v>1.3525069634579169E-12</v>
      </c>
      <c r="BH104" s="60">
        <f t="shared" si="62"/>
        <v>293.33333333333468</v>
      </c>
      <c r="BI104" s="60">
        <f ca="1">AVERAGE(OFFSET($BH$3,0,0,'Données projet'!$E$11+1,1))-AVERAGE(OFFSET($H$3,0,0,'Données projet'!$E$11+1,1))</f>
        <v>222.34562513006574</v>
      </c>
      <c r="BJ104" s="60">
        <f t="shared" si="92"/>
        <v>213.19969928771548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274.84847548786672</v>
      </c>
      <c r="CE104" s="60">
        <f t="shared" si="94"/>
        <v>376.2625056050623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0" t="e">
        <f t="shared" si="68"/>
        <v>#N/A</v>
      </c>
      <c r="CY104" s="60" t="e">
        <f ca="1">AVERAGE(OFFSET($CX$3,0,0,'Données projet'!$E$13+1,1))-AVERAGE(OFFSET($H$3,0,0,'Données projet'!$E$13+1,1))</f>
        <v>#N/A</v>
      </c>
      <c r="CZ104" s="60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8">
        <f t="shared" si="56"/>
        <v>403.81291167039103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3.4106051316484809E-13</v>
      </c>
      <c r="O105" s="14">
        <f>N105*VLOOKUP('Données projet'!$B$9,Paramètres!$A$1:$I$89,3,0)*VLOOKUP('Données projet'!$B$9,Paramètres!$A$1:$I$89,5,0)</f>
        <v>2.7134774427395314E-13</v>
      </c>
      <c r="P105" s="14">
        <f t="shared" si="87"/>
        <v>3.6292411711343559E-12</v>
      </c>
      <c r="Q105" s="22">
        <f t="shared" si="107"/>
        <v>6.7935256943361388E-12</v>
      </c>
      <c r="R105" s="60">
        <f t="shared" si="55"/>
        <v>293.33333333334014</v>
      </c>
      <c r="S105" s="60">
        <f ca="1">AVERAGE(OFFSET($R$3,0,0,'Données projet'!$E$9+1,1))-AVERAGE(OFFSET($H$3,0,0,'Données projet'!$E$9+1,1))</f>
        <v>238.47463071449789</v>
      </c>
      <c r="T105" s="60">
        <f t="shared" si="88"/>
        <v>270.92950919803718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2.5006556825246659E-13</v>
      </c>
      <c r="AK105" s="14">
        <f t="shared" si="89"/>
        <v>3.3765445850268018E-12</v>
      </c>
      <c r="AL105" s="22">
        <f t="shared" si="58"/>
        <v>6.3163460169613921E-12</v>
      </c>
      <c r="AM105" s="60">
        <f t="shared" si="59"/>
        <v>293.33333333333962</v>
      </c>
      <c r="AN105" s="60">
        <f ca="1">AVERAGE(OFFSET($AM$3,0,0,'Données projet'!$E$10+1,1))-AVERAGE(OFFSET($H$3,0,0,'Données projet'!$E$10+1,1))</f>
        <v>216.80783650073869</v>
      </c>
      <c r="AO105" s="60">
        <f t="shared" si="90"/>
        <v>247.59561829759309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4.4337866711430253E-14</v>
      </c>
      <c r="BF105" s="14">
        <f t="shared" si="91"/>
        <v>7.3222115536967035E-13</v>
      </c>
      <c r="BG105" s="22">
        <f t="shared" si="61"/>
        <v>1.3525069634579169E-12</v>
      </c>
      <c r="BH105" s="60">
        <f t="shared" si="62"/>
        <v>293.33333333333468</v>
      </c>
      <c r="BI105" s="60">
        <f ca="1">AVERAGE(OFFSET($BH$3,0,0,'Données projet'!$E$11+1,1))-AVERAGE(OFFSET($H$3,0,0,'Données projet'!$E$11+1,1))</f>
        <v>222.34562513006574</v>
      </c>
      <c r="BJ105" s="60">
        <f t="shared" si="92"/>
        <v>213.19969928771548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274.84847548786672</v>
      </c>
      <c r="CE105" s="60">
        <f t="shared" si="94"/>
        <v>376.2625056050623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0" t="e">
        <f t="shared" si="68"/>
        <v>#N/A</v>
      </c>
      <c r="CY105" s="60" t="e">
        <f ca="1">AVERAGE(OFFSET($CX$3,0,0,'Données projet'!$E$13+1,1))-AVERAGE(OFFSET($H$3,0,0,'Données projet'!$E$13+1,1))</f>
        <v>#N/A</v>
      </c>
      <c r="CZ105" s="60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8">
        <f t="shared" si="56"/>
        <v>404.8673579556679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3.4106051316484809E-13</v>
      </c>
      <c r="O106" s="14">
        <f>N106*VLOOKUP('Données projet'!$B$9,Paramètres!$A$1:$I$89,3,0)*VLOOKUP('Données projet'!$B$9,Paramètres!$A$1:$I$89,5,0)</f>
        <v>2.7134774427395314E-13</v>
      </c>
      <c r="P106" s="14">
        <f t="shared" si="87"/>
        <v>3.6292411711343559E-12</v>
      </c>
      <c r="Q106" s="22">
        <f t="shared" si="107"/>
        <v>6.7935256943361388E-12</v>
      </c>
      <c r="R106" s="60">
        <f t="shared" si="55"/>
        <v>293.33333333334014</v>
      </c>
      <c r="S106" s="60">
        <f ca="1">AVERAGE(OFFSET($R$3,0,0,'Données projet'!$E$9+1,1))-AVERAGE(OFFSET($H$3,0,0,'Données projet'!$E$9+1,1))</f>
        <v>238.47463071449789</v>
      </c>
      <c r="T106" s="60">
        <f t="shared" si="88"/>
        <v>270.92950919803718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2.5006556825246659E-13</v>
      </c>
      <c r="AK106" s="14">
        <f t="shared" si="89"/>
        <v>3.3765445850268018E-12</v>
      </c>
      <c r="AL106" s="22">
        <f t="shared" si="58"/>
        <v>6.3163460169613921E-12</v>
      </c>
      <c r="AM106" s="60">
        <f t="shared" si="59"/>
        <v>293.33333333333962</v>
      </c>
      <c r="AN106" s="60">
        <f ca="1">AVERAGE(OFFSET($AM$3,0,0,'Données projet'!$E$10+1,1))-AVERAGE(OFFSET($H$3,0,0,'Données projet'!$E$10+1,1))</f>
        <v>216.80783650073869</v>
      </c>
      <c r="AO106" s="60">
        <f t="shared" si="90"/>
        <v>247.59561829759309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4.4337866711430253E-14</v>
      </c>
      <c r="BF106" s="14">
        <f t="shared" si="91"/>
        <v>7.3222115536967035E-13</v>
      </c>
      <c r="BG106" s="22">
        <f t="shared" si="61"/>
        <v>1.3525069634579169E-12</v>
      </c>
      <c r="BH106" s="60">
        <f t="shared" si="62"/>
        <v>293.33333333333468</v>
      </c>
      <c r="BI106" s="60">
        <f ca="1">AVERAGE(OFFSET($BH$3,0,0,'Données projet'!$E$11+1,1))-AVERAGE(OFFSET($H$3,0,0,'Données projet'!$E$11+1,1))</f>
        <v>222.34562513006574</v>
      </c>
      <c r="BJ106" s="60">
        <f t="shared" si="92"/>
        <v>213.19969928771548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274.84847548786672</v>
      </c>
      <c r="CE106" s="60">
        <f t="shared" si="94"/>
        <v>376.2625056050623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0" t="e">
        <f t="shared" si="68"/>
        <v>#N/A</v>
      </c>
      <c r="CY106" s="60" t="e">
        <f ca="1">AVERAGE(OFFSET($CX$3,0,0,'Données projet'!$E$13+1,1))-AVERAGE(OFFSET($H$3,0,0,'Données projet'!$E$13+1,1))</f>
        <v>#N/A</v>
      </c>
      <c r="CZ106" s="60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8">
        <f t="shared" si="56"/>
        <v>405.92155947794635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3.4106051316484809E-13</v>
      </c>
      <c r="O107" s="14">
        <f>N107*VLOOKUP('Données projet'!$B$9,Paramètres!$A$1:$I$89,3,0)*VLOOKUP('Données projet'!$B$9,Paramètres!$A$1:$I$89,5,0)</f>
        <v>2.7134774427395314E-13</v>
      </c>
      <c r="P107" s="14">
        <f t="shared" si="87"/>
        <v>3.6292411711343559E-12</v>
      </c>
      <c r="Q107" s="22">
        <f t="shared" si="107"/>
        <v>6.7935256943361388E-12</v>
      </c>
      <c r="R107" s="60">
        <f t="shared" si="55"/>
        <v>293.33333333334014</v>
      </c>
      <c r="S107" s="60">
        <f ca="1">AVERAGE(OFFSET($R$3,0,0,'Données projet'!$E$9+1,1))-AVERAGE(OFFSET($H$3,0,0,'Données projet'!$E$9+1,1))</f>
        <v>238.47463071449789</v>
      </c>
      <c r="T107" s="60">
        <f t="shared" si="88"/>
        <v>270.92950919803718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2.5006556825246659E-13</v>
      </c>
      <c r="AK107" s="14">
        <f t="shared" si="89"/>
        <v>3.3765445850268018E-12</v>
      </c>
      <c r="AL107" s="22">
        <f t="shared" si="58"/>
        <v>6.3163460169613921E-12</v>
      </c>
      <c r="AM107" s="60">
        <f t="shared" si="59"/>
        <v>293.33333333333962</v>
      </c>
      <c r="AN107" s="60">
        <f ca="1">AVERAGE(OFFSET($AM$3,0,0,'Données projet'!$E$10+1,1))-AVERAGE(OFFSET($H$3,0,0,'Données projet'!$E$10+1,1))</f>
        <v>216.80783650073869</v>
      </c>
      <c r="AO107" s="60">
        <f t="shared" si="90"/>
        <v>247.59561829759309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4.4337866711430253E-14</v>
      </c>
      <c r="BF107" s="14">
        <f t="shared" si="91"/>
        <v>7.3222115536967035E-13</v>
      </c>
      <c r="BG107" s="22">
        <f t="shared" si="61"/>
        <v>1.3525069634579169E-12</v>
      </c>
      <c r="BH107" s="60">
        <f t="shared" si="62"/>
        <v>293.33333333333468</v>
      </c>
      <c r="BI107" s="60">
        <f ca="1">AVERAGE(OFFSET($BH$3,0,0,'Données projet'!$E$11+1,1))-AVERAGE(OFFSET($H$3,0,0,'Données projet'!$E$11+1,1))</f>
        <v>222.34562513006574</v>
      </c>
      <c r="BJ107" s="60">
        <f t="shared" si="92"/>
        <v>213.19969928771548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274.84847548786672</v>
      </c>
      <c r="CE107" s="60">
        <f t="shared" si="94"/>
        <v>376.2625056050623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0" t="e">
        <f t="shared" si="68"/>
        <v>#N/A</v>
      </c>
      <c r="CY107" s="60" t="e">
        <f ca="1">AVERAGE(OFFSET($CX$3,0,0,'Données projet'!$E$13+1,1))-AVERAGE(OFFSET($H$3,0,0,'Données projet'!$E$13+1,1))</f>
        <v>#N/A</v>
      </c>
      <c r="CZ107" s="60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8">
        <f t="shared" si="56"/>
        <v>406.9755188632746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3.4106051316484809E-13</v>
      </c>
      <c r="O108" s="14">
        <f>N108*VLOOKUP('Données projet'!$B$9,Paramètres!$A$1:$I$89,3,0)*VLOOKUP('Données projet'!$B$9,Paramètres!$A$1:$I$89,5,0)</f>
        <v>2.7134774427395314E-13</v>
      </c>
      <c r="P108" s="14">
        <f t="shared" si="87"/>
        <v>3.6292411711343559E-12</v>
      </c>
      <c r="Q108" s="22">
        <f t="shared" si="107"/>
        <v>6.7935256943361388E-12</v>
      </c>
      <c r="R108" s="60">
        <f t="shared" si="55"/>
        <v>293.33333333334014</v>
      </c>
      <c r="S108" s="60">
        <f ca="1">AVERAGE(OFFSET($R$3,0,0,'Données projet'!$E$9+1,1))-AVERAGE(OFFSET($H$3,0,0,'Données projet'!$E$9+1,1))</f>
        <v>238.47463071449789</v>
      </c>
      <c r="T108" s="60">
        <f t="shared" si="88"/>
        <v>270.92950919803718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2.5006556825246659E-13</v>
      </c>
      <c r="AK108" s="14">
        <f t="shared" si="89"/>
        <v>3.3765445850268018E-12</v>
      </c>
      <c r="AL108" s="22">
        <f t="shared" si="58"/>
        <v>6.3163460169613921E-12</v>
      </c>
      <c r="AM108" s="60">
        <f t="shared" si="59"/>
        <v>293.33333333333962</v>
      </c>
      <c r="AN108" s="60">
        <f ca="1">AVERAGE(OFFSET($AM$3,0,0,'Données projet'!$E$10+1,1))-AVERAGE(OFFSET($H$3,0,0,'Données projet'!$E$10+1,1))</f>
        <v>216.80783650073869</v>
      </c>
      <c r="AO108" s="60">
        <f t="shared" si="90"/>
        <v>247.59561829759309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4.4337866711430253E-14</v>
      </c>
      <c r="BF108" s="14">
        <f t="shared" si="91"/>
        <v>7.3222115536967035E-13</v>
      </c>
      <c r="BG108" s="22">
        <f t="shared" si="61"/>
        <v>1.3525069634579169E-12</v>
      </c>
      <c r="BH108" s="60">
        <f t="shared" si="62"/>
        <v>293.33333333333468</v>
      </c>
      <c r="BI108" s="60">
        <f ca="1">AVERAGE(OFFSET($BH$3,0,0,'Données projet'!$E$11+1,1))-AVERAGE(OFFSET($H$3,0,0,'Données projet'!$E$11+1,1))</f>
        <v>222.34562513006574</v>
      </c>
      <c r="BJ108" s="60">
        <f t="shared" si="92"/>
        <v>213.19969928771548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274.84847548786672</v>
      </c>
      <c r="CE108" s="60">
        <f t="shared" si="94"/>
        <v>376.2625056050623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0" t="e">
        <f t="shared" si="68"/>
        <v>#N/A</v>
      </c>
      <c r="CY108" s="60" t="e">
        <f ca="1">AVERAGE(OFFSET($CX$3,0,0,'Données projet'!$E$13+1,1))-AVERAGE(OFFSET($H$3,0,0,'Données projet'!$E$13+1,1))</f>
        <v>#N/A</v>
      </c>
      <c r="CZ108" s="60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8">
        <f t="shared" si="56"/>
        <v>408.0292386847965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projet'!$B$9,Paramètres!$A$1:$I$89,3,0)*VLOOKUP('Données projet'!$B$9,Paramètres!$A$1:$I$89,5,0)</f>
        <v>2.7134774427395314E-13</v>
      </c>
      <c r="P109" s="14">
        <f t="shared" si="87"/>
        <v>3.6292411711343559E-12</v>
      </c>
      <c r="Q109" s="22">
        <f t="shared" si="107"/>
        <v>6.7935256943361388E-12</v>
      </c>
      <c r="R109" s="60">
        <f t="shared" si="55"/>
        <v>293.33333333334014</v>
      </c>
      <c r="S109" s="60">
        <f ca="1">AVERAGE(OFFSET($R$3,0,0,'Données projet'!$E$9+1,1))-AVERAGE(OFFSET($H$3,0,0,'Données projet'!$E$9+1,1))</f>
        <v>238.47463071449789</v>
      </c>
      <c r="T109" s="60">
        <f t="shared" si="88"/>
        <v>270.92950919803718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2.5006556825246659E-13</v>
      </c>
      <c r="AK109" s="14">
        <f t="shared" si="89"/>
        <v>3.3765445850268018E-12</v>
      </c>
      <c r="AL109" s="22">
        <f t="shared" si="58"/>
        <v>6.3163460169613921E-12</v>
      </c>
      <c r="AM109" s="60">
        <f t="shared" si="59"/>
        <v>293.33333333333962</v>
      </c>
      <c r="AN109" s="60">
        <f ca="1">AVERAGE(OFFSET($AM$3,0,0,'Données projet'!$E$10+1,1))-AVERAGE(OFFSET($H$3,0,0,'Données projet'!$E$10+1,1))</f>
        <v>216.80783650073869</v>
      </c>
      <c r="AO109" s="60">
        <f t="shared" si="90"/>
        <v>247.59561829759309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4.4337866711430253E-14</v>
      </c>
      <c r="BF109" s="14">
        <f t="shared" si="91"/>
        <v>7.3222115536967035E-13</v>
      </c>
      <c r="BG109" s="22">
        <f t="shared" si="61"/>
        <v>1.3525069634579169E-12</v>
      </c>
      <c r="BH109" s="60">
        <f t="shared" si="62"/>
        <v>293.33333333333468</v>
      </c>
      <c r="BI109" s="60">
        <f ca="1">AVERAGE(OFFSET($BH$3,0,0,'Données projet'!$E$11+1,1))-AVERAGE(OFFSET($H$3,0,0,'Données projet'!$E$11+1,1))</f>
        <v>222.34562513006574</v>
      </c>
      <c r="BJ109" s="60">
        <f t="shared" si="92"/>
        <v>213.19969928771548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274.84847548786672</v>
      </c>
      <c r="CE109" s="60">
        <f t="shared" si="94"/>
        <v>376.2625056050623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0" t="e">
        <f t="shared" si="68"/>
        <v>#N/A</v>
      </c>
      <c r="CY109" s="60" t="e">
        <f ca="1">AVERAGE(OFFSET($CX$3,0,0,'Données projet'!$E$13+1,1))-AVERAGE(OFFSET($H$3,0,0,'Données projet'!$E$13+1,1))</f>
        <v>#N/A</v>
      </c>
      <c r="CZ109" s="60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8">
        <f t="shared" si="56"/>
        <v>409.08272146430653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projet'!$B$9,Paramètres!$A$1:$I$89,3,0)*VLOOKUP('Données projet'!$B$9,Paramètres!$A$1:$I$89,5,0)</f>
        <v>2.7134774427395314E-13</v>
      </c>
      <c r="P110" s="14">
        <f t="shared" si="87"/>
        <v>3.6292411711343559E-12</v>
      </c>
      <c r="Q110" s="22">
        <f t="shared" si="107"/>
        <v>6.7935256943361388E-12</v>
      </c>
      <c r="R110" s="60">
        <f t="shared" si="55"/>
        <v>293.33333333334014</v>
      </c>
      <c r="S110" s="60">
        <f ca="1">AVERAGE(OFFSET($R$3,0,0,'Données projet'!$E$9+1,1))-AVERAGE(OFFSET($H$3,0,0,'Données projet'!$E$9+1,1))</f>
        <v>238.47463071449789</v>
      </c>
      <c r="T110" s="60">
        <f t="shared" si="88"/>
        <v>270.92950919803718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2.5006556825246659E-13</v>
      </c>
      <c r="AK110" s="14">
        <f t="shared" si="89"/>
        <v>3.3765445850268018E-12</v>
      </c>
      <c r="AL110" s="22">
        <f t="shared" si="58"/>
        <v>6.3163460169613921E-12</v>
      </c>
      <c r="AM110" s="60">
        <f t="shared" si="59"/>
        <v>293.33333333333962</v>
      </c>
      <c r="AN110" s="60">
        <f ca="1">AVERAGE(OFFSET($AM$3,0,0,'Données projet'!$E$10+1,1))-AVERAGE(OFFSET($H$3,0,0,'Données projet'!$E$10+1,1))</f>
        <v>216.80783650073869</v>
      </c>
      <c r="AO110" s="60">
        <f t="shared" si="90"/>
        <v>247.59561829759309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4.4337866711430253E-14</v>
      </c>
      <c r="BF110" s="14">
        <f t="shared" si="91"/>
        <v>7.3222115536967035E-13</v>
      </c>
      <c r="BG110" s="22">
        <f t="shared" si="61"/>
        <v>1.3525069634579169E-12</v>
      </c>
      <c r="BH110" s="60">
        <f t="shared" si="62"/>
        <v>293.33333333333468</v>
      </c>
      <c r="BI110" s="60">
        <f ca="1">AVERAGE(OFFSET($BH$3,0,0,'Données projet'!$E$11+1,1))-AVERAGE(OFFSET($H$3,0,0,'Données projet'!$E$11+1,1))</f>
        <v>222.34562513006574</v>
      </c>
      <c r="BJ110" s="60">
        <f t="shared" si="92"/>
        <v>213.19969928771548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274.84847548786672</v>
      </c>
      <c r="CE110" s="60">
        <f t="shared" si="94"/>
        <v>376.2625056050623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0" t="e">
        <f t="shared" si="68"/>
        <v>#N/A</v>
      </c>
      <c r="CY110" s="60" t="e">
        <f ca="1">AVERAGE(OFFSET($CX$3,0,0,'Données projet'!$E$13+1,1))-AVERAGE(OFFSET($H$3,0,0,'Données projet'!$E$13+1,1))</f>
        <v>#N/A</v>
      </c>
      <c r="CZ110" s="60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8">
        <f t="shared" si="56"/>
        <v>410.13596967374428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projet'!$B$9,Paramètres!$A$1:$I$89,3,0)*VLOOKUP('Données projet'!$B$9,Paramètres!$A$1:$I$89,5,0)</f>
        <v>2.7134774427395314E-13</v>
      </c>
      <c r="P111" s="14">
        <f t="shared" si="87"/>
        <v>3.6292411711343559E-12</v>
      </c>
      <c r="Q111" s="22">
        <f t="shared" si="107"/>
        <v>6.7935256943361388E-12</v>
      </c>
      <c r="R111" s="60">
        <f t="shared" si="55"/>
        <v>293.33333333334014</v>
      </c>
      <c r="S111" s="60">
        <f ca="1">AVERAGE(OFFSET($R$3,0,0,'Données projet'!$E$9+1,1))-AVERAGE(OFFSET($H$3,0,0,'Données projet'!$E$9+1,1))</f>
        <v>238.47463071449789</v>
      </c>
      <c r="T111" s="60">
        <f t="shared" si="88"/>
        <v>270.92950919803718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2.5006556825246659E-13</v>
      </c>
      <c r="AK111" s="14">
        <f t="shared" si="89"/>
        <v>3.3765445850268018E-12</v>
      </c>
      <c r="AL111" s="22">
        <f t="shared" si="58"/>
        <v>6.3163460169613921E-12</v>
      </c>
      <c r="AM111" s="60">
        <f t="shared" si="59"/>
        <v>293.33333333333962</v>
      </c>
      <c r="AN111" s="60">
        <f ca="1">AVERAGE(OFFSET($AM$3,0,0,'Données projet'!$E$10+1,1))-AVERAGE(OFFSET($H$3,0,0,'Données projet'!$E$10+1,1))</f>
        <v>216.80783650073869</v>
      </c>
      <c r="AO111" s="60">
        <f t="shared" si="90"/>
        <v>247.59561829759309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4.4337866711430253E-14</v>
      </c>
      <c r="BF111" s="14">
        <f t="shared" si="91"/>
        <v>7.3222115536967035E-13</v>
      </c>
      <c r="BG111" s="22">
        <f t="shared" si="61"/>
        <v>1.3525069634579169E-12</v>
      </c>
      <c r="BH111" s="60">
        <f t="shared" si="62"/>
        <v>293.33333333333468</v>
      </c>
      <c r="BI111" s="60">
        <f ca="1">AVERAGE(OFFSET($BH$3,0,0,'Données projet'!$E$11+1,1))-AVERAGE(OFFSET($H$3,0,0,'Données projet'!$E$11+1,1))</f>
        <v>222.34562513006574</v>
      </c>
      <c r="BJ111" s="60">
        <f t="shared" si="92"/>
        <v>213.19969928771548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274.84847548786672</v>
      </c>
      <c r="CE111" s="60">
        <f t="shared" si="94"/>
        <v>376.2625056050623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0" t="e">
        <f t="shared" si="68"/>
        <v>#N/A</v>
      </c>
      <c r="CY111" s="60" t="e">
        <f ca="1">AVERAGE(OFFSET($CX$3,0,0,'Données projet'!$E$13+1,1))-AVERAGE(OFFSET($H$3,0,0,'Données projet'!$E$13+1,1))</f>
        <v>#N/A</v>
      </c>
      <c r="CZ111" s="60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8">
        <f t="shared" si="56"/>
        <v>411.18898573663273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projet'!$B$9,Paramètres!$A$1:$I$89,3,0)*VLOOKUP('Données projet'!$B$9,Paramètres!$A$1:$I$89,5,0)</f>
        <v>2.7134774427395314E-13</v>
      </c>
      <c r="P112" s="14">
        <f t="shared" si="87"/>
        <v>3.6292411711343559E-12</v>
      </c>
      <c r="Q112" s="22">
        <f t="shared" si="107"/>
        <v>6.7935256943361388E-12</v>
      </c>
      <c r="R112" s="60">
        <f t="shared" si="55"/>
        <v>293.33333333334014</v>
      </c>
      <c r="S112" s="60">
        <f ca="1">AVERAGE(OFFSET($R$3,0,0,'Données projet'!$E$9+1,1))-AVERAGE(OFFSET($H$3,0,0,'Données projet'!$E$9+1,1))</f>
        <v>238.47463071449789</v>
      </c>
      <c r="T112" s="60">
        <f t="shared" si="88"/>
        <v>270.92950919803718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2.5006556825246659E-13</v>
      </c>
      <c r="AK112" s="14">
        <f t="shared" si="89"/>
        <v>3.3765445850268018E-12</v>
      </c>
      <c r="AL112" s="22">
        <f t="shared" si="58"/>
        <v>6.3163460169613921E-12</v>
      </c>
      <c r="AM112" s="60">
        <f t="shared" si="59"/>
        <v>293.33333333333962</v>
      </c>
      <c r="AN112" s="60">
        <f ca="1">AVERAGE(OFFSET($AM$3,0,0,'Données projet'!$E$10+1,1))-AVERAGE(OFFSET($H$3,0,0,'Données projet'!$E$10+1,1))</f>
        <v>216.80783650073869</v>
      </c>
      <c r="AO112" s="60">
        <f t="shared" si="90"/>
        <v>247.59561829759309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4.4337866711430253E-14</v>
      </c>
      <c r="BF112" s="14">
        <f t="shared" si="91"/>
        <v>7.3222115536967035E-13</v>
      </c>
      <c r="BG112" s="22">
        <f t="shared" si="61"/>
        <v>1.3525069634579169E-12</v>
      </c>
      <c r="BH112" s="60">
        <f t="shared" si="62"/>
        <v>293.33333333333468</v>
      </c>
      <c r="BI112" s="60">
        <f ca="1">AVERAGE(OFFSET($BH$3,0,0,'Données projet'!$E$11+1,1))-AVERAGE(OFFSET($H$3,0,0,'Données projet'!$E$11+1,1))</f>
        <v>222.34562513006574</v>
      </c>
      <c r="BJ112" s="60">
        <f t="shared" si="92"/>
        <v>213.19969928771548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274.84847548786672</v>
      </c>
      <c r="CE112" s="60">
        <f t="shared" si="94"/>
        <v>376.2625056050623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0" t="e">
        <f t="shared" si="68"/>
        <v>#N/A</v>
      </c>
      <c r="CY112" s="60" t="e">
        <f ca="1">AVERAGE(OFFSET($CX$3,0,0,'Données projet'!$E$13+1,1))-AVERAGE(OFFSET($H$3,0,0,'Données projet'!$E$13+1,1))</f>
        <v>#N/A</v>
      </c>
      <c r="CZ112" s="60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8">
        <f t="shared" si="56"/>
        <v>412.2417720294614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2.7134774427395314E-13</v>
      </c>
      <c r="P113" s="14">
        <f t="shared" si="87"/>
        <v>3.6292411711343559E-12</v>
      </c>
      <c r="Q113" s="22">
        <f t="shared" si="107"/>
        <v>6.7935256943361388E-12</v>
      </c>
      <c r="R113" s="60">
        <f t="shared" si="55"/>
        <v>293.33333333334014</v>
      </c>
      <c r="S113" s="60">
        <f ca="1">AVERAGE(OFFSET($R$3,0,0,'Données projet'!$E$9+1,1))-AVERAGE(OFFSET($H$3,0,0,'Données projet'!$E$9+1,1))</f>
        <v>238.47463071449789</v>
      </c>
      <c r="T113" s="60">
        <f t="shared" si="88"/>
        <v>270.92950919803718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2.5006556825246659E-13</v>
      </c>
      <c r="AK113" s="14">
        <f t="shared" si="89"/>
        <v>3.3765445850268018E-12</v>
      </c>
      <c r="AL113" s="22">
        <f t="shared" si="58"/>
        <v>6.3163460169613921E-12</v>
      </c>
      <c r="AM113" s="60">
        <f t="shared" si="59"/>
        <v>293.33333333333962</v>
      </c>
      <c r="AN113" s="60">
        <f ca="1">AVERAGE(OFFSET($AM$3,0,0,'Données projet'!$E$10+1,1))-AVERAGE(OFFSET($H$3,0,0,'Données projet'!$E$10+1,1))</f>
        <v>216.80783650073869</v>
      </c>
      <c r="AO113" s="60">
        <f t="shared" si="90"/>
        <v>247.59561829759309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4.4337866711430253E-14</v>
      </c>
      <c r="BF113" s="14">
        <f t="shared" si="91"/>
        <v>7.3222115536967035E-13</v>
      </c>
      <c r="BG113" s="22">
        <f t="shared" si="61"/>
        <v>1.3525069634579169E-12</v>
      </c>
      <c r="BH113" s="60">
        <f t="shared" si="62"/>
        <v>293.33333333333468</v>
      </c>
      <c r="BI113" s="60">
        <f ca="1">AVERAGE(OFFSET($BH$3,0,0,'Données projet'!$E$11+1,1))-AVERAGE(OFFSET($H$3,0,0,'Données projet'!$E$11+1,1))</f>
        <v>222.34562513006574</v>
      </c>
      <c r="BJ113" s="60">
        <f t="shared" si="92"/>
        <v>213.19969928771548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274.84847548786672</v>
      </c>
      <c r="CE113" s="60">
        <f t="shared" si="94"/>
        <v>376.2625056050623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0" t="e">
        <f t="shared" si="68"/>
        <v>#N/A</v>
      </c>
      <c r="CY113" s="60" t="e">
        <f ca="1">AVERAGE(OFFSET($CX$3,0,0,'Données projet'!$E$13+1,1))-AVERAGE(OFFSET($H$3,0,0,'Données projet'!$E$13+1,1))</f>
        <v>#N/A</v>
      </c>
      <c r="CZ113" s="60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8">
        <f t="shared" si="56"/>
        <v>413.29433088301869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2.7134774427395314E-13</v>
      </c>
      <c r="P114" s="14">
        <f t="shared" si="87"/>
        <v>3.6292411711343559E-12</v>
      </c>
      <c r="Q114" s="22">
        <f t="shared" si="107"/>
        <v>6.7935256943361388E-12</v>
      </c>
      <c r="R114" s="60">
        <f t="shared" si="55"/>
        <v>293.33333333334014</v>
      </c>
      <c r="S114" s="60">
        <f ca="1">AVERAGE(OFFSET($R$3,0,0,'Données projet'!$E$9+1,1))-AVERAGE(OFFSET($H$3,0,0,'Données projet'!$E$9+1,1))</f>
        <v>238.47463071449789</v>
      </c>
      <c r="T114" s="60">
        <f t="shared" si="88"/>
        <v>270.92950919803718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2.5006556825246659E-13</v>
      </c>
      <c r="AK114" s="14">
        <f t="shared" si="89"/>
        <v>3.3765445850268018E-12</v>
      </c>
      <c r="AL114" s="22">
        <f t="shared" si="58"/>
        <v>6.3163460169613921E-12</v>
      </c>
      <c r="AM114" s="60">
        <f t="shared" si="59"/>
        <v>293.33333333333962</v>
      </c>
      <c r="AN114" s="60">
        <f ca="1">AVERAGE(OFFSET($AM$3,0,0,'Données projet'!$E$10+1,1))-AVERAGE(OFFSET($H$3,0,0,'Données projet'!$E$10+1,1))</f>
        <v>216.80783650073869</v>
      </c>
      <c r="AO114" s="60">
        <f t="shared" si="90"/>
        <v>247.59561829759309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4.4337866711430253E-14</v>
      </c>
      <c r="BF114" s="14">
        <f t="shared" si="91"/>
        <v>7.3222115536967035E-13</v>
      </c>
      <c r="BG114" s="22">
        <f t="shared" si="61"/>
        <v>1.3525069634579169E-12</v>
      </c>
      <c r="BH114" s="60">
        <f t="shared" si="62"/>
        <v>293.33333333333468</v>
      </c>
      <c r="BI114" s="60">
        <f ca="1">AVERAGE(OFFSET($BH$3,0,0,'Données projet'!$E$11+1,1))-AVERAGE(OFFSET($H$3,0,0,'Données projet'!$E$11+1,1))</f>
        <v>222.34562513006574</v>
      </c>
      <c r="BJ114" s="60">
        <f t="shared" si="92"/>
        <v>213.19969928771548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274.84847548786672</v>
      </c>
      <c r="CE114" s="60">
        <f t="shared" si="94"/>
        <v>376.2625056050623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0" t="e">
        <f t="shared" si="68"/>
        <v>#N/A</v>
      </c>
      <c r="CY114" s="60" t="e">
        <f ca="1">AVERAGE(OFFSET($CX$3,0,0,'Données projet'!$E$13+1,1))-AVERAGE(OFFSET($H$3,0,0,'Données projet'!$E$13+1,1))</f>
        <v>#N/A</v>
      </c>
      <c r="CZ114" s="60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8">
        <f t="shared" si="56"/>
        <v>414.34666458367406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2.7134774427395314E-13</v>
      </c>
      <c r="P115" s="14">
        <f t="shared" si="87"/>
        <v>3.6292411711343559E-12</v>
      </c>
      <c r="Q115" s="22">
        <f t="shared" si="107"/>
        <v>6.7935256943361388E-12</v>
      </c>
      <c r="R115" s="60">
        <f t="shared" si="55"/>
        <v>293.33333333334014</v>
      </c>
      <c r="S115" s="60">
        <f ca="1">AVERAGE(OFFSET($R$3,0,0,'Données projet'!$E$9+1,1))-AVERAGE(OFFSET($H$3,0,0,'Données projet'!$E$9+1,1))</f>
        <v>238.47463071449789</v>
      </c>
      <c r="T115" s="60">
        <f t="shared" si="88"/>
        <v>270.92950919803718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2.5006556825246659E-13</v>
      </c>
      <c r="AK115" s="14">
        <f t="shared" si="89"/>
        <v>3.3765445850268018E-12</v>
      </c>
      <c r="AL115" s="22">
        <f t="shared" si="58"/>
        <v>6.3163460169613921E-12</v>
      </c>
      <c r="AM115" s="60">
        <f t="shared" si="59"/>
        <v>293.33333333333962</v>
      </c>
      <c r="AN115" s="60">
        <f ca="1">AVERAGE(OFFSET($AM$3,0,0,'Données projet'!$E$10+1,1))-AVERAGE(OFFSET($H$3,0,0,'Données projet'!$E$10+1,1))</f>
        <v>216.80783650073869</v>
      </c>
      <c r="AO115" s="60">
        <f t="shared" si="90"/>
        <v>247.59561829759309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4.4337866711430253E-14</v>
      </c>
      <c r="BF115" s="14">
        <f t="shared" si="91"/>
        <v>7.3222115536967035E-13</v>
      </c>
      <c r="BG115" s="22">
        <f t="shared" si="61"/>
        <v>1.3525069634579169E-12</v>
      </c>
      <c r="BH115" s="60">
        <f t="shared" si="62"/>
        <v>293.33333333333468</v>
      </c>
      <c r="BI115" s="60">
        <f ca="1">AVERAGE(OFFSET($BH$3,0,0,'Données projet'!$E$11+1,1))-AVERAGE(OFFSET($H$3,0,0,'Données projet'!$E$11+1,1))</f>
        <v>222.34562513006574</v>
      </c>
      <c r="BJ115" s="60">
        <f t="shared" si="92"/>
        <v>213.19969928771548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274.84847548786672</v>
      </c>
      <c r="CE115" s="60">
        <f t="shared" si="94"/>
        <v>376.2625056050623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0" t="e">
        <f t="shared" si="68"/>
        <v>#N/A</v>
      </c>
      <c r="CY115" s="60" t="e">
        <f ca="1">AVERAGE(OFFSET($CX$3,0,0,'Données projet'!$E$13+1,1))-AVERAGE(OFFSET($H$3,0,0,'Données projet'!$E$13+1,1))</f>
        <v>#N/A</v>
      </c>
      <c r="CZ115" s="60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8">
        <f t="shared" si="56"/>
        <v>415.39877537461348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2.7134774427395314E-13</v>
      </c>
      <c r="P116" s="14">
        <f t="shared" si="87"/>
        <v>3.6292411711343559E-12</v>
      </c>
      <c r="Q116" s="22">
        <f t="shared" si="107"/>
        <v>6.7935256943361388E-12</v>
      </c>
      <c r="R116" s="60">
        <f t="shared" si="55"/>
        <v>293.33333333334014</v>
      </c>
      <c r="S116" s="60">
        <f ca="1">AVERAGE(OFFSET($R$3,0,0,'Données projet'!$E$9+1,1))-AVERAGE(OFFSET($H$3,0,0,'Données projet'!$E$9+1,1))</f>
        <v>238.47463071449789</v>
      </c>
      <c r="T116" s="60">
        <f t="shared" si="88"/>
        <v>270.92950919803718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2.5006556825246659E-13</v>
      </c>
      <c r="AK116" s="14">
        <f t="shared" si="89"/>
        <v>3.3765445850268018E-12</v>
      </c>
      <c r="AL116" s="22">
        <f t="shared" si="58"/>
        <v>6.3163460169613921E-12</v>
      </c>
      <c r="AM116" s="60">
        <f t="shared" si="59"/>
        <v>293.33333333333962</v>
      </c>
      <c r="AN116" s="60">
        <f ca="1">AVERAGE(OFFSET($AM$3,0,0,'Données projet'!$E$10+1,1))-AVERAGE(OFFSET($H$3,0,0,'Données projet'!$E$10+1,1))</f>
        <v>216.80783650073869</v>
      </c>
      <c r="AO116" s="60">
        <f t="shared" si="90"/>
        <v>247.59561829759309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4.4337866711430253E-14</v>
      </c>
      <c r="BF116" s="14">
        <f t="shared" si="91"/>
        <v>7.3222115536967035E-13</v>
      </c>
      <c r="BG116" s="22">
        <f t="shared" si="61"/>
        <v>1.3525069634579169E-12</v>
      </c>
      <c r="BH116" s="60">
        <f t="shared" si="62"/>
        <v>293.33333333333468</v>
      </c>
      <c r="BI116" s="60">
        <f ca="1">AVERAGE(OFFSET($BH$3,0,0,'Données projet'!$E$11+1,1))-AVERAGE(OFFSET($H$3,0,0,'Données projet'!$E$11+1,1))</f>
        <v>222.34562513006574</v>
      </c>
      <c r="BJ116" s="60">
        <f t="shared" si="92"/>
        <v>213.19969928771548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274.84847548786672</v>
      </c>
      <c r="CE116" s="60">
        <f t="shared" si="94"/>
        <v>376.2625056050623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0" t="e">
        <f t="shared" si="68"/>
        <v>#N/A</v>
      </c>
      <c r="CY116" s="60" t="e">
        <f ca="1">AVERAGE(OFFSET($CX$3,0,0,'Données projet'!$E$13+1,1))-AVERAGE(OFFSET($H$3,0,0,'Données projet'!$E$13+1,1))</f>
        <v>#N/A</v>
      </c>
      <c r="CZ116" s="60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8">
        <f t="shared" si="56"/>
        <v>416.45066545702986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2.7134774427395314E-13</v>
      </c>
      <c r="P117" s="14">
        <f t="shared" si="87"/>
        <v>3.6292411711343559E-12</v>
      </c>
      <c r="Q117" s="22">
        <f t="shared" si="107"/>
        <v>6.7935256943361388E-12</v>
      </c>
      <c r="R117" s="60">
        <f t="shared" si="55"/>
        <v>293.33333333334014</v>
      </c>
      <c r="S117" s="60">
        <f ca="1">AVERAGE(OFFSET($R$3,0,0,'Données projet'!$E$9+1,1))-AVERAGE(OFFSET($H$3,0,0,'Données projet'!$E$9+1,1))</f>
        <v>238.47463071449789</v>
      </c>
      <c r="T117" s="60">
        <f t="shared" si="88"/>
        <v>270.92950919803718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2.5006556825246659E-13</v>
      </c>
      <c r="AK117" s="14">
        <f t="shared" si="89"/>
        <v>3.3765445850268018E-12</v>
      </c>
      <c r="AL117" s="22">
        <f t="shared" si="58"/>
        <v>6.3163460169613921E-12</v>
      </c>
      <c r="AM117" s="60">
        <f t="shared" si="59"/>
        <v>293.33333333333962</v>
      </c>
      <c r="AN117" s="60">
        <f ca="1">AVERAGE(OFFSET($AM$3,0,0,'Données projet'!$E$10+1,1))-AVERAGE(OFFSET($H$3,0,0,'Données projet'!$E$10+1,1))</f>
        <v>216.80783650073869</v>
      </c>
      <c r="AO117" s="60">
        <f t="shared" si="90"/>
        <v>247.59561829759309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4.4337866711430253E-14</v>
      </c>
      <c r="BF117" s="14">
        <f t="shared" si="91"/>
        <v>7.3222115536967035E-13</v>
      </c>
      <c r="BG117" s="22">
        <f t="shared" si="61"/>
        <v>1.3525069634579169E-12</v>
      </c>
      <c r="BH117" s="60">
        <f t="shared" si="62"/>
        <v>293.33333333333468</v>
      </c>
      <c r="BI117" s="60">
        <f ca="1">AVERAGE(OFFSET($BH$3,0,0,'Données projet'!$E$11+1,1))-AVERAGE(OFFSET($H$3,0,0,'Données projet'!$E$11+1,1))</f>
        <v>222.34562513006574</v>
      </c>
      <c r="BJ117" s="60">
        <f t="shared" si="92"/>
        <v>213.19969928771548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274.84847548786672</v>
      </c>
      <c r="CE117" s="60">
        <f t="shared" si="94"/>
        <v>376.2625056050623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0" t="e">
        <f t="shared" si="68"/>
        <v>#N/A</v>
      </c>
      <c r="CY117" s="60" t="e">
        <f ca="1">AVERAGE(OFFSET($CX$3,0,0,'Données projet'!$E$13+1,1))-AVERAGE(OFFSET($H$3,0,0,'Données projet'!$E$13+1,1))</f>
        <v>#N/A</v>
      </c>
      <c r="CZ117" s="60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8">
        <f t="shared" si="56"/>
        <v>417.5023369912704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2.7134774427395314E-13</v>
      </c>
      <c r="P118" s="14">
        <f t="shared" si="87"/>
        <v>3.6292411711343559E-12</v>
      </c>
      <c r="Q118" s="22">
        <f t="shared" si="107"/>
        <v>6.7935256943361388E-12</v>
      </c>
      <c r="R118" s="60">
        <f t="shared" si="55"/>
        <v>293.33333333334014</v>
      </c>
      <c r="S118" s="60">
        <f ca="1">AVERAGE(OFFSET($R$3,0,0,'Données projet'!$E$9+1,1))-AVERAGE(OFFSET($H$3,0,0,'Données projet'!$E$9+1,1))</f>
        <v>238.47463071449789</v>
      </c>
      <c r="T118" s="60">
        <f t="shared" si="88"/>
        <v>270.92950919803718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2.5006556825246659E-13</v>
      </c>
      <c r="AK118" s="14">
        <f t="shared" si="89"/>
        <v>3.3765445850268018E-12</v>
      </c>
      <c r="AL118" s="22">
        <f t="shared" si="58"/>
        <v>6.3163460169613921E-12</v>
      </c>
      <c r="AM118" s="60">
        <f t="shared" si="59"/>
        <v>293.33333333333962</v>
      </c>
      <c r="AN118" s="60">
        <f ca="1">AVERAGE(OFFSET($AM$3,0,0,'Données projet'!$E$10+1,1))-AVERAGE(OFFSET($H$3,0,0,'Données projet'!$E$10+1,1))</f>
        <v>216.80783650073869</v>
      </c>
      <c r="AO118" s="60">
        <f t="shared" si="90"/>
        <v>247.59561829759309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4.4337866711430253E-14</v>
      </c>
      <c r="BF118" s="14">
        <f t="shared" si="91"/>
        <v>7.3222115536967035E-13</v>
      </c>
      <c r="BG118" s="22">
        <f t="shared" si="61"/>
        <v>1.3525069634579169E-12</v>
      </c>
      <c r="BH118" s="60">
        <f t="shared" si="62"/>
        <v>293.33333333333468</v>
      </c>
      <c r="BI118" s="60">
        <f ca="1">AVERAGE(OFFSET($BH$3,0,0,'Données projet'!$E$11+1,1))-AVERAGE(OFFSET($H$3,0,0,'Données projet'!$E$11+1,1))</f>
        <v>222.34562513006574</v>
      </c>
      <c r="BJ118" s="60">
        <f t="shared" si="92"/>
        <v>213.19969928771548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274.84847548786672</v>
      </c>
      <c r="CE118" s="60">
        <f t="shared" si="94"/>
        <v>376.2625056050623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0" t="e">
        <f t="shared" si="68"/>
        <v>#N/A</v>
      </c>
      <c r="CY118" s="60" t="e">
        <f ca="1">AVERAGE(OFFSET($CX$3,0,0,'Données projet'!$E$13+1,1))-AVERAGE(OFFSET($H$3,0,0,'Données projet'!$E$13+1,1))</f>
        <v>#N/A</v>
      </c>
      <c r="CZ118" s="60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8">
        <f t="shared" si="56"/>
        <v>418.55379209794313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2.7134774427395314E-13</v>
      </c>
      <c r="P119" s="14">
        <f t="shared" si="87"/>
        <v>3.6292411711343559E-12</v>
      </c>
      <c r="Q119" s="22">
        <f t="shared" si="107"/>
        <v>6.7935256943361388E-12</v>
      </c>
      <c r="R119" s="60">
        <f t="shared" si="55"/>
        <v>293.33333333334014</v>
      </c>
      <c r="S119" s="60">
        <f ca="1">AVERAGE(OFFSET($R$3,0,0,'Données projet'!$E$9+1,1))-AVERAGE(OFFSET($H$3,0,0,'Données projet'!$E$9+1,1))</f>
        <v>238.47463071449789</v>
      </c>
      <c r="T119" s="60">
        <f t="shared" si="88"/>
        <v>270.92950919803718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2.5006556825246659E-13</v>
      </c>
      <c r="AK119" s="14">
        <f t="shared" si="89"/>
        <v>3.3765445850268018E-12</v>
      </c>
      <c r="AL119" s="22">
        <f t="shared" si="58"/>
        <v>6.3163460169613921E-12</v>
      </c>
      <c r="AM119" s="60">
        <f t="shared" si="59"/>
        <v>293.33333333333962</v>
      </c>
      <c r="AN119" s="60">
        <f ca="1">AVERAGE(OFFSET($AM$3,0,0,'Données projet'!$E$10+1,1))-AVERAGE(OFFSET($H$3,0,0,'Données projet'!$E$10+1,1))</f>
        <v>216.80783650073869</v>
      </c>
      <c r="AO119" s="60">
        <f t="shared" si="90"/>
        <v>247.59561829759309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4.4337866711430253E-14</v>
      </c>
      <c r="BF119" s="14">
        <f t="shared" si="91"/>
        <v>7.3222115536967035E-13</v>
      </c>
      <c r="BG119" s="22">
        <f t="shared" si="61"/>
        <v>1.3525069634579169E-12</v>
      </c>
      <c r="BH119" s="60">
        <f t="shared" si="62"/>
        <v>293.33333333333468</v>
      </c>
      <c r="BI119" s="60">
        <f ca="1">AVERAGE(OFFSET($BH$3,0,0,'Données projet'!$E$11+1,1))-AVERAGE(OFFSET($H$3,0,0,'Données projet'!$E$11+1,1))</f>
        <v>222.34562513006574</v>
      </c>
      <c r="BJ119" s="60">
        <f t="shared" si="92"/>
        <v>213.19969928771548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274.84847548786672</v>
      </c>
      <c r="CE119" s="60">
        <f t="shared" si="94"/>
        <v>376.2625056050623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0" t="e">
        <f t="shared" si="68"/>
        <v>#N/A</v>
      </c>
      <c r="CY119" s="60" t="e">
        <f ca="1">AVERAGE(OFFSET($CX$3,0,0,'Données projet'!$E$13+1,1))-AVERAGE(OFFSET($H$3,0,0,'Données projet'!$E$13+1,1))</f>
        <v>#N/A</v>
      </c>
      <c r="CZ119" s="60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8">
        <f t="shared" si="56"/>
        <v>419.60503285898386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2.7134774427395314E-13</v>
      </c>
      <c r="P120" s="14">
        <f t="shared" si="87"/>
        <v>3.6292411711343559E-12</v>
      </c>
      <c r="Q120" s="22">
        <f t="shared" si="107"/>
        <v>6.7935256943361388E-12</v>
      </c>
      <c r="R120" s="60">
        <f t="shared" si="55"/>
        <v>293.33333333334014</v>
      </c>
      <c r="S120" s="60">
        <f ca="1">AVERAGE(OFFSET($R$3,0,0,'Données projet'!$E$9+1,1))-AVERAGE(OFFSET($H$3,0,0,'Données projet'!$E$9+1,1))</f>
        <v>238.47463071449789</v>
      </c>
      <c r="T120" s="60">
        <f t="shared" si="88"/>
        <v>270.92950919803718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2.5006556825246659E-13</v>
      </c>
      <c r="AK120" s="14">
        <f t="shared" si="89"/>
        <v>3.3765445850268018E-12</v>
      </c>
      <c r="AL120" s="22">
        <f t="shared" si="58"/>
        <v>6.3163460169613921E-12</v>
      </c>
      <c r="AM120" s="60">
        <f t="shared" si="59"/>
        <v>293.33333333333962</v>
      </c>
      <c r="AN120" s="60">
        <f ca="1">AVERAGE(OFFSET($AM$3,0,0,'Données projet'!$E$10+1,1))-AVERAGE(OFFSET($H$3,0,0,'Données projet'!$E$10+1,1))</f>
        <v>216.80783650073869</v>
      </c>
      <c r="AO120" s="60">
        <f t="shared" si="90"/>
        <v>247.59561829759309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4.4337866711430253E-14</v>
      </c>
      <c r="BF120" s="14">
        <f t="shared" si="91"/>
        <v>7.3222115536967035E-13</v>
      </c>
      <c r="BG120" s="22">
        <f t="shared" si="61"/>
        <v>1.3525069634579169E-12</v>
      </c>
      <c r="BH120" s="60">
        <f t="shared" si="62"/>
        <v>293.33333333333468</v>
      </c>
      <c r="BI120" s="60">
        <f ca="1">AVERAGE(OFFSET($BH$3,0,0,'Données projet'!$E$11+1,1))-AVERAGE(OFFSET($H$3,0,0,'Données projet'!$E$11+1,1))</f>
        <v>222.34562513006574</v>
      </c>
      <c r="BJ120" s="60">
        <f t="shared" si="92"/>
        <v>213.19969928771548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274.84847548786672</v>
      </c>
      <c r="CE120" s="60">
        <f t="shared" si="94"/>
        <v>376.2625056050623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0" t="e">
        <f t="shared" si="68"/>
        <v>#N/A</v>
      </c>
      <c r="CY120" s="60" t="e">
        <f ca="1">AVERAGE(OFFSET($CX$3,0,0,'Données projet'!$E$13+1,1))-AVERAGE(OFFSET($H$3,0,0,'Données projet'!$E$13+1,1))</f>
        <v>#N/A</v>
      </c>
      <c r="CZ120" s="60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8">
        <f t="shared" si="56"/>
        <v>420.65606131868589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2.7134774427395314E-13</v>
      </c>
      <c r="P121" s="14">
        <f t="shared" si="87"/>
        <v>3.6292411711343559E-12</v>
      </c>
      <c r="Q121" s="22">
        <f t="shared" si="107"/>
        <v>6.7935256943361388E-12</v>
      </c>
      <c r="R121" s="60">
        <f t="shared" si="55"/>
        <v>293.33333333334014</v>
      </c>
      <c r="S121" s="60">
        <f ca="1">AVERAGE(OFFSET($R$3,0,0,'Données projet'!$E$9+1,1))-AVERAGE(OFFSET($H$3,0,0,'Données projet'!$E$9+1,1))</f>
        <v>238.47463071449789</v>
      </c>
      <c r="T121" s="60">
        <f t="shared" si="88"/>
        <v>270.92950919803718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2.5006556825246659E-13</v>
      </c>
      <c r="AK121" s="14">
        <f t="shared" si="89"/>
        <v>3.3765445850268018E-12</v>
      </c>
      <c r="AL121" s="22">
        <f t="shared" si="58"/>
        <v>6.3163460169613921E-12</v>
      </c>
      <c r="AM121" s="60">
        <f t="shared" si="59"/>
        <v>293.33333333333962</v>
      </c>
      <c r="AN121" s="60">
        <f ca="1">AVERAGE(OFFSET($AM$3,0,0,'Données projet'!$E$10+1,1))-AVERAGE(OFFSET($H$3,0,0,'Données projet'!$E$10+1,1))</f>
        <v>216.80783650073869</v>
      </c>
      <c r="AO121" s="60">
        <f t="shared" si="90"/>
        <v>247.59561829759309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4.4337866711430253E-14</v>
      </c>
      <c r="BF121" s="14">
        <f t="shared" si="91"/>
        <v>7.3222115536967035E-13</v>
      </c>
      <c r="BG121" s="22">
        <f t="shared" si="61"/>
        <v>1.3525069634579169E-12</v>
      </c>
      <c r="BH121" s="60">
        <f t="shared" si="62"/>
        <v>293.33333333333468</v>
      </c>
      <c r="BI121" s="60">
        <f ca="1">AVERAGE(OFFSET($BH$3,0,0,'Données projet'!$E$11+1,1))-AVERAGE(OFFSET($H$3,0,0,'Données projet'!$E$11+1,1))</f>
        <v>222.34562513006574</v>
      </c>
      <c r="BJ121" s="60">
        <f t="shared" si="92"/>
        <v>213.19969928771548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274.84847548786672</v>
      </c>
      <c r="CE121" s="60">
        <f t="shared" si="94"/>
        <v>376.2625056050623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0" t="e">
        <f t="shared" si="68"/>
        <v>#N/A</v>
      </c>
      <c r="CY121" s="60" t="e">
        <f ca="1">AVERAGE(OFFSET($CX$3,0,0,'Données projet'!$E$13+1,1))-AVERAGE(OFFSET($H$3,0,0,'Données projet'!$E$13+1,1))</f>
        <v>#N/A</v>
      </c>
      <c r="CZ121" s="60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8">
        <f t="shared" si="56"/>
        <v>421.70687948469367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2.7134774427395314E-13</v>
      </c>
      <c r="P122" s="14">
        <f t="shared" si="87"/>
        <v>3.6292411711343559E-12</v>
      </c>
      <c r="Q122" s="22">
        <f t="shared" si="107"/>
        <v>6.7935256943361388E-12</v>
      </c>
      <c r="R122" s="60">
        <f t="shared" si="55"/>
        <v>293.33333333334014</v>
      </c>
      <c r="S122" s="60">
        <f ca="1">AVERAGE(OFFSET($R$3,0,0,'Données projet'!$E$9+1,1))-AVERAGE(OFFSET($H$3,0,0,'Données projet'!$E$9+1,1))</f>
        <v>238.47463071449789</v>
      </c>
      <c r="T122" s="60">
        <f t="shared" si="88"/>
        <v>270.92950919803718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2.5006556825246659E-13</v>
      </c>
      <c r="AK122" s="14">
        <f t="shared" si="89"/>
        <v>3.3765445850268018E-12</v>
      </c>
      <c r="AL122" s="22">
        <f t="shared" si="58"/>
        <v>6.3163460169613921E-12</v>
      </c>
      <c r="AM122" s="60">
        <f t="shared" si="59"/>
        <v>293.33333333333962</v>
      </c>
      <c r="AN122" s="60">
        <f ca="1">AVERAGE(OFFSET($AM$3,0,0,'Données projet'!$E$10+1,1))-AVERAGE(OFFSET($H$3,0,0,'Données projet'!$E$10+1,1))</f>
        <v>216.80783650073869</v>
      </c>
      <c r="AO122" s="60">
        <f t="shared" si="90"/>
        <v>247.59561829759309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4.4337866711430253E-14</v>
      </c>
      <c r="BF122" s="14">
        <f t="shared" si="91"/>
        <v>7.3222115536967035E-13</v>
      </c>
      <c r="BG122" s="22">
        <f t="shared" si="61"/>
        <v>1.3525069634579169E-12</v>
      </c>
      <c r="BH122" s="60">
        <f t="shared" si="62"/>
        <v>293.33333333333468</v>
      </c>
      <c r="BI122" s="60">
        <f ca="1">AVERAGE(OFFSET($BH$3,0,0,'Données projet'!$E$11+1,1))-AVERAGE(OFFSET($H$3,0,0,'Données projet'!$E$11+1,1))</f>
        <v>222.34562513006574</v>
      </c>
      <c r="BJ122" s="60">
        <f t="shared" si="92"/>
        <v>213.19969928771548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274.84847548786672</v>
      </c>
      <c r="CE122" s="60">
        <f t="shared" si="94"/>
        <v>376.2625056050623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0" t="e">
        <f t="shared" si="68"/>
        <v>#N/A</v>
      </c>
      <c r="CY122" s="60" t="e">
        <f ca="1">AVERAGE(OFFSET($CX$3,0,0,'Données projet'!$E$13+1,1))-AVERAGE(OFFSET($H$3,0,0,'Données projet'!$E$13+1,1))</f>
        <v>#N/A</v>
      </c>
      <c r="CZ122" s="60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8">
        <f t="shared" si="56"/>
        <v>422.75748932896221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2.7134774427395314E-13</v>
      </c>
      <c r="P123" s="14">
        <f t="shared" si="87"/>
        <v>3.6292411711343559E-12</v>
      </c>
      <c r="Q123" s="22">
        <f t="shared" si="107"/>
        <v>6.7935256943361388E-12</v>
      </c>
      <c r="R123" s="60">
        <f t="shared" si="55"/>
        <v>293.33333333334014</v>
      </c>
      <c r="S123" s="60">
        <f ca="1">AVERAGE(OFFSET($R$3,0,0,'Données projet'!$E$9+1,1))-AVERAGE(OFFSET($H$3,0,0,'Données projet'!$E$9+1,1))</f>
        <v>238.47463071449789</v>
      </c>
      <c r="T123" s="60">
        <f t="shared" si="88"/>
        <v>270.92950919803718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2.5006556825246659E-13</v>
      </c>
      <c r="AK123" s="14">
        <f t="shared" si="89"/>
        <v>3.3765445850268018E-12</v>
      </c>
      <c r="AL123" s="22">
        <f t="shared" si="58"/>
        <v>6.3163460169613921E-12</v>
      </c>
      <c r="AM123" s="60">
        <f t="shared" si="59"/>
        <v>293.33333333333962</v>
      </c>
      <c r="AN123" s="60">
        <f ca="1">AVERAGE(OFFSET($AM$3,0,0,'Données projet'!$E$10+1,1))-AVERAGE(OFFSET($H$3,0,0,'Données projet'!$E$10+1,1))</f>
        <v>216.80783650073869</v>
      </c>
      <c r="AO123" s="60">
        <f t="shared" si="90"/>
        <v>247.59561829759309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4.4337866711430253E-14</v>
      </c>
      <c r="BF123" s="14">
        <f t="shared" si="91"/>
        <v>7.3222115536967035E-13</v>
      </c>
      <c r="BG123" s="22">
        <f t="shared" si="61"/>
        <v>1.3525069634579169E-12</v>
      </c>
      <c r="BH123" s="60">
        <f t="shared" si="62"/>
        <v>293.33333333333468</v>
      </c>
      <c r="BI123" s="60">
        <f ca="1">AVERAGE(OFFSET($BH$3,0,0,'Données projet'!$E$11+1,1))-AVERAGE(OFFSET($H$3,0,0,'Données projet'!$E$11+1,1))</f>
        <v>222.34562513006574</v>
      </c>
      <c r="BJ123" s="60">
        <f t="shared" si="92"/>
        <v>213.19969928771548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274.84847548786672</v>
      </c>
      <c r="CE123" s="60">
        <f t="shared" si="94"/>
        <v>376.2625056050623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0" t="e">
        <f t="shared" si="68"/>
        <v>#N/A</v>
      </c>
      <c r="CY123" s="60" t="e">
        <f ca="1">AVERAGE(OFFSET($CX$3,0,0,'Données projet'!$E$13+1,1))-AVERAGE(OFFSET($H$3,0,0,'Données projet'!$E$13+1,1))</f>
        <v>#N/A</v>
      </c>
      <c r="CZ123" s="60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8">
        <f t="shared" si="56"/>
        <v>423.80789278868326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2.7134774427395314E-13</v>
      </c>
      <c r="P124" s="14">
        <f t="shared" si="87"/>
        <v>3.6292411711343559E-12</v>
      </c>
      <c r="Q124" s="22">
        <f t="shared" si="107"/>
        <v>6.7935256943361388E-12</v>
      </c>
      <c r="R124" s="60">
        <f t="shared" si="55"/>
        <v>293.33333333334014</v>
      </c>
      <c r="S124" s="60">
        <f ca="1">AVERAGE(OFFSET($R$3,0,0,'Données projet'!$E$9+1,1))-AVERAGE(OFFSET($H$3,0,0,'Données projet'!$E$9+1,1))</f>
        <v>238.47463071449789</v>
      </c>
      <c r="T124" s="60">
        <f t="shared" si="88"/>
        <v>270.92950919803718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2.5006556825246659E-13</v>
      </c>
      <c r="AK124" s="14">
        <f t="shared" si="89"/>
        <v>3.3765445850268018E-12</v>
      </c>
      <c r="AL124" s="22">
        <f t="shared" si="58"/>
        <v>6.3163460169613921E-12</v>
      </c>
      <c r="AM124" s="60">
        <f t="shared" si="59"/>
        <v>293.33333333333962</v>
      </c>
      <c r="AN124" s="60">
        <f ca="1">AVERAGE(OFFSET($AM$3,0,0,'Données projet'!$E$10+1,1))-AVERAGE(OFFSET($H$3,0,0,'Données projet'!$E$10+1,1))</f>
        <v>216.80783650073869</v>
      </c>
      <c r="AO124" s="60">
        <f t="shared" si="90"/>
        <v>247.59561829759309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4.4337866711430253E-14</v>
      </c>
      <c r="BF124" s="14">
        <f t="shared" si="91"/>
        <v>7.3222115536967035E-13</v>
      </c>
      <c r="BG124" s="22">
        <f t="shared" si="61"/>
        <v>1.3525069634579169E-12</v>
      </c>
      <c r="BH124" s="60">
        <f t="shared" si="62"/>
        <v>293.33333333333468</v>
      </c>
      <c r="BI124" s="60">
        <f ca="1">AVERAGE(OFFSET($BH$3,0,0,'Données projet'!$E$11+1,1))-AVERAGE(OFFSET($H$3,0,0,'Données projet'!$E$11+1,1))</f>
        <v>222.34562513006574</v>
      </c>
      <c r="BJ124" s="60">
        <f t="shared" si="92"/>
        <v>213.19969928771548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274.84847548786672</v>
      </c>
      <c r="CE124" s="60">
        <f t="shared" si="94"/>
        <v>376.2625056050623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0" t="e">
        <f t="shared" si="68"/>
        <v>#N/A</v>
      </c>
      <c r="CY124" s="60" t="e">
        <f ca="1">AVERAGE(OFFSET($CX$3,0,0,'Données projet'!$E$13+1,1))-AVERAGE(OFFSET($H$3,0,0,'Données projet'!$E$13+1,1))</f>
        <v>#N/A</v>
      </c>
      <c r="CZ124" s="60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8">
        <f t="shared" si="56"/>
        <v>424.85809176718089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2.7134774427395314E-13</v>
      </c>
      <c r="P125" s="14">
        <f t="shared" si="87"/>
        <v>3.6292411711343559E-12</v>
      </c>
      <c r="Q125" s="22">
        <f t="shared" si="107"/>
        <v>6.7935256943361388E-12</v>
      </c>
      <c r="R125" s="60">
        <f t="shared" si="55"/>
        <v>293.33333333334014</v>
      </c>
      <c r="S125" s="60">
        <f ca="1">AVERAGE(OFFSET($R$3,0,0,'Données projet'!$E$9+1,1))-AVERAGE(OFFSET($H$3,0,0,'Données projet'!$E$9+1,1))</f>
        <v>238.47463071449789</v>
      </c>
      <c r="T125" s="60">
        <f t="shared" si="88"/>
        <v>270.92950919803718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2.5006556825246659E-13</v>
      </c>
      <c r="AK125" s="14">
        <f t="shared" si="89"/>
        <v>3.3765445850268018E-12</v>
      </c>
      <c r="AL125" s="22">
        <f t="shared" si="58"/>
        <v>6.3163460169613921E-12</v>
      </c>
      <c r="AM125" s="60">
        <f t="shared" si="59"/>
        <v>293.33333333333962</v>
      </c>
      <c r="AN125" s="60">
        <f ca="1">AVERAGE(OFFSET($AM$3,0,0,'Données projet'!$E$10+1,1))-AVERAGE(OFFSET($H$3,0,0,'Données projet'!$E$10+1,1))</f>
        <v>216.80783650073869</v>
      </c>
      <c r="AO125" s="60">
        <f t="shared" si="90"/>
        <v>247.59561829759309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4.4337866711430253E-14</v>
      </c>
      <c r="BF125" s="14">
        <f t="shared" si="91"/>
        <v>7.3222115536967035E-13</v>
      </c>
      <c r="BG125" s="22">
        <f t="shared" si="61"/>
        <v>1.3525069634579169E-12</v>
      </c>
      <c r="BH125" s="60">
        <f t="shared" si="62"/>
        <v>293.33333333333468</v>
      </c>
      <c r="BI125" s="60">
        <f ca="1">AVERAGE(OFFSET($BH$3,0,0,'Données projet'!$E$11+1,1))-AVERAGE(OFFSET($H$3,0,0,'Données projet'!$E$11+1,1))</f>
        <v>222.34562513006574</v>
      </c>
      <c r="BJ125" s="60">
        <f t="shared" si="92"/>
        <v>213.19969928771548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274.84847548786672</v>
      </c>
      <c r="CE125" s="60">
        <f t="shared" si="94"/>
        <v>376.2625056050623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0" t="e">
        <f t="shared" si="68"/>
        <v>#N/A</v>
      </c>
      <c r="CY125" s="60" t="e">
        <f ca="1">AVERAGE(OFFSET($CX$3,0,0,'Données projet'!$E$13+1,1))-AVERAGE(OFFSET($H$3,0,0,'Données projet'!$E$13+1,1))</f>
        <v>#N/A</v>
      </c>
      <c r="CZ125" s="60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8">
        <f t="shared" si="56"/>
        <v>425.90808813477543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2.7134774427395314E-13</v>
      </c>
      <c r="P126" s="14">
        <f t="shared" si="87"/>
        <v>3.6292411711343559E-12</v>
      </c>
      <c r="Q126" s="22">
        <f t="shared" si="107"/>
        <v>6.7935256943361388E-12</v>
      </c>
      <c r="R126" s="60">
        <f t="shared" si="55"/>
        <v>293.33333333334014</v>
      </c>
      <c r="S126" s="60">
        <f ca="1">AVERAGE(OFFSET($R$3,0,0,'Données projet'!$E$9+1,1))-AVERAGE(OFFSET($H$3,0,0,'Données projet'!$E$9+1,1))</f>
        <v>238.47463071449789</v>
      </c>
      <c r="T126" s="60">
        <f t="shared" si="88"/>
        <v>270.92950919803718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2.5006556825246659E-13</v>
      </c>
      <c r="AK126" s="14">
        <f t="shared" si="89"/>
        <v>3.3765445850268018E-12</v>
      </c>
      <c r="AL126" s="22">
        <f t="shared" si="58"/>
        <v>6.3163460169613921E-12</v>
      </c>
      <c r="AM126" s="60">
        <f t="shared" si="59"/>
        <v>293.33333333333962</v>
      </c>
      <c r="AN126" s="60">
        <f ca="1">AVERAGE(OFFSET($AM$3,0,0,'Données projet'!$E$10+1,1))-AVERAGE(OFFSET($H$3,0,0,'Données projet'!$E$10+1,1))</f>
        <v>216.80783650073869</v>
      </c>
      <c r="AO126" s="60">
        <f t="shared" si="90"/>
        <v>247.59561829759309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4.4337866711430253E-14</v>
      </c>
      <c r="BF126" s="14">
        <f t="shared" si="91"/>
        <v>7.3222115536967035E-13</v>
      </c>
      <c r="BG126" s="22">
        <f t="shared" si="61"/>
        <v>1.3525069634579169E-12</v>
      </c>
      <c r="BH126" s="60">
        <f t="shared" si="62"/>
        <v>293.33333333333468</v>
      </c>
      <c r="BI126" s="60">
        <f ca="1">AVERAGE(OFFSET($BH$3,0,0,'Données projet'!$E$11+1,1))-AVERAGE(OFFSET($H$3,0,0,'Données projet'!$E$11+1,1))</f>
        <v>222.34562513006574</v>
      </c>
      <c r="BJ126" s="60">
        <f t="shared" si="92"/>
        <v>213.19969928771548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274.84847548786672</v>
      </c>
      <c r="CE126" s="60">
        <f t="shared" si="94"/>
        <v>376.2625056050623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0" t="e">
        <f t="shared" si="68"/>
        <v>#N/A</v>
      </c>
      <c r="CY126" s="60" t="e">
        <f ca="1">AVERAGE(OFFSET($CX$3,0,0,'Données projet'!$E$13+1,1))-AVERAGE(OFFSET($H$3,0,0,'Données projet'!$E$13+1,1))</f>
        <v>#N/A</v>
      </c>
      <c r="CZ126" s="60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8">
        <f t="shared" si="56"/>
        <v>426.95788372961988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2.7134774427395314E-13</v>
      </c>
      <c r="P127" s="14">
        <f t="shared" si="87"/>
        <v>3.6292411711343559E-12</v>
      </c>
      <c r="Q127" s="22">
        <f t="shared" si="107"/>
        <v>6.7935256943361388E-12</v>
      </c>
      <c r="R127" s="60">
        <f t="shared" si="55"/>
        <v>293.33333333334014</v>
      </c>
      <c r="S127" s="60">
        <f ca="1">AVERAGE(OFFSET($R$3,0,0,'Données projet'!$E$9+1,1))-AVERAGE(OFFSET($H$3,0,0,'Données projet'!$E$9+1,1))</f>
        <v>238.47463071449789</v>
      </c>
      <c r="T127" s="60">
        <f t="shared" si="88"/>
        <v>270.92950919803718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2.5006556825246659E-13</v>
      </c>
      <c r="AK127" s="14">
        <f t="shared" si="89"/>
        <v>3.3765445850268018E-12</v>
      </c>
      <c r="AL127" s="22">
        <f t="shared" si="58"/>
        <v>6.3163460169613921E-12</v>
      </c>
      <c r="AM127" s="60">
        <f t="shared" si="59"/>
        <v>293.33333333333962</v>
      </c>
      <c r="AN127" s="60">
        <f ca="1">AVERAGE(OFFSET($AM$3,0,0,'Données projet'!$E$10+1,1))-AVERAGE(OFFSET($H$3,0,0,'Données projet'!$E$10+1,1))</f>
        <v>216.80783650073869</v>
      </c>
      <c r="AO127" s="60">
        <f t="shared" si="90"/>
        <v>247.59561829759309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4.4337866711430253E-14</v>
      </c>
      <c r="BF127" s="14">
        <f t="shared" si="91"/>
        <v>7.3222115536967035E-13</v>
      </c>
      <c r="BG127" s="22">
        <f t="shared" si="61"/>
        <v>1.3525069634579169E-12</v>
      </c>
      <c r="BH127" s="60">
        <f t="shared" si="62"/>
        <v>293.33333333333468</v>
      </c>
      <c r="BI127" s="60">
        <f ca="1">AVERAGE(OFFSET($BH$3,0,0,'Données projet'!$E$11+1,1))-AVERAGE(OFFSET($H$3,0,0,'Données projet'!$E$11+1,1))</f>
        <v>222.34562513006574</v>
      </c>
      <c r="BJ127" s="60">
        <f t="shared" si="92"/>
        <v>213.19969928771548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274.84847548786672</v>
      </c>
      <c r="CE127" s="60">
        <f t="shared" si="94"/>
        <v>376.2625056050623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0" t="e">
        <f t="shared" si="68"/>
        <v>#N/A</v>
      </c>
      <c r="CY127" s="60" t="e">
        <f ca="1">AVERAGE(OFFSET($CX$3,0,0,'Données projet'!$E$13+1,1))-AVERAGE(OFFSET($H$3,0,0,'Données projet'!$E$13+1,1))</f>
        <v>#N/A</v>
      </c>
      <c r="CZ127" s="60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8">
        <f t="shared" si="56"/>
        <v>428.00748035850785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2.7134774427395314E-13</v>
      </c>
      <c r="P128" s="14">
        <f t="shared" si="87"/>
        <v>3.6292411711343559E-12</v>
      </c>
      <c r="Q128" s="22">
        <f t="shared" si="107"/>
        <v>6.7935256943361388E-12</v>
      </c>
      <c r="R128" s="60">
        <f t="shared" si="55"/>
        <v>293.33333333334014</v>
      </c>
      <c r="S128" s="60">
        <f ca="1">AVERAGE(OFFSET($R$3,0,0,'Données projet'!$E$9+1,1))-AVERAGE(OFFSET($H$3,0,0,'Données projet'!$E$9+1,1))</f>
        <v>238.47463071449789</v>
      </c>
      <c r="T128" s="60">
        <f t="shared" si="88"/>
        <v>270.92950919803718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2.5006556825246659E-13</v>
      </c>
      <c r="AK128" s="14">
        <f t="shared" si="89"/>
        <v>3.3765445850268018E-12</v>
      </c>
      <c r="AL128" s="22">
        <f t="shared" si="58"/>
        <v>6.3163460169613921E-12</v>
      </c>
      <c r="AM128" s="60">
        <f t="shared" si="59"/>
        <v>293.33333333333962</v>
      </c>
      <c r="AN128" s="60">
        <f ca="1">AVERAGE(OFFSET($AM$3,0,0,'Données projet'!$E$10+1,1))-AVERAGE(OFFSET($H$3,0,0,'Données projet'!$E$10+1,1))</f>
        <v>216.80783650073869</v>
      </c>
      <c r="AO128" s="60">
        <f t="shared" si="90"/>
        <v>247.59561829759309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4.4337866711430253E-14</v>
      </c>
      <c r="BF128" s="14">
        <f t="shared" si="91"/>
        <v>7.3222115536967035E-13</v>
      </c>
      <c r="BG128" s="22">
        <f t="shared" si="61"/>
        <v>1.3525069634579169E-12</v>
      </c>
      <c r="BH128" s="60">
        <f t="shared" si="62"/>
        <v>293.33333333333468</v>
      </c>
      <c r="BI128" s="60">
        <f ca="1">AVERAGE(OFFSET($BH$3,0,0,'Données projet'!$E$11+1,1))-AVERAGE(OFFSET($H$3,0,0,'Données projet'!$E$11+1,1))</f>
        <v>222.34562513006574</v>
      </c>
      <c r="BJ128" s="60">
        <f t="shared" si="92"/>
        <v>213.19969928771548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274.84847548786672</v>
      </c>
      <c r="CE128" s="60">
        <f t="shared" si="94"/>
        <v>376.2625056050623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0" t="e">
        <f t="shared" si="68"/>
        <v>#N/A</v>
      </c>
      <c r="CY128" s="60" t="e">
        <f ca="1">AVERAGE(OFFSET($CX$3,0,0,'Données projet'!$E$13+1,1))-AVERAGE(OFFSET($H$3,0,0,'Données projet'!$E$13+1,1))</f>
        <v>#N/A</v>
      </c>
      <c r="CZ128" s="60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8">
        <f t="shared" si="56"/>
        <v>429.05687979765503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2.7134774427395314E-13</v>
      </c>
      <c r="P129" s="14">
        <f t="shared" si="87"/>
        <v>3.6292411711343559E-12</v>
      </c>
      <c r="Q129" s="22">
        <f t="shared" si="107"/>
        <v>6.7935256943361388E-12</v>
      </c>
      <c r="R129" s="60">
        <f t="shared" si="55"/>
        <v>293.33333333334014</v>
      </c>
      <c r="S129" s="60">
        <f ca="1">AVERAGE(OFFSET($R$3,0,0,'Données projet'!$E$9+1,1))-AVERAGE(OFFSET($H$3,0,0,'Données projet'!$E$9+1,1))</f>
        <v>238.47463071449789</v>
      </c>
      <c r="T129" s="60">
        <f t="shared" si="88"/>
        <v>270.92950919803718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2.5006556825246659E-13</v>
      </c>
      <c r="AK129" s="14">
        <f t="shared" si="89"/>
        <v>3.3765445850268018E-12</v>
      </c>
      <c r="AL129" s="22">
        <f t="shared" si="58"/>
        <v>6.3163460169613921E-12</v>
      </c>
      <c r="AM129" s="60">
        <f t="shared" si="59"/>
        <v>293.33333333333962</v>
      </c>
      <c r="AN129" s="60">
        <f ca="1">AVERAGE(OFFSET($AM$3,0,0,'Données projet'!$E$10+1,1))-AVERAGE(OFFSET($H$3,0,0,'Données projet'!$E$10+1,1))</f>
        <v>216.80783650073869</v>
      </c>
      <c r="AO129" s="60">
        <f t="shared" si="90"/>
        <v>247.59561829759309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4.4337866711430253E-14</v>
      </c>
      <c r="BF129" s="14">
        <f t="shared" si="91"/>
        <v>7.3222115536967035E-13</v>
      </c>
      <c r="BG129" s="22">
        <f t="shared" si="61"/>
        <v>1.3525069634579169E-12</v>
      </c>
      <c r="BH129" s="60">
        <f t="shared" si="62"/>
        <v>293.33333333333468</v>
      </c>
      <c r="BI129" s="60">
        <f ca="1">AVERAGE(OFFSET($BH$3,0,0,'Données projet'!$E$11+1,1))-AVERAGE(OFFSET($H$3,0,0,'Données projet'!$E$11+1,1))</f>
        <v>222.34562513006574</v>
      </c>
      <c r="BJ129" s="60">
        <f t="shared" si="92"/>
        <v>213.19969928771548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274.84847548786672</v>
      </c>
      <c r="CE129" s="60">
        <f t="shared" si="94"/>
        <v>376.2625056050623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0" t="e">
        <f t="shared" si="68"/>
        <v>#N/A</v>
      </c>
      <c r="CY129" s="60" t="e">
        <f ca="1">AVERAGE(OFFSET($CX$3,0,0,'Données projet'!$E$13+1,1))-AVERAGE(OFFSET($H$3,0,0,'Données projet'!$E$13+1,1))</f>
        <v>#N/A</v>
      </c>
      <c r="CZ129" s="60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8">
        <f t="shared" si="56"/>
        <v>430.10608379345501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2.7134774427395314E-13</v>
      </c>
      <c r="P130" s="14">
        <f t="shared" si="87"/>
        <v>3.6292411711343559E-12</v>
      </c>
      <c r="Q130" s="22">
        <f t="shared" si="107"/>
        <v>6.7935256943361388E-12</v>
      </c>
      <c r="R130" s="60">
        <f t="shared" si="55"/>
        <v>293.33333333334014</v>
      </c>
      <c r="S130" s="60">
        <f ca="1">AVERAGE(OFFSET($R$3,0,0,'Données projet'!$E$9+1,1))-AVERAGE(OFFSET($H$3,0,0,'Données projet'!$E$9+1,1))</f>
        <v>238.47463071449789</v>
      </c>
      <c r="T130" s="60">
        <f t="shared" si="88"/>
        <v>270.92950919803718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2.5006556825246659E-13</v>
      </c>
      <c r="AK130" s="14">
        <f t="shared" si="89"/>
        <v>3.3765445850268018E-12</v>
      </c>
      <c r="AL130" s="22">
        <f t="shared" si="58"/>
        <v>6.3163460169613921E-12</v>
      </c>
      <c r="AM130" s="60">
        <f t="shared" si="59"/>
        <v>293.33333333333962</v>
      </c>
      <c r="AN130" s="60">
        <f ca="1">AVERAGE(OFFSET($AM$3,0,0,'Données projet'!$E$10+1,1))-AVERAGE(OFFSET($H$3,0,0,'Données projet'!$E$10+1,1))</f>
        <v>216.80783650073869</v>
      </c>
      <c r="AO130" s="60">
        <f t="shared" si="90"/>
        <v>247.59561829759309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4.4337866711430253E-14</v>
      </c>
      <c r="BF130" s="14">
        <f t="shared" si="91"/>
        <v>7.3222115536967035E-13</v>
      </c>
      <c r="BG130" s="22">
        <f t="shared" si="61"/>
        <v>1.3525069634579169E-12</v>
      </c>
      <c r="BH130" s="60">
        <f t="shared" si="62"/>
        <v>293.33333333333468</v>
      </c>
      <c r="BI130" s="60">
        <f ca="1">AVERAGE(OFFSET($BH$3,0,0,'Données projet'!$E$11+1,1))-AVERAGE(OFFSET($H$3,0,0,'Données projet'!$E$11+1,1))</f>
        <v>222.34562513006574</v>
      </c>
      <c r="BJ130" s="60">
        <f t="shared" si="92"/>
        <v>213.19969928771548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274.84847548786672</v>
      </c>
      <c r="CE130" s="60">
        <f t="shared" si="94"/>
        <v>376.2625056050623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0" t="e">
        <f t="shared" si="68"/>
        <v>#N/A</v>
      </c>
      <c r="CY130" s="60" t="e">
        <f ca="1">AVERAGE(OFFSET($CX$3,0,0,'Données projet'!$E$13+1,1))-AVERAGE(OFFSET($H$3,0,0,'Données projet'!$E$13+1,1))</f>
        <v>#N/A</v>
      </c>
      <c r="CZ130" s="60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8">
        <f t="shared" si="56"/>
        <v>431.15509406321121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2.7134774427395314E-13</v>
      </c>
      <c r="P131" s="14">
        <f t="shared" si="87"/>
        <v>3.6292411711343559E-12</v>
      </c>
      <c r="Q131" s="22">
        <f t="shared" ref="Q131:Q153" si="108">(O131+P131)*0.475*44/12</f>
        <v>6.7935256943361388E-12</v>
      </c>
      <c r="R131" s="60">
        <f t="shared" ref="R131:R194" si="109">Q131+(I131+J131)*44/12</f>
        <v>293.33333333334014</v>
      </c>
      <c r="S131" s="60">
        <f ca="1">AVERAGE(OFFSET($R$3,0,0,'Données projet'!$E$9+1,1))-AVERAGE(OFFSET($H$3,0,0,'Données projet'!$E$9+1,1))</f>
        <v>238.47463071449789</v>
      </c>
      <c r="T131" s="60">
        <f t="shared" si="88"/>
        <v>270.92950919803718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2.5006556825246659E-13</v>
      </c>
      <c r="AK131" s="14">
        <f t="shared" si="89"/>
        <v>3.3765445850268018E-12</v>
      </c>
      <c r="AL131" s="22">
        <f t="shared" si="58"/>
        <v>6.3163460169613921E-12</v>
      </c>
      <c r="AM131" s="60">
        <f t="shared" si="59"/>
        <v>293.33333333333962</v>
      </c>
      <c r="AN131" s="60">
        <f ca="1">AVERAGE(OFFSET($AM$3,0,0,'Données projet'!$E$10+1,1))-AVERAGE(OFFSET($H$3,0,0,'Données projet'!$E$10+1,1))</f>
        <v>216.80783650073869</v>
      </c>
      <c r="AO131" s="60">
        <f t="shared" si="90"/>
        <v>247.59561829759309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4.4337866711430253E-14</v>
      </c>
      <c r="BF131" s="14">
        <f t="shared" si="91"/>
        <v>7.3222115536967035E-13</v>
      </c>
      <c r="BG131" s="22">
        <f t="shared" si="61"/>
        <v>1.3525069634579169E-12</v>
      </c>
      <c r="BH131" s="60">
        <f t="shared" si="62"/>
        <v>293.33333333333468</v>
      </c>
      <c r="BI131" s="60">
        <f ca="1">AVERAGE(OFFSET($BH$3,0,0,'Données projet'!$E$11+1,1))-AVERAGE(OFFSET($H$3,0,0,'Données projet'!$E$11+1,1))</f>
        <v>222.34562513006574</v>
      </c>
      <c r="BJ131" s="60">
        <f t="shared" si="92"/>
        <v>213.19969928771548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274.84847548786672</v>
      </c>
      <c r="CE131" s="60">
        <f t="shared" si="94"/>
        <v>376.2625056050623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0" t="e">
        <f t="shared" si="68"/>
        <v>#N/A</v>
      </c>
      <c r="CY131" s="60" t="e">
        <f ca="1">AVERAGE(OFFSET($CX$3,0,0,'Données projet'!$E$13+1,1))-AVERAGE(OFFSET($H$3,0,0,'Données projet'!$E$13+1,1))</f>
        <v>#N/A</v>
      </c>
      <c r="CZ131" s="60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8">
        <f t="shared" ref="H132:H195" si="110">(B132+E132+F132)*44/12+(C132+D132)*0.475*44/12</f>
        <v>432.20391229584436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2.7134774427395314E-13</v>
      </c>
      <c r="P132" s="14">
        <f t="shared" si="87"/>
        <v>3.6292411711343559E-12</v>
      </c>
      <c r="Q132" s="22">
        <f t="shared" si="108"/>
        <v>6.7935256943361388E-12</v>
      </c>
      <c r="R132" s="60">
        <f t="shared" si="109"/>
        <v>293.33333333334014</v>
      </c>
      <c r="S132" s="60">
        <f ca="1">AVERAGE(OFFSET($R$3,0,0,'Données projet'!$E$9+1,1))-AVERAGE(OFFSET($H$3,0,0,'Données projet'!$E$9+1,1))</f>
        <v>238.47463071449789</v>
      </c>
      <c r="T132" s="60">
        <f t="shared" si="88"/>
        <v>270.92950919803718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2.5006556825246659E-13</v>
      </c>
      <c r="AK132" s="14">
        <f t="shared" si="89"/>
        <v>3.3765445850268018E-12</v>
      </c>
      <c r="AL132" s="22">
        <f t="shared" ref="AL132:AL153" si="112">(AJ132+AK132)*0.475*44/12</f>
        <v>6.3163460169613921E-12</v>
      </c>
      <c r="AM132" s="60">
        <f t="shared" ref="AM132:AM195" si="113">AL132+(AD132+AE132)*44/12</f>
        <v>293.33333333333962</v>
      </c>
      <c r="AN132" s="60">
        <f ca="1">AVERAGE(OFFSET($AM$3,0,0,'Données projet'!$E$10+1,1))-AVERAGE(OFFSET($H$3,0,0,'Données projet'!$E$10+1,1))</f>
        <v>216.80783650073869</v>
      </c>
      <c r="AO132" s="60">
        <f t="shared" si="90"/>
        <v>247.59561829759309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4.4337866711430253E-14</v>
      </c>
      <c r="BF132" s="14">
        <f t="shared" si="91"/>
        <v>7.3222115536967035E-13</v>
      </c>
      <c r="BG132" s="22">
        <f t="shared" ref="BG132:BG153" si="115">(BE132+BF132)*0.475*44/12</f>
        <v>1.3525069634579169E-12</v>
      </c>
      <c r="BH132" s="60">
        <f t="shared" ref="BH132:BH195" si="116">BG132+(AY132+AZ132)*44/12</f>
        <v>293.33333333333468</v>
      </c>
      <c r="BI132" s="60">
        <f ca="1">AVERAGE(OFFSET($BH$3,0,0,'Données projet'!$E$11+1,1))-AVERAGE(OFFSET($H$3,0,0,'Données projet'!$E$11+1,1))</f>
        <v>222.34562513006574</v>
      </c>
      <c r="BJ132" s="60">
        <f t="shared" si="92"/>
        <v>213.19969928771548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274.84847548786672</v>
      </c>
      <c r="CE132" s="60">
        <f t="shared" si="94"/>
        <v>376.2625056050623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0" t="e">
        <f t="shared" ref="CX132:CX195" si="122">CW132+(CO132+CP132)*44/12</f>
        <v>#N/A</v>
      </c>
      <c r="CY132" s="60" t="e">
        <f ca="1">AVERAGE(OFFSET($CX$3,0,0,'Données projet'!$E$13+1,1))-AVERAGE(OFFSET($H$3,0,0,'Données projet'!$E$13+1,1))</f>
        <v>#N/A</v>
      </c>
      <c r="CZ132" s="60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8">
        <f t="shared" si="110"/>
        <v>433.25254015257815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2.7134774427395314E-13</v>
      </c>
      <c r="P133" s="14">
        <f t="shared" ref="P133:P196" si="141">EXP(-1.0587+0.8836*LN(O133)+0.284)</f>
        <v>3.6292411711343559E-12</v>
      </c>
      <c r="Q133" s="22">
        <f t="shared" si="108"/>
        <v>6.7935256943361388E-12</v>
      </c>
      <c r="R133" s="60">
        <f t="shared" si="109"/>
        <v>293.33333333334014</v>
      </c>
      <c r="S133" s="60">
        <f ca="1">AVERAGE(OFFSET($R$3,0,0,'Données projet'!$E$9+1,1))-AVERAGE(OFFSET($H$3,0,0,'Données projet'!$E$9+1,1))</f>
        <v>238.47463071449789</v>
      </c>
      <c r="T133" s="60">
        <f t="shared" ref="T133:T196" si="142">$T$3</f>
        <v>270.92950919803718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2.5006556825246659E-13</v>
      </c>
      <c r="AK133" s="14">
        <f t="shared" ref="AK133:AK153" si="143">EXP(-1.0587+0.8836*LN(AJ133)+0.284)</f>
        <v>3.3765445850268018E-12</v>
      </c>
      <c r="AL133" s="22">
        <f t="shared" si="112"/>
        <v>6.3163460169613921E-12</v>
      </c>
      <c r="AM133" s="60">
        <f t="shared" si="113"/>
        <v>293.33333333333962</v>
      </c>
      <c r="AN133" s="60">
        <f ca="1">AVERAGE(OFFSET($AM$3,0,0,'Données projet'!$E$10+1,1))-AVERAGE(OFFSET($H$3,0,0,'Données projet'!$E$10+1,1))</f>
        <v>216.80783650073869</v>
      </c>
      <c r="AO133" s="60">
        <f t="shared" ref="AO133:AO196" si="144">$AO$3</f>
        <v>247.59561829759309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4.4337866711430253E-14</v>
      </c>
      <c r="BF133" s="14">
        <f t="shared" ref="BF133:BF153" si="145">EXP(-1.0587+0.8836*LN(BE133)+0.284)</f>
        <v>7.3222115536967035E-13</v>
      </c>
      <c r="BG133" s="22">
        <f t="shared" si="115"/>
        <v>1.3525069634579169E-12</v>
      </c>
      <c r="BH133" s="60">
        <f t="shared" si="116"/>
        <v>293.33333333333468</v>
      </c>
      <c r="BI133" s="60">
        <f ca="1">AVERAGE(OFFSET($BH$3,0,0,'Données projet'!$E$11+1,1))-AVERAGE(OFFSET($H$3,0,0,'Données projet'!$E$11+1,1))</f>
        <v>222.34562513006574</v>
      </c>
      <c r="BJ133" s="60">
        <f t="shared" ref="BJ133:BJ196" si="146">$BJ$3</f>
        <v>213.19969928771548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274.84847548786672</v>
      </c>
      <c r="CE133" s="60">
        <f t="shared" ref="CE133:CE196" si="148">$CE$3</f>
        <v>376.2625056050623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0" t="e">
        <f t="shared" si="122"/>
        <v>#N/A</v>
      </c>
      <c r="CY133" s="60" t="e">
        <f ca="1">AVERAGE(OFFSET($CX$3,0,0,'Données projet'!$E$13+1,1))-AVERAGE(OFFSET($H$3,0,0,'Données projet'!$E$13+1,1))</f>
        <v>#N/A</v>
      </c>
      <c r="CZ133" s="60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8">
        <f t="shared" si="110"/>
        <v>434.30097926760288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2.7134774427395314E-13</v>
      </c>
      <c r="P134" s="14">
        <f t="shared" si="141"/>
        <v>3.6292411711343559E-12</v>
      </c>
      <c r="Q134" s="22">
        <f t="shared" si="108"/>
        <v>6.7935256943361388E-12</v>
      </c>
      <c r="R134" s="60">
        <f t="shared" si="109"/>
        <v>293.33333333334014</v>
      </c>
      <c r="S134" s="60">
        <f ca="1">AVERAGE(OFFSET($R$3,0,0,'Données projet'!$E$9+1,1))-AVERAGE(OFFSET($H$3,0,0,'Données projet'!$E$9+1,1))</f>
        <v>238.47463071449789</v>
      </c>
      <c r="T134" s="60">
        <f t="shared" si="142"/>
        <v>270.92950919803718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2.5006556825246659E-13</v>
      </c>
      <c r="AK134" s="14">
        <f t="shared" si="143"/>
        <v>3.3765445850268018E-12</v>
      </c>
      <c r="AL134" s="22">
        <f t="shared" si="112"/>
        <v>6.3163460169613921E-12</v>
      </c>
      <c r="AM134" s="60">
        <f t="shared" si="113"/>
        <v>293.33333333333962</v>
      </c>
      <c r="AN134" s="60">
        <f ca="1">AVERAGE(OFFSET($AM$3,0,0,'Données projet'!$E$10+1,1))-AVERAGE(OFFSET($H$3,0,0,'Données projet'!$E$10+1,1))</f>
        <v>216.80783650073869</v>
      </c>
      <c r="AO134" s="60">
        <f t="shared" si="144"/>
        <v>247.59561829759309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4.4337866711430253E-14</v>
      </c>
      <c r="BF134" s="14">
        <f t="shared" si="145"/>
        <v>7.3222115536967035E-13</v>
      </c>
      <c r="BG134" s="22">
        <f t="shared" si="115"/>
        <v>1.3525069634579169E-12</v>
      </c>
      <c r="BH134" s="60">
        <f t="shared" si="116"/>
        <v>293.33333333333468</v>
      </c>
      <c r="BI134" s="60">
        <f ca="1">AVERAGE(OFFSET($BH$3,0,0,'Données projet'!$E$11+1,1))-AVERAGE(OFFSET($H$3,0,0,'Données projet'!$E$11+1,1))</f>
        <v>222.34562513006574</v>
      </c>
      <c r="BJ134" s="60">
        <f t="shared" si="146"/>
        <v>213.19969928771548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274.84847548786672</v>
      </c>
      <c r="CE134" s="60">
        <f t="shared" si="148"/>
        <v>376.2625056050623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0" t="e">
        <f t="shared" si="122"/>
        <v>#N/A</v>
      </c>
      <c r="CY134" s="60" t="e">
        <f ca="1">AVERAGE(OFFSET($CX$3,0,0,'Données projet'!$E$13+1,1))-AVERAGE(OFFSET($H$3,0,0,'Données projet'!$E$13+1,1))</f>
        <v>#N/A</v>
      </c>
      <c r="CZ134" s="60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8">
        <f t="shared" si="110"/>
        <v>435.34923124871818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2.7134774427395314E-13</v>
      </c>
      <c r="P135" s="14">
        <f t="shared" si="141"/>
        <v>3.6292411711343559E-12</v>
      </c>
      <c r="Q135" s="22">
        <f t="shared" si="108"/>
        <v>6.7935256943361388E-12</v>
      </c>
      <c r="R135" s="60">
        <f t="shared" si="109"/>
        <v>293.33333333334014</v>
      </c>
      <c r="S135" s="60">
        <f ca="1">AVERAGE(OFFSET($R$3,0,0,'Données projet'!$E$9+1,1))-AVERAGE(OFFSET($H$3,0,0,'Données projet'!$E$9+1,1))</f>
        <v>238.47463071449789</v>
      </c>
      <c r="T135" s="60">
        <f t="shared" si="142"/>
        <v>270.92950919803718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2.5006556825246659E-13</v>
      </c>
      <c r="AK135" s="14">
        <f t="shared" si="143"/>
        <v>3.3765445850268018E-12</v>
      </c>
      <c r="AL135" s="22">
        <f t="shared" si="112"/>
        <v>6.3163460169613921E-12</v>
      </c>
      <c r="AM135" s="60">
        <f t="shared" si="113"/>
        <v>293.33333333333962</v>
      </c>
      <c r="AN135" s="60">
        <f ca="1">AVERAGE(OFFSET($AM$3,0,0,'Données projet'!$E$10+1,1))-AVERAGE(OFFSET($H$3,0,0,'Données projet'!$E$10+1,1))</f>
        <v>216.80783650073869</v>
      </c>
      <c r="AO135" s="60">
        <f t="shared" si="144"/>
        <v>247.59561829759309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4.4337866711430253E-14</v>
      </c>
      <c r="BF135" s="14">
        <f t="shared" si="145"/>
        <v>7.3222115536967035E-13</v>
      </c>
      <c r="BG135" s="22">
        <f t="shared" si="115"/>
        <v>1.3525069634579169E-12</v>
      </c>
      <c r="BH135" s="60">
        <f t="shared" si="116"/>
        <v>293.33333333333468</v>
      </c>
      <c r="BI135" s="60">
        <f ca="1">AVERAGE(OFFSET($BH$3,0,0,'Données projet'!$E$11+1,1))-AVERAGE(OFFSET($H$3,0,0,'Données projet'!$E$11+1,1))</f>
        <v>222.34562513006574</v>
      </c>
      <c r="BJ135" s="60">
        <f t="shared" si="146"/>
        <v>213.19969928771548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274.84847548786672</v>
      </c>
      <c r="CE135" s="60">
        <f t="shared" si="148"/>
        <v>376.2625056050623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0" t="e">
        <f t="shared" si="122"/>
        <v>#N/A</v>
      </c>
      <c r="CY135" s="60" t="e">
        <f ca="1">AVERAGE(OFFSET($CX$3,0,0,'Données projet'!$E$13+1,1))-AVERAGE(OFFSET($H$3,0,0,'Données projet'!$E$13+1,1))</f>
        <v>#N/A</v>
      </c>
      <c r="CZ135" s="60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8">
        <f t="shared" si="110"/>
        <v>436.39729767795615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2.7134774427395314E-13</v>
      </c>
      <c r="P136" s="14">
        <f t="shared" si="141"/>
        <v>3.6292411711343559E-12</v>
      </c>
      <c r="Q136" s="22">
        <f t="shared" si="108"/>
        <v>6.7935256943361388E-12</v>
      </c>
      <c r="R136" s="60">
        <f t="shared" si="109"/>
        <v>293.33333333334014</v>
      </c>
      <c r="S136" s="60">
        <f ca="1">AVERAGE(OFFSET($R$3,0,0,'Données projet'!$E$9+1,1))-AVERAGE(OFFSET($H$3,0,0,'Données projet'!$E$9+1,1))</f>
        <v>238.47463071449789</v>
      </c>
      <c r="T136" s="60">
        <f t="shared" si="142"/>
        <v>270.92950919803718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2.5006556825246659E-13</v>
      </c>
      <c r="AK136" s="14">
        <f t="shared" si="143"/>
        <v>3.3765445850268018E-12</v>
      </c>
      <c r="AL136" s="22">
        <f t="shared" si="112"/>
        <v>6.3163460169613921E-12</v>
      </c>
      <c r="AM136" s="60">
        <f t="shared" si="113"/>
        <v>293.33333333333962</v>
      </c>
      <c r="AN136" s="60">
        <f ca="1">AVERAGE(OFFSET($AM$3,0,0,'Données projet'!$E$10+1,1))-AVERAGE(OFFSET($H$3,0,0,'Données projet'!$E$10+1,1))</f>
        <v>216.80783650073869</v>
      </c>
      <c r="AO136" s="60">
        <f t="shared" si="144"/>
        <v>247.59561829759309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4.4337866711430253E-14</v>
      </c>
      <c r="BF136" s="14">
        <f t="shared" si="145"/>
        <v>7.3222115536967035E-13</v>
      </c>
      <c r="BG136" s="22">
        <f t="shared" si="115"/>
        <v>1.3525069634579169E-12</v>
      </c>
      <c r="BH136" s="60">
        <f t="shared" si="116"/>
        <v>293.33333333333468</v>
      </c>
      <c r="BI136" s="60">
        <f ca="1">AVERAGE(OFFSET($BH$3,0,0,'Données projet'!$E$11+1,1))-AVERAGE(OFFSET($H$3,0,0,'Données projet'!$E$11+1,1))</f>
        <v>222.34562513006574</v>
      </c>
      <c r="BJ136" s="60">
        <f t="shared" si="146"/>
        <v>213.19969928771548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274.84847548786672</v>
      </c>
      <c r="CE136" s="60">
        <f t="shared" si="148"/>
        <v>376.2625056050623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0" t="e">
        <f t="shared" si="122"/>
        <v>#N/A</v>
      </c>
      <c r="CY136" s="60" t="e">
        <f ca="1">AVERAGE(OFFSET($CX$3,0,0,'Données projet'!$E$13+1,1))-AVERAGE(OFFSET($H$3,0,0,'Données projet'!$E$13+1,1))</f>
        <v>#N/A</v>
      </c>
      <c r="CZ136" s="60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8">
        <f t="shared" si="110"/>
        <v>437.4451801121844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2.7134774427395314E-13</v>
      </c>
      <c r="P137" s="14">
        <f t="shared" si="141"/>
        <v>3.6292411711343559E-12</v>
      </c>
      <c r="Q137" s="22">
        <f t="shared" si="108"/>
        <v>6.7935256943361388E-12</v>
      </c>
      <c r="R137" s="60">
        <f t="shared" si="109"/>
        <v>293.33333333334014</v>
      </c>
      <c r="S137" s="60">
        <f ca="1">AVERAGE(OFFSET($R$3,0,0,'Données projet'!$E$9+1,1))-AVERAGE(OFFSET($H$3,0,0,'Données projet'!$E$9+1,1))</f>
        <v>238.47463071449789</v>
      </c>
      <c r="T137" s="60">
        <f t="shared" si="142"/>
        <v>270.92950919803718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2.5006556825246659E-13</v>
      </c>
      <c r="AK137" s="14">
        <f t="shared" si="143"/>
        <v>3.3765445850268018E-12</v>
      </c>
      <c r="AL137" s="22">
        <f t="shared" si="112"/>
        <v>6.3163460169613921E-12</v>
      </c>
      <c r="AM137" s="60">
        <f t="shared" si="113"/>
        <v>293.33333333333962</v>
      </c>
      <c r="AN137" s="60">
        <f ca="1">AVERAGE(OFFSET($AM$3,0,0,'Données projet'!$E$10+1,1))-AVERAGE(OFFSET($H$3,0,0,'Données projet'!$E$10+1,1))</f>
        <v>216.80783650073869</v>
      </c>
      <c r="AO137" s="60">
        <f t="shared" si="144"/>
        <v>247.59561829759309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4.4337866711430253E-14</v>
      </c>
      <c r="BF137" s="14">
        <f t="shared" si="145"/>
        <v>7.3222115536967035E-13</v>
      </c>
      <c r="BG137" s="22">
        <f t="shared" si="115"/>
        <v>1.3525069634579169E-12</v>
      </c>
      <c r="BH137" s="60">
        <f t="shared" si="116"/>
        <v>293.33333333333468</v>
      </c>
      <c r="BI137" s="60">
        <f ca="1">AVERAGE(OFFSET($BH$3,0,0,'Données projet'!$E$11+1,1))-AVERAGE(OFFSET($H$3,0,0,'Données projet'!$E$11+1,1))</f>
        <v>222.34562513006574</v>
      </c>
      <c r="BJ137" s="60">
        <f t="shared" si="146"/>
        <v>213.19969928771548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274.84847548786672</v>
      </c>
      <c r="CE137" s="60">
        <f t="shared" si="148"/>
        <v>376.2625056050623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0" t="e">
        <f t="shared" si="122"/>
        <v>#N/A</v>
      </c>
      <c r="CY137" s="60" t="e">
        <f ca="1">AVERAGE(OFFSET($CX$3,0,0,'Données projet'!$E$13+1,1))-AVERAGE(OFFSET($H$3,0,0,'Données projet'!$E$13+1,1))</f>
        <v>#N/A</v>
      </c>
      <c r="CZ137" s="60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8">
        <f t="shared" si="110"/>
        <v>438.49288008369155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2.7134774427395314E-13</v>
      </c>
      <c r="P138" s="14">
        <f t="shared" si="141"/>
        <v>3.6292411711343559E-12</v>
      </c>
      <c r="Q138" s="22">
        <f t="shared" si="108"/>
        <v>6.7935256943361388E-12</v>
      </c>
      <c r="R138" s="60">
        <f t="shared" si="109"/>
        <v>293.33333333334014</v>
      </c>
      <c r="S138" s="60">
        <f ca="1">AVERAGE(OFFSET($R$3,0,0,'Données projet'!$E$9+1,1))-AVERAGE(OFFSET($H$3,0,0,'Données projet'!$E$9+1,1))</f>
        <v>238.47463071449789</v>
      </c>
      <c r="T138" s="60">
        <f t="shared" si="142"/>
        <v>270.92950919803718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2.5006556825246659E-13</v>
      </c>
      <c r="AK138" s="14">
        <f t="shared" si="143"/>
        <v>3.3765445850268018E-12</v>
      </c>
      <c r="AL138" s="22">
        <f t="shared" si="112"/>
        <v>6.3163460169613921E-12</v>
      </c>
      <c r="AM138" s="60">
        <f t="shared" si="113"/>
        <v>293.33333333333962</v>
      </c>
      <c r="AN138" s="60">
        <f ca="1">AVERAGE(OFFSET($AM$3,0,0,'Données projet'!$E$10+1,1))-AVERAGE(OFFSET($H$3,0,0,'Données projet'!$E$10+1,1))</f>
        <v>216.80783650073869</v>
      </c>
      <c r="AO138" s="60">
        <f t="shared" si="144"/>
        <v>247.59561829759309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4.4337866711430253E-14</v>
      </c>
      <c r="BF138" s="14">
        <f t="shared" si="145"/>
        <v>7.3222115536967035E-13</v>
      </c>
      <c r="BG138" s="22">
        <f t="shared" si="115"/>
        <v>1.3525069634579169E-12</v>
      </c>
      <c r="BH138" s="60">
        <f t="shared" si="116"/>
        <v>293.33333333333468</v>
      </c>
      <c r="BI138" s="60">
        <f ca="1">AVERAGE(OFFSET($BH$3,0,0,'Données projet'!$E$11+1,1))-AVERAGE(OFFSET($H$3,0,0,'Données projet'!$E$11+1,1))</f>
        <v>222.34562513006574</v>
      </c>
      <c r="BJ138" s="60">
        <f t="shared" si="146"/>
        <v>213.19969928771548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274.84847548786672</v>
      </c>
      <c r="CE138" s="60">
        <f t="shared" si="148"/>
        <v>376.2625056050623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0" t="e">
        <f t="shared" si="122"/>
        <v>#N/A</v>
      </c>
      <c r="CY138" s="60" t="e">
        <f ca="1">AVERAGE(OFFSET($CX$3,0,0,'Données projet'!$E$13+1,1))-AVERAGE(OFFSET($H$3,0,0,'Données projet'!$E$13+1,1))</f>
        <v>#N/A</v>
      </c>
      <c r="CZ138" s="60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8">
        <f t="shared" si="110"/>
        <v>439.54039910075409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2.7134774427395314E-13</v>
      </c>
      <c r="P139" s="14">
        <f t="shared" si="141"/>
        <v>3.6292411711343559E-12</v>
      </c>
      <c r="Q139" s="22">
        <f t="shared" si="108"/>
        <v>6.7935256943361388E-12</v>
      </c>
      <c r="R139" s="60">
        <f t="shared" si="109"/>
        <v>293.33333333334014</v>
      </c>
      <c r="S139" s="60">
        <f ca="1">AVERAGE(OFFSET($R$3,0,0,'Données projet'!$E$9+1,1))-AVERAGE(OFFSET($H$3,0,0,'Données projet'!$E$9+1,1))</f>
        <v>238.47463071449789</v>
      </c>
      <c r="T139" s="60">
        <f t="shared" si="142"/>
        <v>270.92950919803718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2.5006556825246659E-13</v>
      </c>
      <c r="AK139" s="14">
        <f t="shared" si="143"/>
        <v>3.3765445850268018E-12</v>
      </c>
      <c r="AL139" s="22">
        <f t="shared" si="112"/>
        <v>6.3163460169613921E-12</v>
      </c>
      <c r="AM139" s="60">
        <f t="shared" si="113"/>
        <v>293.33333333333962</v>
      </c>
      <c r="AN139" s="60">
        <f ca="1">AVERAGE(OFFSET($AM$3,0,0,'Données projet'!$E$10+1,1))-AVERAGE(OFFSET($H$3,0,0,'Données projet'!$E$10+1,1))</f>
        <v>216.80783650073869</v>
      </c>
      <c r="AO139" s="60">
        <f t="shared" si="144"/>
        <v>247.59561829759309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4.4337866711430253E-14</v>
      </c>
      <c r="BF139" s="14">
        <f t="shared" si="145"/>
        <v>7.3222115536967035E-13</v>
      </c>
      <c r="BG139" s="22">
        <f t="shared" si="115"/>
        <v>1.3525069634579169E-12</v>
      </c>
      <c r="BH139" s="60">
        <f t="shared" si="116"/>
        <v>293.33333333333468</v>
      </c>
      <c r="BI139" s="60">
        <f ca="1">AVERAGE(OFFSET($BH$3,0,0,'Données projet'!$E$11+1,1))-AVERAGE(OFFSET($H$3,0,0,'Données projet'!$E$11+1,1))</f>
        <v>222.34562513006574</v>
      </c>
      <c r="BJ139" s="60">
        <f t="shared" si="146"/>
        <v>213.19969928771548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274.84847548786672</v>
      </c>
      <c r="CE139" s="60">
        <f t="shared" si="148"/>
        <v>376.2625056050623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0" t="e">
        <f t="shared" si="122"/>
        <v>#N/A</v>
      </c>
      <c r="CY139" s="60" t="e">
        <f ca="1">AVERAGE(OFFSET($CX$3,0,0,'Données projet'!$E$13+1,1))-AVERAGE(OFFSET($H$3,0,0,'Données projet'!$E$13+1,1))</f>
        <v>#N/A</v>
      </c>
      <c r="CZ139" s="60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8">
        <f t="shared" si="110"/>
        <v>440.58773864818636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2.7134774427395314E-13</v>
      </c>
      <c r="P140" s="14">
        <f t="shared" si="141"/>
        <v>3.6292411711343559E-12</v>
      </c>
      <c r="Q140" s="22">
        <f t="shared" si="108"/>
        <v>6.7935256943361388E-12</v>
      </c>
      <c r="R140" s="60">
        <f t="shared" si="109"/>
        <v>293.33333333334014</v>
      </c>
      <c r="S140" s="60">
        <f ca="1">AVERAGE(OFFSET($R$3,0,0,'Données projet'!$E$9+1,1))-AVERAGE(OFFSET($H$3,0,0,'Données projet'!$E$9+1,1))</f>
        <v>238.47463071449789</v>
      </c>
      <c r="T140" s="60">
        <f t="shared" si="142"/>
        <v>270.92950919803718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2.5006556825246659E-13</v>
      </c>
      <c r="AK140" s="14">
        <f t="shared" si="143"/>
        <v>3.3765445850268018E-12</v>
      </c>
      <c r="AL140" s="22">
        <f t="shared" si="112"/>
        <v>6.3163460169613921E-12</v>
      </c>
      <c r="AM140" s="60">
        <f t="shared" si="113"/>
        <v>293.33333333333962</v>
      </c>
      <c r="AN140" s="60">
        <f ca="1">AVERAGE(OFFSET($AM$3,0,0,'Données projet'!$E$10+1,1))-AVERAGE(OFFSET($H$3,0,0,'Données projet'!$E$10+1,1))</f>
        <v>216.80783650073869</v>
      </c>
      <c r="AO140" s="60">
        <f t="shared" si="144"/>
        <v>247.59561829759309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4.4337866711430253E-14</v>
      </c>
      <c r="BF140" s="14">
        <f t="shared" si="145"/>
        <v>7.3222115536967035E-13</v>
      </c>
      <c r="BG140" s="22">
        <f t="shared" si="115"/>
        <v>1.3525069634579169E-12</v>
      </c>
      <c r="BH140" s="60">
        <f t="shared" si="116"/>
        <v>293.33333333333468</v>
      </c>
      <c r="BI140" s="60">
        <f ca="1">AVERAGE(OFFSET($BH$3,0,0,'Données projet'!$E$11+1,1))-AVERAGE(OFFSET($H$3,0,0,'Données projet'!$E$11+1,1))</f>
        <v>222.34562513006574</v>
      </c>
      <c r="BJ140" s="60">
        <f t="shared" si="146"/>
        <v>213.19969928771548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274.84847548786672</v>
      </c>
      <c r="CE140" s="60">
        <f t="shared" si="148"/>
        <v>376.2625056050623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0" t="e">
        <f t="shared" si="122"/>
        <v>#N/A</v>
      </c>
      <c r="CY140" s="60" t="e">
        <f ca="1">AVERAGE(OFFSET($CX$3,0,0,'Données projet'!$E$13+1,1))-AVERAGE(OFFSET($H$3,0,0,'Données projet'!$E$13+1,1))</f>
        <v>#N/A</v>
      </c>
      <c r="CZ140" s="60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8">
        <f t="shared" si="110"/>
        <v>441.63490018787445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2.7134774427395314E-13</v>
      </c>
      <c r="P141" s="14">
        <f t="shared" si="141"/>
        <v>3.6292411711343559E-12</v>
      </c>
      <c r="Q141" s="22">
        <f t="shared" si="108"/>
        <v>6.7935256943361388E-12</v>
      </c>
      <c r="R141" s="60">
        <f t="shared" si="109"/>
        <v>293.33333333334014</v>
      </c>
      <c r="S141" s="60">
        <f ca="1">AVERAGE(OFFSET($R$3,0,0,'Données projet'!$E$9+1,1))-AVERAGE(OFFSET($H$3,0,0,'Données projet'!$E$9+1,1))</f>
        <v>238.47463071449789</v>
      </c>
      <c r="T141" s="60">
        <f t="shared" si="142"/>
        <v>270.92950919803718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2.5006556825246659E-13</v>
      </c>
      <c r="AK141" s="14">
        <f t="shared" si="143"/>
        <v>3.3765445850268018E-12</v>
      </c>
      <c r="AL141" s="22">
        <f t="shared" si="112"/>
        <v>6.3163460169613921E-12</v>
      </c>
      <c r="AM141" s="60">
        <f t="shared" si="113"/>
        <v>293.33333333333962</v>
      </c>
      <c r="AN141" s="60">
        <f ca="1">AVERAGE(OFFSET($AM$3,0,0,'Données projet'!$E$10+1,1))-AVERAGE(OFFSET($H$3,0,0,'Données projet'!$E$10+1,1))</f>
        <v>216.80783650073869</v>
      </c>
      <c r="AO141" s="60">
        <f t="shared" si="144"/>
        <v>247.59561829759309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4.4337866711430253E-14</v>
      </c>
      <c r="BF141" s="14">
        <f t="shared" si="145"/>
        <v>7.3222115536967035E-13</v>
      </c>
      <c r="BG141" s="22">
        <f t="shared" si="115"/>
        <v>1.3525069634579169E-12</v>
      </c>
      <c r="BH141" s="60">
        <f t="shared" si="116"/>
        <v>293.33333333333468</v>
      </c>
      <c r="BI141" s="60">
        <f ca="1">AVERAGE(OFFSET($BH$3,0,0,'Données projet'!$E$11+1,1))-AVERAGE(OFFSET($H$3,0,0,'Données projet'!$E$11+1,1))</f>
        <v>222.34562513006574</v>
      </c>
      <c r="BJ141" s="60">
        <f t="shared" si="146"/>
        <v>213.19969928771548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274.84847548786672</v>
      </c>
      <c r="CE141" s="60">
        <f t="shared" si="148"/>
        <v>376.2625056050623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0" t="e">
        <f t="shared" si="122"/>
        <v>#N/A</v>
      </c>
      <c r="CY141" s="60" t="e">
        <f ca="1">AVERAGE(OFFSET($CX$3,0,0,'Données projet'!$E$13+1,1))-AVERAGE(OFFSET($H$3,0,0,'Données projet'!$E$13+1,1))</f>
        <v>#N/A</v>
      </c>
      <c r="CZ141" s="60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8">
        <f t="shared" si="110"/>
        <v>442.68188515929319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2.7134774427395314E-13</v>
      </c>
      <c r="P142" s="14">
        <f t="shared" si="141"/>
        <v>3.6292411711343559E-12</v>
      </c>
      <c r="Q142" s="22">
        <f t="shared" si="108"/>
        <v>6.7935256943361388E-12</v>
      </c>
      <c r="R142" s="60">
        <f t="shared" si="109"/>
        <v>293.33333333334014</v>
      </c>
      <c r="S142" s="60">
        <f ca="1">AVERAGE(OFFSET($R$3,0,0,'Données projet'!$E$9+1,1))-AVERAGE(OFFSET($H$3,0,0,'Données projet'!$E$9+1,1))</f>
        <v>238.47463071449789</v>
      </c>
      <c r="T142" s="60">
        <f t="shared" si="142"/>
        <v>270.92950919803718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2.5006556825246659E-13</v>
      </c>
      <c r="AK142" s="14">
        <f t="shared" si="143"/>
        <v>3.3765445850268018E-12</v>
      </c>
      <c r="AL142" s="22">
        <f t="shared" si="112"/>
        <v>6.3163460169613921E-12</v>
      </c>
      <c r="AM142" s="60">
        <f t="shared" si="113"/>
        <v>293.33333333333962</v>
      </c>
      <c r="AN142" s="60">
        <f ca="1">AVERAGE(OFFSET($AM$3,0,0,'Données projet'!$E$10+1,1))-AVERAGE(OFFSET($H$3,0,0,'Données projet'!$E$10+1,1))</f>
        <v>216.80783650073869</v>
      </c>
      <c r="AO142" s="60">
        <f t="shared" si="144"/>
        <v>247.59561829759309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4.4337866711430253E-14</v>
      </c>
      <c r="BF142" s="14">
        <f t="shared" si="145"/>
        <v>7.3222115536967035E-13</v>
      </c>
      <c r="BG142" s="22">
        <f t="shared" si="115"/>
        <v>1.3525069634579169E-12</v>
      </c>
      <c r="BH142" s="60">
        <f t="shared" si="116"/>
        <v>293.33333333333468</v>
      </c>
      <c r="BI142" s="60">
        <f ca="1">AVERAGE(OFFSET($BH$3,0,0,'Données projet'!$E$11+1,1))-AVERAGE(OFFSET($H$3,0,0,'Données projet'!$E$11+1,1))</f>
        <v>222.34562513006574</v>
      </c>
      <c r="BJ142" s="60">
        <f t="shared" si="146"/>
        <v>213.19969928771548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274.84847548786672</v>
      </c>
      <c r="CE142" s="60">
        <f t="shared" si="148"/>
        <v>376.2625056050623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0" t="e">
        <f t="shared" si="122"/>
        <v>#N/A</v>
      </c>
      <c r="CY142" s="60" t="e">
        <f ca="1">AVERAGE(OFFSET($CX$3,0,0,'Données projet'!$E$13+1,1))-AVERAGE(OFFSET($H$3,0,0,'Données projet'!$E$13+1,1))</f>
        <v>#N/A</v>
      </c>
      <c r="CZ142" s="60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8">
        <f t="shared" si="110"/>
        <v>443.72869498000898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2.7134774427395314E-13</v>
      </c>
      <c r="P143" s="14">
        <f t="shared" si="141"/>
        <v>3.6292411711343559E-12</v>
      </c>
      <c r="Q143" s="22">
        <f t="shared" si="108"/>
        <v>6.7935256943361388E-12</v>
      </c>
      <c r="R143" s="60">
        <f t="shared" si="109"/>
        <v>293.33333333334014</v>
      </c>
      <c r="S143" s="60">
        <f ca="1">AVERAGE(OFFSET($R$3,0,0,'Données projet'!$E$9+1,1))-AVERAGE(OFFSET($H$3,0,0,'Données projet'!$E$9+1,1))</f>
        <v>238.47463071449789</v>
      </c>
      <c r="T143" s="60">
        <f t="shared" si="142"/>
        <v>270.92950919803718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2.5006556825246659E-13</v>
      </c>
      <c r="AK143" s="14">
        <f t="shared" si="143"/>
        <v>3.3765445850268018E-12</v>
      </c>
      <c r="AL143" s="22">
        <f t="shared" si="112"/>
        <v>6.3163460169613921E-12</v>
      </c>
      <c r="AM143" s="60">
        <f t="shared" si="113"/>
        <v>293.33333333333962</v>
      </c>
      <c r="AN143" s="60">
        <f ca="1">AVERAGE(OFFSET($AM$3,0,0,'Données projet'!$E$10+1,1))-AVERAGE(OFFSET($H$3,0,0,'Données projet'!$E$10+1,1))</f>
        <v>216.80783650073869</v>
      </c>
      <c r="AO143" s="60">
        <f t="shared" si="144"/>
        <v>247.59561829759309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4.4337866711430253E-14</v>
      </c>
      <c r="BF143" s="14">
        <f t="shared" si="145"/>
        <v>7.3222115536967035E-13</v>
      </c>
      <c r="BG143" s="22">
        <f t="shared" si="115"/>
        <v>1.3525069634579169E-12</v>
      </c>
      <c r="BH143" s="60">
        <f t="shared" si="116"/>
        <v>293.33333333333468</v>
      </c>
      <c r="BI143" s="60">
        <f ca="1">AVERAGE(OFFSET($BH$3,0,0,'Données projet'!$E$11+1,1))-AVERAGE(OFFSET($H$3,0,0,'Données projet'!$E$11+1,1))</f>
        <v>222.34562513006574</v>
      </c>
      <c r="BJ143" s="60">
        <f t="shared" si="146"/>
        <v>213.19969928771548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274.84847548786672</v>
      </c>
      <c r="CE143" s="60">
        <f t="shared" si="148"/>
        <v>376.2625056050623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0" t="e">
        <f t="shared" si="122"/>
        <v>#N/A</v>
      </c>
      <c r="CY143" s="60" t="e">
        <f ca="1">AVERAGE(OFFSET($CX$3,0,0,'Données projet'!$E$13+1,1))-AVERAGE(OFFSET($H$3,0,0,'Données projet'!$E$13+1,1))</f>
        <v>#N/A</v>
      </c>
      <c r="CZ143" s="60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8">
        <f t="shared" si="110"/>
        <v>444.7753310461668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2.7134774427395314E-13</v>
      </c>
      <c r="P144" s="14">
        <f t="shared" si="141"/>
        <v>3.6292411711343559E-12</v>
      </c>
      <c r="Q144" s="22">
        <f t="shared" si="108"/>
        <v>6.7935256943361388E-12</v>
      </c>
      <c r="R144" s="60">
        <f t="shared" si="109"/>
        <v>293.33333333334014</v>
      </c>
      <c r="S144" s="60">
        <f ca="1">AVERAGE(OFFSET($R$3,0,0,'Données projet'!$E$9+1,1))-AVERAGE(OFFSET($H$3,0,0,'Données projet'!$E$9+1,1))</f>
        <v>238.47463071449789</v>
      </c>
      <c r="T144" s="60">
        <f t="shared" si="142"/>
        <v>270.92950919803718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2.5006556825246659E-13</v>
      </c>
      <c r="AK144" s="14">
        <f t="shared" si="143"/>
        <v>3.3765445850268018E-12</v>
      </c>
      <c r="AL144" s="22">
        <f t="shared" si="112"/>
        <v>6.3163460169613921E-12</v>
      </c>
      <c r="AM144" s="60">
        <f t="shared" si="113"/>
        <v>293.33333333333962</v>
      </c>
      <c r="AN144" s="60">
        <f ca="1">AVERAGE(OFFSET($AM$3,0,0,'Données projet'!$E$10+1,1))-AVERAGE(OFFSET($H$3,0,0,'Données projet'!$E$10+1,1))</f>
        <v>216.80783650073869</v>
      </c>
      <c r="AO144" s="60">
        <f t="shared" si="144"/>
        <v>247.59561829759309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4.4337866711430253E-14</v>
      </c>
      <c r="BF144" s="14">
        <f t="shared" si="145"/>
        <v>7.3222115536967035E-13</v>
      </c>
      <c r="BG144" s="22">
        <f t="shared" si="115"/>
        <v>1.3525069634579169E-12</v>
      </c>
      <c r="BH144" s="60">
        <f t="shared" si="116"/>
        <v>293.33333333333468</v>
      </c>
      <c r="BI144" s="60">
        <f ca="1">AVERAGE(OFFSET($BH$3,0,0,'Données projet'!$E$11+1,1))-AVERAGE(OFFSET($H$3,0,0,'Données projet'!$E$11+1,1))</f>
        <v>222.34562513006574</v>
      </c>
      <c r="BJ144" s="60">
        <f t="shared" si="146"/>
        <v>213.19969928771548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274.84847548786672</v>
      </c>
      <c r="CE144" s="60">
        <f t="shared" si="148"/>
        <v>376.2625056050623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0" t="e">
        <f t="shared" si="122"/>
        <v>#N/A</v>
      </c>
      <c r="CY144" s="60" t="e">
        <f ca="1">AVERAGE(OFFSET($CX$3,0,0,'Données projet'!$E$13+1,1))-AVERAGE(OFFSET($H$3,0,0,'Données projet'!$E$13+1,1))</f>
        <v>#N/A</v>
      </c>
      <c r="CZ144" s="60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8">
        <f t="shared" si="110"/>
        <v>445.82179473296389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2.7134774427395314E-13</v>
      </c>
      <c r="P145" s="14">
        <f t="shared" si="141"/>
        <v>3.6292411711343559E-12</v>
      </c>
      <c r="Q145" s="22">
        <f t="shared" si="108"/>
        <v>6.7935256943361388E-12</v>
      </c>
      <c r="R145" s="60">
        <f t="shared" si="109"/>
        <v>293.33333333334014</v>
      </c>
      <c r="S145" s="60">
        <f ca="1">AVERAGE(OFFSET($R$3,0,0,'Données projet'!$E$9+1,1))-AVERAGE(OFFSET($H$3,0,0,'Données projet'!$E$9+1,1))</f>
        <v>238.47463071449789</v>
      </c>
      <c r="T145" s="60">
        <f t="shared" si="142"/>
        <v>270.92950919803718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2.5006556825246659E-13</v>
      </c>
      <c r="AK145" s="14">
        <f t="shared" si="143"/>
        <v>3.3765445850268018E-12</v>
      </c>
      <c r="AL145" s="22">
        <f t="shared" si="112"/>
        <v>6.3163460169613921E-12</v>
      </c>
      <c r="AM145" s="60">
        <f t="shared" si="113"/>
        <v>293.33333333333962</v>
      </c>
      <c r="AN145" s="60">
        <f ca="1">AVERAGE(OFFSET($AM$3,0,0,'Données projet'!$E$10+1,1))-AVERAGE(OFFSET($H$3,0,0,'Données projet'!$E$10+1,1))</f>
        <v>216.80783650073869</v>
      </c>
      <c r="AO145" s="60">
        <f t="shared" si="144"/>
        <v>247.59561829759309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4.4337866711430253E-14</v>
      </c>
      <c r="BF145" s="14">
        <f t="shared" si="145"/>
        <v>7.3222115536967035E-13</v>
      </c>
      <c r="BG145" s="22">
        <f t="shared" si="115"/>
        <v>1.3525069634579169E-12</v>
      </c>
      <c r="BH145" s="60">
        <f t="shared" si="116"/>
        <v>293.33333333333468</v>
      </c>
      <c r="BI145" s="60">
        <f ca="1">AVERAGE(OFFSET($BH$3,0,0,'Données projet'!$E$11+1,1))-AVERAGE(OFFSET($H$3,0,0,'Données projet'!$E$11+1,1))</f>
        <v>222.34562513006574</v>
      </c>
      <c r="BJ145" s="60">
        <f t="shared" si="146"/>
        <v>213.19969928771548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274.84847548786672</v>
      </c>
      <c r="CE145" s="60">
        <f t="shared" si="148"/>
        <v>376.2625056050623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0" t="e">
        <f t="shared" si="122"/>
        <v>#N/A</v>
      </c>
      <c r="CY145" s="60" t="e">
        <f ca="1">AVERAGE(OFFSET($CX$3,0,0,'Données projet'!$E$13+1,1))-AVERAGE(OFFSET($H$3,0,0,'Données projet'!$E$13+1,1))</f>
        <v>#N/A</v>
      </c>
      <c r="CZ145" s="60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8">
        <f t="shared" si="110"/>
        <v>446.86808739510911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2.7134774427395314E-13</v>
      </c>
      <c r="P146" s="14">
        <f t="shared" si="141"/>
        <v>3.6292411711343559E-12</v>
      </c>
      <c r="Q146" s="22">
        <f t="shared" si="108"/>
        <v>6.7935256943361388E-12</v>
      </c>
      <c r="R146" s="60">
        <f t="shared" si="109"/>
        <v>293.33333333334014</v>
      </c>
      <c r="S146" s="60">
        <f ca="1">AVERAGE(OFFSET($R$3,0,0,'Données projet'!$E$9+1,1))-AVERAGE(OFFSET($H$3,0,0,'Données projet'!$E$9+1,1))</f>
        <v>238.47463071449789</v>
      </c>
      <c r="T146" s="60">
        <f t="shared" si="142"/>
        <v>270.92950919803718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2.5006556825246659E-13</v>
      </c>
      <c r="AK146" s="14">
        <f t="shared" si="143"/>
        <v>3.3765445850268018E-12</v>
      </c>
      <c r="AL146" s="22">
        <f t="shared" si="112"/>
        <v>6.3163460169613921E-12</v>
      </c>
      <c r="AM146" s="60">
        <f t="shared" si="113"/>
        <v>293.33333333333962</v>
      </c>
      <c r="AN146" s="60">
        <f ca="1">AVERAGE(OFFSET($AM$3,0,0,'Données projet'!$E$10+1,1))-AVERAGE(OFFSET($H$3,0,0,'Données projet'!$E$10+1,1))</f>
        <v>216.80783650073869</v>
      </c>
      <c r="AO146" s="60">
        <f t="shared" si="144"/>
        <v>247.59561829759309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4.4337866711430253E-14</v>
      </c>
      <c r="BF146" s="14">
        <f t="shared" si="145"/>
        <v>7.3222115536967035E-13</v>
      </c>
      <c r="BG146" s="22">
        <f t="shared" si="115"/>
        <v>1.3525069634579169E-12</v>
      </c>
      <c r="BH146" s="60">
        <f t="shared" si="116"/>
        <v>293.33333333333468</v>
      </c>
      <c r="BI146" s="60">
        <f ca="1">AVERAGE(OFFSET($BH$3,0,0,'Données projet'!$E$11+1,1))-AVERAGE(OFFSET($H$3,0,0,'Données projet'!$E$11+1,1))</f>
        <v>222.34562513006574</v>
      </c>
      <c r="BJ146" s="60">
        <f t="shared" si="146"/>
        <v>213.19969928771548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274.84847548786672</v>
      </c>
      <c r="CE146" s="60">
        <f t="shared" si="148"/>
        <v>376.2625056050623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0" t="e">
        <f t="shared" si="122"/>
        <v>#N/A</v>
      </c>
      <c r="CY146" s="60" t="e">
        <f ca="1">AVERAGE(OFFSET($CX$3,0,0,'Données projet'!$E$13+1,1))-AVERAGE(OFFSET($H$3,0,0,'Données projet'!$E$13+1,1))</f>
        <v>#N/A</v>
      </c>
      <c r="CZ146" s="60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8">
        <f t="shared" si="110"/>
        <v>447.91421036726933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2.7134774427395314E-13</v>
      </c>
      <c r="P147" s="14">
        <f t="shared" si="141"/>
        <v>3.6292411711343559E-12</v>
      </c>
      <c r="Q147" s="22">
        <f t="shared" si="108"/>
        <v>6.7935256943361388E-12</v>
      </c>
      <c r="R147" s="60">
        <f t="shared" si="109"/>
        <v>293.33333333334014</v>
      </c>
      <c r="S147" s="60">
        <f ca="1">AVERAGE(OFFSET($R$3,0,0,'Données projet'!$E$9+1,1))-AVERAGE(OFFSET($H$3,0,0,'Données projet'!$E$9+1,1))</f>
        <v>238.47463071449789</v>
      </c>
      <c r="T147" s="60">
        <f t="shared" si="142"/>
        <v>270.92950919803718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2.5006556825246659E-13</v>
      </c>
      <c r="AK147" s="14">
        <f t="shared" si="143"/>
        <v>3.3765445850268018E-12</v>
      </c>
      <c r="AL147" s="22">
        <f t="shared" si="112"/>
        <v>6.3163460169613921E-12</v>
      </c>
      <c r="AM147" s="60">
        <f t="shared" si="113"/>
        <v>293.33333333333962</v>
      </c>
      <c r="AN147" s="60">
        <f ca="1">AVERAGE(OFFSET($AM$3,0,0,'Données projet'!$E$10+1,1))-AVERAGE(OFFSET($H$3,0,0,'Données projet'!$E$10+1,1))</f>
        <v>216.80783650073869</v>
      </c>
      <c r="AO147" s="60">
        <f t="shared" si="144"/>
        <v>247.59561829759309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4.4337866711430253E-14</v>
      </c>
      <c r="BF147" s="14">
        <f t="shared" si="145"/>
        <v>7.3222115536967035E-13</v>
      </c>
      <c r="BG147" s="22">
        <f t="shared" si="115"/>
        <v>1.3525069634579169E-12</v>
      </c>
      <c r="BH147" s="60">
        <f t="shared" si="116"/>
        <v>293.33333333333468</v>
      </c>
      <c r="BI147" s="60">
        <f ca="1">AVERAGE(OFFSET($BH$3,0,0,'Données projet'!$E$11+1,1))-AVERAGE(OFFSET($H$3,0,0,'Données projet'!$E$11+1,1))</f>
        <v>222.34562513006574</v>
      </c>
      <c r="BJ147" s="60">
        <f t="shared" si="146"/>
        <v>213.19969928771548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274.84847548786672</v>
      </c>
      <c r="CE147" s="60">
        <f t="shared" si="148"/>
        <v>376.2625056050623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0" t="e">
        <f t="shared" si="122"/>
        <v>#N/A</v>
      </c>
      <c r="CY147" s="60" t="e">
        <f ca="1">AVERAGE(OFFSET($CX$3,0,0,'Données projet'!$E$13+1,1))-AVERAGE(OFFSET($H$3,0,0,'Données projet'!$E$13+1,1))</f>
        <v>#N/A</v>
      </c>
      <c r="CZ147" s="60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8">
        <f t="shared" si="110"/>
        <v>448.96016496450284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2.7134774427395314E-13</v>
      </c>
      <c r="P148" s="14">
        <f t="shared" si="141"/>
        <v>3.6292411711343559E-12</v>
      </c>
      <c r="Q148" s="22">
        <f t="shared" si="108"/>
        <v>6.7935256943361388E-12</v>
      </c>
      <c r="R148" s="60">
        <f t="shared" si="109"/>
        <v>293.33333333334014</v>
      </c>
      <c r="S148" s="60">
        <f ca="1">AVERAGE(OFFSET($R$3,0,0,'Données projet'!$E$9+1,1))-AVERAGE(OFFSET($H$3,0,0,'Données projet'!$E$9+1,1))</f>
        <v>238.47463071449789</v>
      </c>
      <c r="T148" s="60">
        <f t="shared" si="142"/>
        <v>270.92950919803718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2.5006556825246659E-13</v>
      </c>
      <c r="AK148" s="14">
        <f t="shared" si="143"/>
        <v>3.3765445850268018E-12</v>
      </c>
      <c r="AL148" s="22">
        <f t="shared" si="112"/>
        <v>6.3163460169613921E-12</v>
      </c>
      <c r="AM148" s="60">
        <f t="shared" si="113"/>
        <v>293.33333333333962</v>
      </c>
      <c r="AN148" s="60">
        <f ca="1">AVERAGE(OFFSET($AM$3,0,0,'Données projet'!$E$10+1,1))-AVERAGE(OFFSET($H$3,0,0,'Données projet'!$E$10+1,1))</f>
        <v>216.80783650073869</v>
      </c>
      <c r="AO148" s="60">
        <f t="shared" si="144"/>
        <v>247.59561829759309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4.4337866711430253E-14</v>
      </c>
      <c r="BF148" s="14">
        <f t="shared" si="145"/>
        <v>7.3222115536967035E-13</v>
      </c>
      <c r="BG148" s="22">
        <f t="shared" si="115"/>
        <v>1.3525069634579169E-12</v>
      </c>
      <c r="BH148" s="60">
        <f t="shared" si="116"/>
        <v>293.33333333333468</v>
      </c>
      <c r="BI148" s="60">
        <f ca="1">AVERAGE(OFFSET($BH$3,0,0,'Données projet'!$E$11+1,1))-AVERAGE(OFFSET($H$3,0,0,'Données projet'!$E$11+1,1))</f>
        <v>222.34562513006574</v>
      </c>
      <c r="BJ148" s="60">
        <f t="shared" si="146"/>
        <v>213.19969928771548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274.84847548786672</v>
      </c>
      <c r="CE148" s="60">
        <f t="shared" si="148"/>
        <v>376.2625056050623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0" t="e">
        <f t="shared" si="122"/>
        <v>#N/A</v>
      </c>
      <c r="CY148" s="60" t="e">
        <f ca="1">AVERAGE(OFFSET($CX$3,0,0,'Données projet'!$E$13+1,1))-AVERAGE(OFFSET($H$3,0,0,'Données projet'!$E$13+1,1))</f>
        <v>#N/A</v>
      </c>
      <c r="CZ148" s="60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8">
        <f t="shared" si="110"/>
        <v>450.00595248268087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2.7134774427395314E-13</v>
      </c>
      <c r="P149" s="14">
        <f t="shared" si="141"/>
        <v>3.6292411711343559E-12</v>
      </c>
      <c r="Q149" s="22">
        <f t="shared" si="108"/>
        <v>6.7935256943361388E-12</v>
      </c>
      <c r="R149" s="60">
        <f t="shared" si="109"/>
        <v>293.33333333334014</v>
      </c>
      <c r="S149" s="60">
        <f ca="1">AVERAGE(OFFSET($R$3,0,0,'Données projet'!$E$9+1,1))-AVERAGE(OFFSET($H$3,0,0,'Données projet'!$E$9+1,1))</f>
        <v>238.47463071449789</v>
      </c>
      <c r="T149" s="60">
        <f t="shared" si="142"/>
        <v>270.92950919803718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2.5006556825246659E-13</v>
      </c>
      <c r="AK149" s="14">
        <f t="shared" si="143"/>
        <v>3.3765445850268018E-12</v>
      </c>
      <c r="AL149" s="22">
        <f t="shared" si="112"/>
        <v>6.3163460169613921E-12</v>
      </c>
      <c r="AM149" s="60">
        <f t="shared" si="113"/>
        <v>293.33333333333962</v>
      </c>
      <c r="AN149" s="60">
        <f ca="1">AVERAGE(OFFSET($AM$3,0,0,'Données projet'!$E$10+1,1))-AVERAGE(OFFSET($H$3,0,0,'Données projet'!$E$10+1,1))</f>
        <v>216.80783650073869</v>
      </c>
      <c r="AO149" s="60">
        <f t="shared" si="144"/>
        <v>247.59561829759309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4.4337866711430253E-14</v>
      </c>
      <c r="BF149" s="14">
        <f t="shared" si="145"/>
        <v>7.3222115536967035E-13</v>
      </c>
      <c r="BG149" s="22">
        <f t="shared" si="115"/>
        <v>1.3525069634579169E-12</v>
      </c>
      <c r="BH149" s="60">
        <f t="shared" si="116"/>
        <v>293.33333333333468</v>
      </c>
      <c r="BI149" s="60">
        <f ca="1">AVERAGE(OFFSET($BH$3,0,0,'Données projet'!$E$11+1,1))-AVERAGE(OFFSET($H$3,0,0,'Données projet'!$E$11+1,1))</f>
        <v>222.34562513006574</v>
      </c>
      <c r="BJ149" s="60">
        <f t="shared" si="146"/>
        <v>213.19969928771548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274.84847548786672</v>
      </c>
      <c r="CE149" s="60">
        <f t="shared" si="148"/>
        <v>376.2625056050623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0" t="e">
        <f t="shared" si="122"/>
        <v>#N/A</v>
      </c>
      <c r="CY149" s="60" t="e">
        <f ca="1">AVERAGE(OFFSET($CX$3,0,0,'Données projet'!$E$13+1,1))-AVERAGE(OFFSET($H$3,0,0,'Données projet'!$E$13+1,1))</f>
        <v>#N/A</v>
      </c>
      <c r="CZ149" s="60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8">
        <f t="shared" si="110"/>
        <v>451.05157419889701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2.7134774427395314E-13</v>
      </c>
      <c r="P150" s="14">
        <f t="shared" si="141"/>
        <v>3.6292411711343559E-12</v>
      </c>
      <c r="Q150" s="22">
        <f t="shared" si="108"/>
        <v>6.7935256943361388E-12</v>
      </c>
      <c r="R150" s="60">
        <f t="shared" si="109"/>
        <v>293.33333333334014</v>
      </c>
      <c r="S150" s="60">
        <f ca="1">AVERAGE(OFFSET($R$3,0,0,'Données projet'!$E$9+1,1))-AVERAGE(OFFSET($H$3,0,0,'Données projet'!$E$9+1,1))</f>
        <v>238.47463071449789</v>
      </c>
      <c r="T150" s="60">
        <f t="shared" si="142"/>
        <v>270.92950919803718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2.5006556825246659E-13</v>
      </c>
      <c r="AK150" s="14">
        <f t="shared" si="143"/>
        <v>3.3765445850268018E-12</v>
      </c>
      <c r="AL150" s="22">
        <f t="shared" si="112"/>
        <v>6.3163460169613921E-12</v>
      </c>
      <c r="AM150" s="60">
        <f t="shared" si="113"/>
        <v>293.33333333333962</v>
      </c>
      <c r="AN150" s="60">
        <f ca="1">AVERAGE(OFFSET($AM$3,0,0,'Données projet'!$E$10+1,1))-AVERAGE(OFFSET($H$3,0,0,'Données projet'!$E$10+1,1))</f>
        <v>216.80783650073869</v>
      </c>
      <c r="AO150" s="60">
        <f t="shared" si="144"/>
        <v>247.59561829759309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4.4337866711430253E-14</v>
      </c>
      <c r="BF150" s="14">
        <f t="shared" si="145"/>
        <v>7.3222115536967035E-13</v>
      </c>
      <c r="BG150" s="22">
        <f t="shared" si="115"/>
        <v>1.3525069634579169E-12</v>
      </c>
      <c r="BH150" s="60">
        <f t="shared" si="116"/>
        <v>293.33333333333468</v>
      </c>
      <c r="BI150" s="60">
        <f ca="1">AVERAGE(OFFSET($BH$3,0,0,'Données projet'!$E$11+1,1))-AVERAGE(OFFSET($H$3,0,0,'Données projet'!$E$11+1,1))</f>
        <v>222.34562513006574</v>
      </c>
      <c r="BJ150" s="60">
        <f t="shared" si="146"/>
        <v>213.19969928771548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274.84847548786672</v>
      </c>
      <c r="CE150" s="60">
        <f t="shared" si="148"/>
        <v>376.2625056050623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0" t="e">
        <f t="shared" si="122"/>
        <v>#N/A</v>
      </c>
      <c r="CY150" s="60" t="e">
        <f ca="1">AVERAGE(OFFSET($CX$3,0,0,'Données projet'!$E$13+1,1))-AVERAGE(OFFSET($H$3,0,0,'Données projet'!$E$13+1,1))</f>
        <v>#N/A</v>
      </c>
      <c r="CZ150" s="60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8">
        <f t="shared" si="110"/>
        <v>452.09703137186477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2.7134774427395314E-13</v>
      </c>
      <c r="P151" s="14">
        <f t="shared" si="141"/>
        <v>3.6292411711343559E-12</v>
      </c>
      <c r="Q151" s="22">
        <f t="shared" si="108"/>
        <v>6.7935256943361388E-12</v>
      </c>
      <c r="R151" s="60">
        <f t="shared" si="109"/>
        <v>293.33333333334014</v>
      </c>
      <c r="S151" s="60">
        <f ca="1">AVERAGE(OFFSET($R$3,0,0,'Données projet'!$E$9+1,1))-AVERAGE(OFFSET($H$3,0,0,'Données projet'!$E$9+1,1))</f>
        <v>238.47463071449789</v>
      </c>
      <c r="T151" s="60">
        <f t="shared" si="142"/>
        <v>270.92950919803718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2.5006556825246659E-13</v>
      </c>
      <c r="AK151" s="14">
        <f t="shared" si="143"/>
        <v>3.3765445850268018E-12</v>
      </c>
      <c r="AL151" s="22">
        <f t="shared" si="112"/>
        <v>6.3163460169613921E-12</v>
      </c>
      <c r="AM151" s="60">
        <f t="shared" si="113"/>
        <v>293.33333333333962</v>
      </c>
      <c r="AN151" s="60">
        <f ca="1">AVERAGE(OFFSET($AM$3,0,0,'Données projet'!$E$10+1,1))-AVERAGE(OFFSET($H$3,0,0,'Données projet'!$E$10+1,1))</f>
        <v>216.80783650073869</v>
      </c>
      <c r="AO151" s="60">
        <f t="shared" si="144"/>
        <v>247.59561829759309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4.4337866711430253E-14</v>
      </c>
      <c r="BF151" s="14">
        <f t="shared" si="145"/>
        <v>7.3222115536967035E-13</v>
      </c>
      <c r="BG151" s="22">
        <f t="shared" si="115"/>
        <v>1.3525069634579169E-12</v>
      </c>
      <c r="BH151" s="60">
        <f t="shared" si="116"/>
        <v>293.33333333333468</v>
      </c>
      <c r="BI151" s="60">
        <f ca="1">AVERAGE(OFFSET($BH$3,0,0,'Données projet'!$E$11+1,1))-AVERAGE(OFFSET($H$3,0,0,'Données projet'!$E$11+1,1))</f>
        <v>222.34562513006574</v>
      </c>
      <c r="BJ151" s="60">
        <f t="shared" si="146"/>
        <v>213.19969928771548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274.84847548786672</v>
      </c>
      <c r="CE151" s="60">
        <f t="shared" si="148"/>
        <v>376.2625056050623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0" t="e">
        <f t="shared" si="122"/>
        <v>#N/A</v>
      </c>
      <c r="CY151" s="60" t="e">
        <f ca="1">AVERAGE(OFFSET($CX$3,0,0,'Données projet'!$E$13+1,1))-AVERAGE(OFFSET($H$3,0,0,'Données projet'!$E$13+1,1))</f>
        <v>#N/A</v>
      </c>
      <c r="CZ151" s="60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8">
        <f t="shared" si="110"/>
        <v>453.14232524230488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2.7134774427395314E-13</v>
      </c>
      <c r="P152" s="14">
        <f t="shared" si="141"/>
        <v>3.6292411711343559E-12</v>
      </c>
      <c r="Q152" s="22">
        <f t="shared" si="108"/>
        <v>6.7935256943361388E-12</v>
      </c>
      <c r="R152" s="60">
        <f t="shared" si="109"/>
        <v>293.33333333334014</v>
      </c>
      <c r="S152" s="60">
        <f ca="1">AVERAGE(OFFSET($R$3,0,0,'Données projet'!$E$9+1,1))-AVERAGE(OFFSET($H$3,0,0,'Données projet'!$E$9+1,1))</f>
        <v>238.47463071449789</v>
      </c>
      <c r="T152" s="60">
        <f t="shared" si="142"/>
        <v>270.92950919803718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2.5006556825246659E-13</v>
      </c>
      <c r="AK152" s="14">
        <f t="shared" si="143"/>
        <v>3.3765445850268018E-12</v>
      </c>
      <c r="AL152" s="22">
        <f t="shared" si="112"/>
        <v>6.3163460169613921E-12</v>
      </c>
      <c r="AM152" s="60">
        <f t="shared" si="113"/>
        <v>293.33333333333962</v>
      </c>
      <c r="AN152" s="60">
        <f ca="1">AVERAGE(OFFSET($AM$3,0,0,'Données projet'!$E$10+1,1))-AVERAGE(OFFSET($H$3,0,0,'Données projet'!$E$10+1,1))</f>
        <v>216.80783650073869</v>
      </c>
      <c r="AO152" s="60">
        <f t="shared" si="144"/>
        <v>247.59561829759309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4.4337866711430253E-14</v>
      </c>
      <c r="BF152" s="14">
        <f t="shared" si="145"/>
        <v>7.3222115536967035E-13</v>
      </c>
      <c r="BG152" s="22">
        <f t="shared" si="115"/>
        <v>1.3525069634579169E-12</v>
      </c>
      <c r="BH152" s="60">
        <f t="shared" si="116"/>
        <v>293.33333333333468</v>
      </c>
      <c r="BI152" s="60">
        <f ca="1">AVERAGE(OFFSET($BH$3,0,0,'Données projet'!$E$11+1,1))-AVERAGE(OFFSET($H$3,0,0,'Données projet'!$E$11+1,1))</f>
        <v>222.34562513006574</v>
      </c>
      <c r="BJ152" s="60">
        <f t="shared" si="146"/>
        <v>213.19969928771548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274.84847548786672</v>
      </c>
      <c r="CE152" s="60">
        <f t="shared" si="148"/>
        <v>376.2625056050623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0" t="e">
        <f t="shared" si="122"/>
        <v>#N/A</v>
      </c>
      <c r="CY152" s="60" t="e">
        <f ca="1">AVERAGE(OFFSET($CX$3,0,0,'Données projet'!$E$13+1,1))-AVERAGE(OFFSET($H$3,0,0,'Données projet'!$E$13+1,1))</f>
        <v>#N/A</v>
      </c>
      <c r="CZ152" s="60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8">
        <f t="shared" si="110"/>
        <v>454.18745703332144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2.7134774427395314E-13</v>
      </c>
      <c r="P153" s="14">
        <f t="shared" si="141"/>
        <v>3.6292411711343559E-12</v>
      </c>
      <c r="Q153" s="22">
        <f t="shared" si="108"/>
        <v>6.7935256943361388E-12</v>
      </c>
      <c r="R153" s="60">
        <f t="shared" si="109"/>
        <v>293.33333333334014</v>
      </c>
      <c r="S153" s="60">
        <f ca="1">AVERAGE(OFFSET($R$3,0,0,'Données projet'!$E$9+1,1))-AVERAGE(OFFSET($H$3,0,0,'Données projet'!$E$9+1,1))</f>
        <v>238.47463071449789</v>
      </c>
      <c r="T153" s="60">
        <f t="shared" si="142"/>
        <v>270.92950919803718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2.5006556825246659E-13</v>
      </c>
      <c r="AK153" s="14">
        <f t="shared" si="143"/>
        <v>3.3765445850268018E-12</v>
      </c>
      <c r="AL153" s="22">
        <f t="shared" si="112"/>
        <v>6.3163460169613921E-12</v>
      </c>
      <c r="AM153" s="60">
        <f t="shared" si="113"/>
        <v>293.33333333333962</v>
      </c>
      <c r="AN153" s="60">
        <f ca="1">AVERAGE(OFFSET($AM$3,0,0,'Données projet'!$E$10+1,1))-AVERAGE(OFFSET($H$3,0,0,'Données projet'!$E$10+1,1))</f>
        <v>216.80783650073869</v>
      </c>
      <c r="AO153" s="60">
        <f t="shared" si="144"/>
        <v>247.59561829759309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4.4337866711430253E-14</v>
      </c>
      <c r="BF153" s="14">
        <f t="shared" si="145"/>
        <v>7.3222115536967035E-13</v>
      </c>
      <c r="BG153" s="22">
        <f t="shared" si="115"/>
        <v>1.3525069634579169E-12</v>
      </c>
      <c r="BH153" s="60">
        <f t="shared" si="116"/>
        <v>293.33333333333468</v>
      </c>
      <c r="BI153" s="60">
        <f ca="1">AVERAGE(OFFSET($BH$3,0,0,'Données projet'!$E$11+1,1))-AVERAGE(OFFSET($H$3,0,0,'Données projet'!$E$11+1,1))</f>
        <v>222.34562513006574</v>
      </c>
      <c r="BJ153" s="60">
        <f t="shared" si="146"/>
        <v>213.19969928771548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274.84847548786672</v>
      </c>
      <c r="CE153" s="60">
        <f t="shared" si="148"/>
        <v>376.2625056050623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0" t="e">
        <f t="shared" si="122"/>
        <v>#N/A</v>
      </c>
      <c r="CY153" s="60" t="e">
        <f ca="1">AVERAGE(OFFSET($CX$3,0,0,'Données projet'!$E$13+1,1))-AVERAGE(OFFSET($H$3,0,0,'Données projet'!$E$13+1,1))</f>
        <v>#N/A</v>
      </c>
      <c r="CZ153" s="60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8">
        <f t="shared" si="110"/>
        <v>455.23242795076749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2.7134774427395314E-13</v>
      </c>
      <c r="P154" s="14">
        <f t="shared" si="141"/>
        <v>3.6292411711343559E-12</v>
      </c>
      <c r="Q154" s="22">
        <f t="shared" ref="Q154:Q203" si="162">(O154+P154)*0.475*44/12</f>
        <v>6.7935256943361388E-12</v>
      </c>
      <c r="R154" s="60">
        <f t="shared" si="109"/>
        <v>293.33333333334014</v>
      </c>
      <c r="S154" s="60">
        <f ca="1">AVERAGE(OFFSET($R$3,0,0,'Données projet'!$E$9+1,1))-AVERAGE(OFFSET($H$3,0,0,'Données projet'!$E$9+1,1))</f>
        <v>238.47463071449789</v>
      </c>
      <c r="T154" s="60">
        <f t="shared" si="142"/>
        <v>270.92950919803718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2.5006556825246659E-13</v>
      </c>
      <c r="AK154" s="14">
        <f t="shared" ref="AK154:AK203" si="164">EXP(-1.0587+0.8836*LN(AJ154)+0.284)</f>
        <v>3.3765445850268018E-12</v>
      </c>
      <c r="AL154" s="22">
        <f t="shared" ref="AL154:AL203" si="165">(AJ154+AK154)*0.475*44/12</f>
        <v>6.3163460169613921E-12</v>
      </c>
      <c r="AM154" s="60">
        <f t="shared" si="113"/>
        <v>293.33333333333962</v>
      </c>
      <c r="AN154" s="60">
        <f ca="1">AVERAGE(OFFSET($AM$3,0,0,'Données projet'!$E$10+1,1))-AVERAGE(OFFSET($H$3,0,0,'Données projet'!$E$10+1,1))</f>
        <v>216.80783650073869</v>
      </c>
      <c r="AO154" s="60">
        <f t="shared" si="144"/>
        <v>247.59561829759309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4.4337866711430253E-14</v>
      </c>
      <c r="BF154" s="14">
        <f t="shared" ref="BF154:BF203" si="167">EXP(-1.0587+0.8836*LN(BE154)+0.284)</f>
        <v>7.3222115536967035E-13</v>
      </c>
      <c r="BG154" s="22">
        <f t="shared" ref="BG154:BG203" si="168">(BE154+BF154)*0.475*44/12</f>
        <v>1.3525069634579169E-12</v>
      </c>
      <c r="BH154" s="60">
        <f t="shared" si="116"/>
        <v>293.33333333333468</v>
      </c>
      <c r="BI154" s="60">
        <f ca="1">AVERAGE(OFFSET($BH$3,0,0,'Données projet'!$E$11+1,1))-AVERAGE(OFFSET($H$3,0,0,'Données projet'!$E$11+1,1))</f>
        <v>222.34562513006574</v>
      </c>
      <c r="BJ154" s="60">
        <f t="shared" si="146"/>
        <v>213.19969928771548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274.84847548786672</v>
      </c>
      <c r="CE154" s="60">
        <f t="shared" si="148"/>
        <v>376.2625056050623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0" t="e">
        <f t="shared" si="122"/>
        <v>#N/A</v>
      </c>
      <c r="CY154" s="60" t="e">
        <f ca="1">AVERAGE(OFFSET($CX$3,0,0,'Données projet'!$E$13+1,1))-AVERAGE(OFFSET($H$3,0,0,'Données projet'!$E$13+1,1))</f>
        <v>#N/A</v>
      </c>
      <c r="CZ154" s="60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8">
        <f t="shared" si="110"/>
        <v>456.27723918360118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2.7134774427395314E-13</v>
      </c>
      <c r="P155" s="14">
        <f t="shared" si="141"/>
        <v>3.6292411711343559E-12</v>
      </c>
      <c r="Q155" s="22">
        <f t="shared" si="162"/>
        <v>6.7935256943361388E-12</v>
      </c>
      <c r="R155" s="60">
        <f t="shared" si="109"/>
        <v>293.33333333334014</v>
      </c>
      <c r="S155" s="60">
        <f ca="1">AVERAGE(OFFSET($R$3,0,0,'Données projet'!$E$9+1,1))-AVERAGE(OFFSET($H$3,0,0,'Données projet'!$E$9+1,1))</f>
        <v>238.47463071449789</v>
      </c>
      <c r="T155" s="60">
        <f t="shared" si="142"/>
        <v>270.92950919803718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2.5006556825246659E-13</v>
      </c>
      <c r="AK155" s="14">
        <f t="shared" si="164"/>
        <v>3.3765445850268018E-12</v>
      </c>
      <c r="AL155" s="22">
        <f t="shared" si="165"/>
        <v>6.3163460169613921E-12</v>
      </c>
      <c r="AM155" s="60">
        <f t="shared" si="113"/>
        <v>293.33333333333962</v>
      </c>
      <c r="AN155" s="60">
        <f ca="1">AVERAGE(OFFSET($AM$3,0,0,'Données projet'!$E$10+1,1))-AVERAGE(OFFSET($H$3,0,0,'Données projet'!$E$10+1,1))</f>
        <v>216.80783650073869</v>
      </c>
      <c r="AO155" s="60">
        <f t="shared" si="144"/>
        <v>247.59561829759309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4.4337866711430253E-14</v>
      </c>
      <c r="BF155" s="14">
        <f t="shared" si="167"/>
        <v>7.3222115536967035E-13</v>
      </c>
      <c r="BG155" s="22">
        <f t="shared" si="168"/>
        <v>1.3525069634579169E-12</v>
      </c>
      <c r="BH155" s="60">
        <f t="shared" si="116"/>
        <v>293.33333333333468</v>
      </c>
      <c r="BI155" s="60">
        <f ca="1">AVERAGE(OFFSET($BH$3,0,0,'Données projet'!$E$11+1,1))-AVERAGE(OFFSET($H$3,0,0,'Données projet'!$E$11+1,1))</f>
        <v>222.34562513006574</v>
      </c>
      <c r="BJ155" s="60">
        <f t="shared" si="146"/>
        <v>213.19969928771548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274.84847548786672</v>
      </c>
      <c r="CE155" s="60">
        <f t="shared" si="148"/>
        <v>376.2625056050623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0" t="e">
        <f t="shared" si="122"/>
        <v>#N/A</v>
      </c>
      <c r="CY155" s="60" t="e">
        <f ca="1">AVERAGE(OFFSET($CX$3,0,0,'Données projet'!$E$13+1,1))-AVERAGE(OFFSET($H$3,0,0,'Données projet'!$E$13+1,1))</f>
        <v>#N/A</v>
      </c>
      <c r="CZ155" s="60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8">
        <f t="shared" si="110"/>
        <v>457.32189190423196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2.7134774427395314E-13</v>
      </c>
      <c r="P156" s="14">
        <f t="shared" si="141"/>
        <v>3.6292411711343559E-12</v>
      </c>
      <c r="Q156" s="22">
        <f t="shared" si="162"/>
        <v>6.7935256943361388E-12</v>
      </c>
      <c r="R156" s="60">
        <f t="shared" si="109"/>
        <v>293.33333333334014</v>
      </c>
      <c r="S156" s="60">
        <f ca="1">AVERAGE(OFFSET($R$3,0,0,'Données projet'!$E$9+1,1))-AVERAGE(OFFSET($H$3,0,0,'Données projet'!$E$9+1,1))</f>
        <v>238.47463071449789</v>
      </c>
      <c r="T156" s="60">
        <f t="shared" si="142"/>
        <v>270.92950919803718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2.5006556825246659E-13</v>
      </c>
      <c r="AK156" s="14">
        <f t="shared" si="164"/>
        <v>3.3765445850268018E-12</v>
      </c>
      <c r="AL156" s="22">
        <f t="shared" si="165"/>
        <v>6.3163460169613921E-12</v>
      </c>
      <c r="AM156" s="60">
        <f t="shared" si="113"/>
        <v>293.33333333333962</v>
      </c>
      <c r="AN156" s="60">
        <f ca="1">AVERAGE(OFFSET($AM$3,0,0,'Données projet'!$E$10+1,1))-AVERAGE(OFFSET($H$3,0,0,'Données projet'!$E$10+1,1))</f>
        <v>216.80783650073869</v>
      </c>
      <c r="AO156" s="60">
        <f t="shared" si="144"/>
        <v>247.59561829759309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4.4337866711430253E-14</v>
      </c>
      <c r="BF156" s="14">
        <f t="shared" si="167"/>
        <v>7.3222115536967035E-13</v>
      </c>
      <c r="BG156" s="22">
        <f t="shared" si="168"/>
        <v>1.3525069634579169E-12</v>
      </c>
      <c r="BH156" s="60">
        <f t="shared" si="116"/>
        <v>293.33333333333468</v>
      </c>
      <c r="BI156" s="60">
        <f ca="1">AVERAGE(OFFSET($BH$3,0,0,'Données projet'!$E$11+1,1))-AVERAGE(OFFSET($H$3,0,0,'Données projet'!$E$11+1,1))</f>
        <v>222.34562513006574</v>
      </c>
      <c r="BJ156" s="60">
        <f t="shared" si="146"/>
        <v>213.19969928771548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274.84847548786672</v>
      </c>
      <c r="CE156" s="60">
        <f t="shared" si="148"/>
        <v>376.2625056050623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0" t="e">
        <f t="shared" si="122"/>
        <v>#N/A</v>
      </c>
      <c r="CY156" s="60" t="e">
        <f ca="1">AVERAGE(OFFSET($CX$3,0,0,'Données projet'!$E$13+1,1))-AVERAGE(OFFSET($H$3,0,0,'Données projet'!$E$13+1,1))</f>
        <v>#N/A</v>
      </c>
      <c r="CZ156" s="60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8">
        <f t="shared" si="110"/>
        <v>458.36638726885758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2.7134774427395314E-13</v>
      </c>
      <c r="P157" s="14">
        <f t="shared" si="141"/>
        <v>3.6292411711343559E-12</v>
      </c>
      <c r="Q157" s="22">
        <f t="shared" si="162"/>
        <v>6.7935256943361388E-12</v>
      </c>
      <c r="R157" s="60">
        <f t="shared" si="109"/>
        <v>293.33333333334014</v>
      </c>
      <c r="S157" s="60">
        <f ca="1">AVERAGE(OFFSET($R$3,0,0,'Données projet'!$E$9+1,1))-AVERAGE(OFFSET($H$3,0,0,'Données projet'!$E$9+1,1))</f>
        <v>238.47463071449789</v>
      </c>
      <c r="T157" s="60">
        <f t="shared" si="142"/>
        <v>270.92950919803718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2.5006556825246659E-13</v>
      </c>
      <c r="AK157" s="14">
        <f t="shared" si="164"/>
        <v>3.3765445850268018E-12</v>
      </c>
      <c r="AL157" s="22">
        <f t="shared" si="165"/>
        <v>6.3163460169613921E-12</v>
      </c>
      <c r="AM157" s="60">
        <f t="shared" si="113"/>
        <v>293.33333333333962</v>
      </c>
      <c r="AN157" s="60">
        <f ca="1">AVERAGE(OFFSET($AM$3,0,0,'Données projet'!$E$10+1,1))-AVERAGE(OFFSET($H$3,0,0,'Données projet'!$E$10+1,1))</f>
        <v>216.80783650073869</v>
      </c>
      <c r="AO157" s="60">
        <f t="shared" si="144"/>
        <v>247.59561829759309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4.4337866711430253E-14</v>
      </c>
      <c r="BF157" s="14">
        <f t="shared" si="167"/>
        <v>7.3222115536967035E-13</v>
      </c>
      <c r="BG157" s="22">
        <f t="shared" si="168"/>
        <v>1.3525069634579169E-12</v>
      </c>
      <c r="BH157" s="60">
        <f t="shared" si="116"/>
        <v>293.33333333333468</v>
      </c>
      <c r="BI157" s="60">
        <f ca="1">AVERAGE(OFFSET($BH$3,0,0,'Données projet'!$E$11+1,1))-AVERAGE(OFFSET($H$3,0,0,'Données projet'!$E$11+1,1))</f>
        <v>222.34562513006574</v>
      </c>
      <c r="BJ157" s="60">
        <f t="shared" si="146"/>
        <v>213.19969928771548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274.84847548786672</v>
      </c>
      <c r="CE157" s="60">
        <f t="shared" si="148"/>
        <v>376.2625056050623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0" t="e">
        <f t="shared" si="122"/>
        <v>#N/A</v>
      </c>
      <c r="CY157" s="60" t="e">
        <f ca="1">AVERAGE(OFFSET($CX$3,0,0,'Données projet'!$E$13+1,1))-AVERAGE(OFFSET($H$3,0,0,'Données projet'!$E$13+1,1))</f>
        <v>#N/A</v>
      </c>
      <c r="CZ157" s="60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8">
        <f t="shared" si="110"/>
        <v>459.41072641779198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2.7134774427395314E-13</v>
      </c>
      <c r="P158" s="14">
        <f t="shared" si="141"/>
        <v>3.6292411711343559E-12</v>
      </c>
      <c r="Q158" s="22">
        <f t="shared" si="162"/>
        <v>6.7935256943361388E-12</v>
      </c>
      <c r="R158" s="60">
        <f t="shared" si="109"/>
        <v>293.33333333334014</v>
      </c>
      <c r="S158" s="60">
        <f ca="1">AVERAGE(OFFSET($R$3,0,0,'Données projet'!$E$9+1,1))-AVERAGE(OFFSET($H$3,0,0,'Données projet'!$E$9+1,1))</f>
        <v>238.47463071449789</v>
      </c>
      <c r="T158" s="60">
        <f t="shared" si="142"/>
        <v>270.92950919803718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2.5006556825246659E-13</v>
      </c>
      <c r="AK158" s="14">
        <f t="shared" si="164"/>
        <v>3.3765445850268018E-12</v>
      </c>
      <c r="AL158" s="22">
        <f t="shared" si="165"/>
        <v>6.3163460169613921E-12</v>
      </c>
      <c r="AM158" s="60">
        <f t="shared" si="113"/>
        <v>293.33333333333962</v>
      </c>
      <c r="AN158" s="60">
        <f ca="1">AVERAGE(OFFSET($AM$3,0,0,'Données projet'!$E$10+1,1))-AVERAGE(OFFSET($H$3,0,0,'Données projet'!$E$10+1,1))</f>
        <v>216.80783650073869</v>
      </c>
      <c r="AO158" s="60">
        <f t="shared" si="144"/>
        <v>247.59561829759309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4.4337866711430253E-14</v>
      </c>
      <c r="BF158" s="14">
        <f t="shared" si="167"/>
        <v>7.3222115536967035E-13</v>
      </c>
      <c r="BG158" s="22">
        <f t="shared" si="168"/>
        <v>1.3525069634579169E-12</v>
      </c>
      <c r="BH158" s="60">
        <f t="shared" si="116"/>
        <v>293.33333333333468</v>
      </c>
      <c r="BI158" s="60">
        <f ca="1">AVERAGE(OFFSET($BH$3,0,0,'Données projet'!$E$11+1,1))-AVERAGE(OFFSET($H$3,0,0,'Données projet'!$E$11+1,1))</f>
        <v>222.34562513006574</v>
      </c>
      <c r="BJ158" s="60">
        <f t="shared" si="146"/>
        <v>213.19969928771548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274.84847548786672</v>
      </c>
      <c r="CE158" s="60">
        <f t="shared" si="148"/>
        <v>376.2625056050623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0" t="e">
        <f t="shared" si="122"/>
        <v>#N/A</v>
      </c>
      <c r="CY158" s="60" t="e">
        <f ca="1">AVERAGE(OFFSET($CX$3,0,0,'Données projet'!$E$13+1,1))-AVERAGE(OFFSET($H$3,0,0,'Données projet'!$E$13+1,1))</f>
        <v>#N/A</v>
      </c>
      <c r="CZ158" s="60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8">
        <f t="shared" si="110"/>
        <v>460.45491047578457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2.7134774427395314E-13</v>
      </c>
      <c r="P159" s="14">
        <f t="shared" si="141"/>
        <v>3.6292411711343559E-12</v>
      </c>
      <c r="Q159" s="22">
        <f t="shared" si="162"/>
        <v>6.7935256943361388E-12</v>
      </c>
      <c r="R159" s="60">
        <f t="shared" si="109"/>
        <v>293.33333333334014</v>
      </c>
      <c r="S159" s="60">
        <f ca="1">AVERAGE(OFFSET($R$3,0,0,'Données projet'!$E$9+1,1))-AVERAGE(OFFSET($H$3,0,0,'Données projet'!$E$9+1,1))</f>
        <v>238.47463071449789</v>
      </c>
      <c r="T159" s="60">
        <f t="shared" si="142"/>
        <v>270.92950919803718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2.5006556825246659E-13</v>
      </c>
      <c r="AK159" s="14">
        <f t="shared" si="164"/>
        <v>3.3765445850268018E-12</v>
      </c>
      <c r="AL159" s="22">
        <f t="shared" si="165"/>
        <v>6.3163460169613921E-12</v>
      </c>
      <c r="AM159" s="60">
        <f t="shared" si="113"/>
        <v>293.33333333333962</v>
      </c>
      <c r="AN159" s="60">
        <f ca="1">AVERAGE(OFFSET($AM$3,0,0,'Données projet'!$E$10+1,1))-AVERAGE(OFFSET($H$3,0,0,'Données projet'!$E$10+1,1))</f>
        <v>216.80783650073869</v>
      </c>
      <c r="AO159" s="60">
        <f t="shared" si="144"/>
        <v>247.59561829759309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4.4337866711430253E-14</v>
      </c>
      <c r="BF159" s="14">
        <f t="shared" si="167"/>
        <v>7.3222115536967035E-13</v>
      </c>
      <c r="BG159" s="22">
        <f t="shared" si="168"/>
        <v>1.3525069634579169E-12</v>
      </c>
      <c r="BH159" s="60">
        <f t="shared" si="116"/>
        <v>293.33333333333468</v>
      </c>
      <c r="BI159" s="60">
        <f ca="1">AVERAGE(OFFSET($BH$3,0,0,'Données projet'!$E$11+1,1))-AVERAGE(OFFSET($H$3,0,0,'Données projet'!$E$11+1,1))</f>
        <v>222.34562513006574</v>
      </c>
      <c r="BJ159" s="60">
        <f t="shared" si="146"/>
        <v>213.19969928771548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274.84847548786672</v>
      </c>
      <c r="CE159" s="60">
        <f t="shared" si="148"/>
        <v>376.2625056050623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0" t="e">
        <f t="shared" si="122"/>
        <v>#N/A</v>
      </c>
      <c r="CY159" s="60" t="e">
        <f ca="1">AVERAGE(OFFSET($CX$3,0,0,'Données projet'!$E$13+1,1))-AVERAGE(OFFSET($H$3,0,0,'Données projet'!$E$13+1,1))</f>
        <v>#N/A</v>
      </c>
      <c r="CZ159" s="60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8">
        <f t="shared" si="110"/>
        <v>461.49894055233096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2.7134774427395314E-13</v>
      </c>
      <c r="P160" s="14">
        <f t="shared" si="141"/>
        <v>3.6292411711343559E-12</v>
      </c>
      <c r="Q160" s="22">
        <f t="shared" si="162"/>
        <v>6.7935256943361388E-12</v>
      </c>
      <c r="R160" s="60">
        <f t="shared" si="109"/>
        <v>293.33333333334014</v>
      </c>
      <c r="S160" s="60">
        <f ca="1">AVERAGE(OFFSET($R$3,0,0,'Données projet'!$E$9+1,1))-AVERAGE(OFFSET($H$3,0,0,'Données projet'!$E$9+1,1))</f>
        <v>238.47463071449789</v>
      </c>
      <c r="T160" s="60">
        <f t="shared" si="142"/>
        <v>270.92950919803718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2.5006556825246659E-13</v>
      </c>
      <c r="AK160" s="14">
        <f t="shared" si="164"/>
        <v>3.3765445850268018E-12</v>
      </c>
      <c r="AL160" s="22">
        <f t="shared" si="165"/>
        <v>6.3163460169613921E-12</v>
      </c>
      <c r="AM160" s="60">
        <f t="shared" si="113"/>
        <v>293.33333333333962</v>
      </c>
      <c r="AN160" s="60">
        <f ca="1">AVERAGE(OFFSET($AM$3,0,0,'Données projet'!$E$10+1,1))-AVERAGE(OFFSET($H$3,0,0,'Données projet'!$E$10+1,1))</f>
        <v>216.80783650073869</v>
      </c>
      <c r="AO160" s="60">
        <f t="shared" si="144"/>
        <v>247.59561829759309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4.4337866711430253E-14</v>
      </c>
      <c r="BF160" s="14">
        <f t="shared" si="167"/>
        <v>7.3222115536967035E-13</v>
      </c>
      <c r="BG160" s="22">
        <f t="shared" si="168"/>
        <v>1.3525069634579169E-12</v>
      </c>
      <c r="BH160" s="60">
        <f t="shared" si="116"/>
        <v>293.33333333333468</v>
      </c>
      <c r="BI160" s="60">
        <f ca="1">AVERAGE(OFFSET($BH$3,0,0,'Données projet'!$E$11+1,1))-AVERAGE(OFFSET($H$3,0,0,'Données projet'!$E$11+1,1))</f>
        <v>222.34562513006574</v>
      </c>
      <c r="BJ160" s="60">
        <f t="shared" si="146"/>
        <v>213.19969928771548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274.84847548786672</v>
      </c>
      <c r="CE160" s="60">
        <f t="shared" si="148"/>
        <v>376.2625056050623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0" t="e">
        <f t="shared" si="122"/>
        <v>#N/A</v>
      </c>
      <c r="CY160" s="60" t="e">
        <f ca="1">AVERAGE(OFFSET($CX$3,0,0,'Données projet'!$E$13+1,1))-AVERAGE(OFFSET($H$3,0,0,'Données projet'!$E$13+1,1))</f>
        <v>#N/A</v>
      </c>
      <c r="CZ160" s="60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8">
        <f t="shared" si="110"/>
        <v>462.5428177419758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2.7134774427395314E-13</v>
      </c>
      <c r="P161" s="14">
        <f t="shared" si="141"/>
        <v>3.6292411711343559E-12</v>
      </c>
      <c r="Q161" s="22">
        <f t="shared" si="162"/>
        <v>6.7935256943361388E-12</v>
      </c>
      <c r="R161" s="60">
        <f t="shared" si="109"/>
        <v>293.33333333334014</v>
      </c>
      <c r="S161" s="60">
        <f ca="1">AVERAGE(OFFSET($R$3,0,0,'Données projet'!$E$9+1,1))-AVERAGE(OFFSET($H$3,0,0,'Données projet'!$E$9+1,1))</f>
        <v>238.47463071449789</v>
      </c>
      <c r="T161" s="60">
        <f t="shared" si="142"/>
        <v>270.92950919803718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2.5006556825246659E-13</v>
      </c>
      <c r="AK161" s="14">
        <f t="shared" si="164"/>
        <v>3.3765445850268018E-12</v>
      </c>
      <c r="AL161" s="22">
        <f t="shared" si="165"/>
        <v>6.3163460169613921E-12</v>
      </c>
      <c r="AM161" s="60">
        <f t="shared" si="113"/>
        <v>293.33333333333962</v>
      </c>
      <c r="AN161" s="60">
        <f ca="1">AVERAGE(OFFSET($AM$3,0,0,'Données projet'!$E$10+1,1))-AVERAGE(OFFSET($H$3,0,0,'Données projet'!$E$10+1,1))</f>
        <v>216.80783650073869</v>
      </c>
      <c r="AO161" s="60">
        <f t="shared" si="144"/>
        <v>247.59561829759309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4.4337866711430253E-14</v>
      </c>
      <c r="BF161" s="14">
        <f t="shared" si="167"/>
        <v>7.3222115536967035E-13</v>
      </c>
      <c r="BG161" s="22">
        <f t="shared" si="168"/>
        <v>1.3525069634579169E-12</v>
      </c>
      <c r="BH161" s="60">
        <f t="shared" si="116"/>
        <v>293.33333333333468</v>
      </c>
      <c r="BI161" s="60">
        <f ca="1">AVERAGE(OFFSET($BH$3,0,0,'Données projet'!$E$11+1,1))-AVERAGE(OFFSET($H$3,0,0,'Données projet'!$E$11+1,1))</f>
        <v>222.34562513006574</v>
      </c>
      <c r="BJ161" s="60">
        <f t="shared" si="146"/>
        <v>213.19969928771548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274.84847548786672</v>
      </c>
      <c r="CE161" s="60">
        <f t="shared" si="148"/>
        <v>376.2625056050623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0" t="e">
        <f t="shared" si="122"/>
        <v>#N/A</v>
      </c>
      <c r="CY161" s="60" t="e">
        <f ca="1">AVERAGE(OFFSET($CX$3,0,0,'Données projet'!$E$13+1,1))-AVERAGE(OFFSET($H$3,0,0,'Données projet'!$E$13+1,1))</f>
        <v>#N/A</v>
      </c>
      <c r="CZ161" s="60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8">
        <f t="shared" si="110"/>
        <v>463.58654312460754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2.7134774427395314E-13</v>
      </c>
      <c r="P162" s="14">
        <f t="shared" si="141"/>
        <v>3.6292411711343559E-12</v>
      </c>
      <c r="Q162" s="22">
        <f t="shared" si="162"/>
        <v>6.7935256943361388E-12</v>
      </c>
      <c r="R162" s="60">
        <f t="shared" si="109"/>
        <v>293.33333333334014</v>
      </c>
      <c r="S162" s="60">
        <f ca="1">AVERAGE(OFFSET($R$3,0,0,'Données projet'!$E$9+1,1))-AVERAGE(OFFSET($H$3,0,0,'Données projet'!$E$9+1,1))</f>
        <v>238.47463071449789</v>
      </c>
      <c r="T162" s="60">
        <f t="shared" si="142"/>
        <v>270.92950919803718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2.5006556825246659E-13</v>
      </c>
      <c r="AK162" s="14">
        <f t="shared" si="164"/>
        <v>3.3765445850268018E-12</v>
      </c>
      <c r="AL162" s="22">
        <f t="shared" si="165"/>
        <v>6.3163460169613921E-12</v>
      </c>
      <c r="AM162" s="60">
        <f t="shared" si="113"/>
        <v>293.33333333333962</v>
      </c>
      <c r="AN162" s="60">
        <f ca="1">AVERAGE(OFFSET($AM$3,0,0,'Données projet'!$E$10+1,1))-AVERAGE(OFFSET($H$3,0,0,'Données projet'!$E$10+1,1))</f>
        <v>216.80783650073869</v>
      </c>
      <c r="AO162" s="60">
        <f t="shared" si="144"/>
        <v>247.59561829759309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4.4337866711430253E-14</v>
      </c>
      <c r="BF162" s="14">
        <f t="shared" si="167"/>
        <v>7.3222115536967035E-13</v>
      </c>
      <c r="BG162" s="22">
        <f t="shared" si="168"/>
        <v>1.3525069634579169E-12</v>
      </c>
      <c r="BH162" s="60">
        <f t="shared" si="116"/>
        <v>293.33333333333468</v>
      </c>
      <c r="BI162" s="60">
        <f ca="1">AVERAGE(OFFSET($BH$3,0,0,'Données projet'!$E$11+1,1))-AVERAGE(OFFSET($H$3,0,0,'Données projet'!$E$11+1,1))</f>
        <v>222.34562513006574</v>
      </c>
      <c r="BJ162" s="60">
        <f t="shared" si="146"/>
        <v>213.19969928771548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274.84847548786672</v>
      </c>
      <c r="CE162" s="60">
        <f t="shared" si="148"/>
        <v>376.2625056050623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0" t="e">
        <f t="shared" si="122"/>
        <v>#N/A</v>
      </c>
      <c r="CY162" s="60" t="e">
        <f ca="1">AVERAGE(OFFSET($CX$3,0,0,'Données projet'!$E$13+1,1))-AVERAGE(OFFSET($H$3,0,0,'Données projet'!$E$13+1,1))</f>
        <v>#N/A</v>
      </c>
      <c r="CZ162" s="60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8">
        <f t="shared" si="110"/>
        <v>464.63011776574541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2.7134774427395314E-13</v>
      </c>
      <c r="P163" s="14">
        <f t="shared" si="141"/>
        <v>3.6292411711343559E-12</v>
      </c>
      <c r="Q163" s="22">
        <f t="shared" si="162"/>
        <v>6.7935256943361388E-12</v>
      </c>
      <c r="R163" s="60">
        <f t="shared" si="109"/>
        <v>293.33333333334014</v>
      </c>
      <c r="S163" s="60">
        <f ca="1">AVERAGE(OFFSET($R$3,0,0,'Données projet'!$E$9+1,1))-AVERAGE(OFFSET($H$3,0,0,'Données projet'!$E$9+1,1))</f>
        <v>238.47463071449789</v>
      </c>
      <c r="T163" s="60">
        <f t="shared" si="142"/>
        <v>270.92950919803718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2.5006556825246659E-13</v>
      </c>
      <c r="AK163" s="14">
        <f t="shared" si="164"/>
        <v>3.3765445850268018E-12</v>
      </c>
      <c r="AL163" s="22">
        <f t="shared" si="165"/>
        <v>6.3163460169613921E-12</v>
      </c>
      <c r="AM163" s="60">
        <f t="shared" si="113"/>
        <v>293.33333333333962</v>
      </c>
      <c r="AN163" s="60">
        <f ca="1">AVERAGE(OFFSET($AM$3,0,0,'Données projet'!$E$10+1,1))-AVERAGE(OFFSET($H$3,0,0,'Données projet'!$E$10+1,1))</f>
        <v>216.80783650073869</v>
      </c>
      <c r="AO163" s="60">
        <f t="shared" si="144"/>
        <v>247.59561829759309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4.4337866711430253E-14</v>
      </c>
      <c r="BF163" s="14">
        <f t="shared" si="167"/>
        <v>7.3222115536967035E-13</v>
      </c>
      <c r="BG163" s="22">
        <f t="shared" si="168"/>
        <v>1.3525069634579169E-12</v>
      </c>
      <c r="BH163" s="60">
        <f t="shared" si="116"/>
        <v>293.33333333333468</v>
      </c>
      <c r="BI163" s="60">
        <f ca="1">AVERAGE(OFFSET($BH$3,0,0,'Données projet'!$E$11+1,1))-AVERAGE(OFFSET($H$3,0,0,'Données projet'!$E$11+1,1))</f>
        <v>222.34562513006574</v>
      </c>
      <c r="BJ163" s="60">
        <f t="shared" si="146"/>
        <v>213.19969928771548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274.84847548786672</v>
      </c>
      <c r="CE163" s="60">
        <f t="shared" si="148"/>
        <v>376.2625056050623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0" t="e">
        <f t="shared" si="122"/>
        <v>#N/A</v>
      </c>
      <c r="CY163" s="60" t="e">
        <f ca="1">AVERAGE(OFFSET($CX$3,0,0,'Données projet'!$E$13+1,1))-AVERAGE(OFFSET($H$3,0,0,'Données projet'!$E$13+1,1))</f>
        <v>#N/A</v>
      </c>
      <c r="CZ163" s="60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8">
        <f t="shared" si="110"/>
        <v>465.67354271681944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2.7134774427395314E-13</v>
      </c>
      <c r="P164" s="14">
        <f t="shared" si="141"/>
        <v>3.6292411711343559E-12</v>
      </c>
      <c r="Q164" s="22">
        <f t="shared" si="162"/>
        <v>6.7935256943361388E-12</v>
      </c>
      <c r="R164" s="60">
        <f t="shared" si="109"/>
        <v>293.33333333334014</v>
      </c>
      <c r="S164" s="60">
        <f ca="1">AVERAGE(OFFSET($R$3,0,0,'Données projet'!$E$9+1,1))-AVERAGE(OFFSET($H$3,0,0,'Données projet'!$E$9+1,1))</f>
        <v>238.47463071449789</v>
      </c>
      <c r="T164" s="60">
        <f t="shared" si="142"/>
        <v>270.92950919803718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2.5006556825246659E-13</v>
      </c>
      <c r="AK164" s="14">
        <f t="shared" si="164"/>
        <v>3.3765445850268018E-12</v>
      </c>
      <c r="AL164" s="22">
        <f t="shared" si="165"/>
        <v>6.3163460169613921E-12</v>
      </c>
      <c r="AM164" s="60">
        <f t="shared" si="113"/>
        <v>293.33333333333962</v>
      </c>
      <c r="AN164" s="60">
        <f ca="1">AVERAGE(OFFSET($AM$3,0,0,'Données projet'!$E$10+1,1))-AVERAGE(OFFSET($H$3,0,0,'Données projet'!$E$10+1,1))</f>
        <v>216.80783650073869</v>
      </c>
      <c r="AO164" s="60">
        <f t="shared" si="144"/>
        <v>247.59561829759309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4.4337866711430253E-14</v>
      </c>
      <c r="BF164" s="14">
        <f t="shared" si="167"/>
        <v>7.3222115536967035E-13</v>
      </c>
      <c r="BG164" s="22">
        <f t="shared" si="168"/>
        <v>1.3525069634579169E-12</v>
      </c>
      <c r="BH164" s="60">
        <f t="shared" si="116"/>
        <v>293.33333333333468</v>
      </c>
      <c r="BI164" s="60">
        <f ca="1">AVERAGE(OFFSET($BH$3,0,0,'Données projet'!$E$11+1,1))-AVERAGE(OFFSET($H$3,0,0,'Données projet'!$E$11+1,1))</f>
        <v>222.34562513006574</v>
      </c>
      <c r="BJ164" s="60">
        <f t="shared" si="146"/>
        <v>213.19969928771548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274.84847548786672</v>
      </c>
      <c r="CE164" s="60">
        <f t="shared" si="148"/>
        <v>376.2625056050623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0" t="e">
        <f t="shared" si="122"/>
        <v>#N/A</v>
      </c>
      <c r="CY164" s="60" t="e">
        <f ca="1">AVERAGE(OFFSET($CX$3,0,0,'Données projet'!$E$13+1,1))-AVERAGE(OFFSET($H$3,0,0,'Données projet'!$E$13+1,1))</f>
        <v>#N/A</v>
      </c>
      <c r="CZ164" s="60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8">
        <f t="shared" si="110"/>
        <v>466.71681901544298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2.7134774427395314E-13</v>
      </c>
      <c r="P165" s="14">
        <f t="shared" si="141"/>
        <v>3.6292411711343559E-12</v>
      </c>
      <c r="Q165" s="22">
        <f t="shared" si="162"/>
        <v>6.7935256943361388E-12</v>
      </c>
      <c r="R165" s="60">
        <f t="shared" si="109"/>
        <v>293.33333333334014</v>
      </c>
      <c r="S165" s="60">
        <f ca="1">AVERAGE(OFFSET($R$3,0,0,'Données projet'!$E$9+1,1))-AVERAGE(OFFSET($H$3,0,0,'Données projet'!$E$9+1,1))</f>
        <v>238.47463071449789</v>
      </c>
      <c r="T165" s="60">
        <f t="shared" si="142"/>
        <v>270.92950919803718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2.5006556825246659E-13</v>
      </c>
      <c r="AK165" s="14">
        <f t="shared" si="164"/>
        <v>3.3765445850268018E-12</v>
      </c>
      <c r="AL165" s="22">
        <f t="shared" si="165"/>
        <v>6.3163460169613921E-12</v>
      </c>
      <c r="AM165" s="60">
        <f t="shared" si="113"/>
        <v>293.33333333333962</v>
      </c>
      <c r="AN165" s="60">
        <f ca="1">AVERAGE(OFFSET($AM$3,0,0,'Données projet'!$E$10+1,1))-AVERAGE(OFFSET($H$3,0,0,'Données projet'!$E$10+1,1))</f>
        <v>216.80783650073869</v>
      </c>
      <c r="AO165" s="60">
        <f t="shared" si="144"/>
        <v>247.59561829759309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4.4337866711430253E-14</v>
      </c>
      <c r="BF165" s="14">
        <f t="shared" si="167"/>
        <v>7.3222115536967035E-13</v>
      </c>
      <c r="BG165" s="22">
        <f t="shared" si="168"/>
        <v>1.3525069634579169E-12</v>
      </c>
      <c r="BH165" s="60">
        <f t="shared" si="116"/>
        <v>293.33333333333468</v>
      </c>
      <c r="BI165" s="60">
        <f ca="1">AVERAGE(OFFSET($BH$3,0,0,'Données projet'!$E$11+1,1))-AVERAGE(OFFSET($H$3,0,0,'Données projet'!$E$11+1,1))</f>
        <v>222.34562513006574</v>
      </c>
      <c r="BJ165" s="60">
        <f t="shared" si="146"/>
        <v>213.19969928771548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274.84847548786672</v>
      </c>
      <c r="CE165" s="60">
        <f t="shared" si="148"/>
        <v>376.2625056050623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0" t="e">
        <f t="shared" si="122"/>
        <v>#N/A</v>
      </c>
      <c r="CY165" s="60" t="e">
        <f ca="1">AVERAGE(OFFSET($CX$3,0,0,'Données projet'!$E$13+1,1))-AVERAGE(OFFSET($H$3,0,0,'Données projet'!$E$13+1,1))</f>
        <v>#N/A</v>
      </c>
      <c r="CZ165" s="60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8">
        <f t="shared" si="110"/>
        <v>467.75994768567836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2.7134774427395314E-13</v>
      </c>
      <c r="P166" s="14">
        <f t="shared" si="141"/>
        <v>3.6292411711343559E-12</v>
      </c>
      <c r="Q166" s="22">
        <f t="shared" si="162"/>
        <v>6.7935256943361388E-12</v>
      </c>
      <c r="R166" s="60">
        <f t="shared" si="109"/>
        <v>293.33333333334014</v>
      </c>
      <c r="S166" s="60">
        <f ca="1">AVERAGE(OFFSET($R$3,0,0,'Données projet'!$E$9+1,1))-AVERAGE(OFFSET($H$3,0,0,'Données projet'!$E$9+1,1))</f>
        <v>238.47463071449789</v>
      </c>
      <c r="T166" s="60">
        <f t="shared" si="142"/>
        <v>270.92950919803718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2.5006556825246659E-13</v>
      </c>
      <c r="AK166" s="14">
        <f t="shared" si="164"/>
        <v>3.3765445850268018E-12</v>
      </c>
      <c r="AL166" s="22">
        <f t="shared" si="165"/>
        <v>6.3163460169613921E-12</v>
      </c>
      <c r="AM166" s="60">
        <f t="shared" si="113"/>
        <v>293.33333333333962</v>
      </c>
      <c r="AN166" s="60">
        <f ca="1">AVERAGE(OFFSET($AM$3,0,0,'Données projet'!$E$10+1,1))-AVERAGE(OFFSET($H$3,0,0,'Données projet'!$E$10+1,1))</f>
        <v>216.80783650073869</v>
      </c>
      <c r="AO166" s="60">
        <f t="shared" si="144"/>
        <v>247.59561829759309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4.4337866711430253E-14</v>
      </c>
      <c r="BF166" s="14">
        <f t="shared" si="167"/>
        <v>7.3222115536967035E-13</v>
      </c>
      <c r="BG166" s="22">
        <f t="shared" si="168"/>
        <v>1.3525069634579169E-12</v>
      </c>
      <c r="BH166" s="60">
        <f t="shared" si="116"/>
        <v>293.33333333333468</v>
      </c>
      <c r="BI166" s="60">
        <f ca="1">AVERAGE(OFFSET($BH$3,0,0,'Données projet'!$E$11+1,1))-AVERAGE(OFFSET($H$3,0,0,'Données projet'!$E$11+1,1))</f>
        <v>222.34562513006574</v>
      </c>
      <c r="BJ166" s="60">
        <f t="shared" si="146"/>
        <v>213.19969928771548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274.84847548786672</v>
      </c>
      <c r="CE166" s="60">
        <f t="shared" si="148"/>
        <v>376.2625056050623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0" t="e">
        <f t="shared" si="122"/>
        <v>#N/A</v>
      </c>
      <c r="CY166" s="60" t="e">
        <f ca="1">AVERAGE(OFFSET($CX$3,0,0,'Données projet'!$E$13+1,1))-AVERAGE(OFFSET($H$3,0,0,'Données projet'!$E$13+1,1))</f>
        <v>#N/A</v>
      </c>
      <c r="CZ166" s="60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8">
        <f t="shared" si="110"/>
        <v>468.80292973829592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2.7134774427395314E-13</v>
      </c>
      <c r="P167" s="14">
        <f t="shared" si="141"/>
        <v>3.6292411711343559E-12</v>
      </c>
      <c r="Q167" s="22">
        <f t="shared" si="162"/>
        <v>6.7935256943361388E-12</v>
      </c>
      <c r="R167" s="60">
        <f t="shared" si="109"/>
        <v>293.33333333334014</v>
      </c>
      <c r="S167" s="60">
        <f ca="1">AVERAGE(OFFSET($R$3,0,0,'Données projet'!$E$9+1,1))-AVERAGE(OFFSET($H$3,0,0,'Données projet'!$E$9+1,1))</f>
        <v>238.47463071449789</v>
      </c>
      <c r="T167" s="60">
        <f t="shared" si="142"/>
        <v>270.92950919803718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2.5006556825246659E-13</v>
      </c>
      <c r="AK167" s="14">
        <f t="shared" si="164"/>
        <v>3.3765445850268018E-12</v>
      </c>
      <c r="AL167" s="22">
        <f t="shared" si="165"/>
        <v>6.3163460169613921E-12</v>
      </c>
      <c r="AM167" s="60">
        <f t="shared" si="113"/>
        <v>293.33333333333962</v>
      </c>
      <c r="AN167" s="60">
        <f ca="1">AVERAGE(OFFSET($AM$3,0,0,'Données projet'!$E$10+1,1))-AVERAGE(OFFSET($H$3,0,0,'Données projet'!$E$10+1,1))</f>
        <v>216.80783650073869</v>
      </c>
      <c r="AO167" s="60">
        <f t="shared" si="144"/>
        <v>247.59561829759309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4.4337866711430253E-14</v>
      </c>
      <c r="BF167" s="14">
        <f t="shared" si="167"/>
        <v>7.3222115536967035E-13</v>
      </c>
      <c r="BG167" s="22">
        <f t="shared" si="168"/>
        <v>1.3525069634579169E-12</v>
      </c>
      <c r="BH167" s="60">
        <f t="shared" si="116"/>
        <v>293.33333333333468</v>
      </c>
      <c r="BI167" s="60">
        <f ca="1">AVERAGE(OFFSET($BH$3,0,0,'Données projet'!$E$11+1,1))-AVERAGE(OFFSET($H$3,0,0,'Données projet'!$E$11+1,1))</f>
        <v>222.34562513006574</v>
      </c>
      <c r="BJ167" s="60">
        <f t="shared" si="146"/>
        <v>213.19969928771548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274.84847548786672</v>
      </c>
      <c r="CE167" s="60">
        <f t="shared" si="148"/>
        <v>376.2625056050623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0" t="e">
        <f t="shared" si="122"/>
        <v>#N/A</v>
      </c>
      <c r="CY167" s="60" t="e">
        <f ca="1">AVERAGE(OFFSET($CX$3,0,0,'Données projet'!$E$13+1,1))-AVERAGE(OFFSET($H$3,0,0,'Données projet'!$E$13+1,1))</f>
        <v>#N/A</v>
      </c>
      <c r="CZ167" s="60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8">
        <f t="shared" si="110"/>
        <v>469.8457661710267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2.7134774427395314E-13</v>
      </c>
      <c r="P168" s="14">
        <f t="shared" si="141"/>
        <v>3.6292411711343559E-12</v>
      </c>
      <c r="Q168" s="22">
        <f t="shared" si="162"/>
        <v>6.7935256943361388E-12</v>
      </c>
      <c r="R168" s="60">
        <f t="shared" si="109"/>
        <v>293.33333333334014</v>
      </c>
      <c r="S168" s="60">
        <f ca="1">AVERAGE(OFFSET($R$3,0,0,'Données projet'!$E$9+1,1))-AVERAGE(OFFSET($H$3,0,0,'Données projet'!$E$9+1,1))</f>
        <v>238.47463071449789</v>
      </c>
      <c r="T168" s="60">
        <f t="shared" si="142"/>
        <v>270.92950919803718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2.5006556825246659E-13</v>
      </c>
      <c r="AK168" s="14">
        <f t="shared" si="164"/>
        <v>3.3765445850268018E-12</v>
      </c>
      <c r="AL168" s="22">
        <f t="shared" si="165"/>
        <v>6.3163460169613921E-12</v>
      </c>
      <c r="AM168" s="60">
        <f t="shared" si="113"/>
        <v>293.33333333333962</v>
      </c>
      <c r="AN168" s="60">
        <f ca="1">AVERAGE(OFFSET($AM$3,0,0,'Données projet'!$E$10+1,1))-AVERAGE(OFFSET($H$3,0,0,'Données projet'!$E$10+1,1))</f>
        <v>216.80783650073869</v>
      </c>
      <c r="AO168" s="60">
        <f t="shared" si="144"/>
        <v>247.59561829759309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4.4337866711430253E-14</v>
      </c>
      <c r="BF168" s="14">
        <f t="shared" si="167"/>
        <v>7.3222115536967035E-13</v>
      </c>
      <c r="BG168" s="22">
        <f t="shared" si="168"/>
        <v>1.3525069634579169E-12</v>
      </c>
      <c r="BH168" s="60">
        <f t="shared" si="116"/>
        <v>293.33333333333468</v>
      </c>
      <c r="BI168" s="60">
        <f ca="1">AVERAGE(OFFSET($BH$3,0,0,'Données projet'!$E$11+1,1))-AVERAGE(OFFSET($H$3,0,0,'Données projet'!$E$11+1,1))</f>
        <v>222.34562513006574</v>
      </c>
      <c r="BJ168" s="60">
        <f t="shared" si="146"/>
        <v>213.19969928771548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274.84847548786672</v>
      </c>
      <c r="CE168" s="60">
        <f t="shared" si="148"/>
        <v>376.2625056050623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0" t="e">
        <f t="shared" si="122"/>
        <v>#N/A</v>
      </c>
      <c r="CY168" s="60" t="e">
        <f ca="1">AVERAGE(OFFSET($CX$3,0,0,'Données projet'!$E$13+1,1))-AVERAGE(OFFSET($H$3,0,0,'Données projet'!$E$13+1,1))</f>
        <v>#N/A</v>
      </c>
      <c r="CZ168" s="60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8">
        <f t="shared" si="110"/>
        <v>470.88845796880821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2.7134774427395314E-13</v>
      </c>
      <c r="P169" s="14">
        <f t="shared" si="141"/>
        <v>3.6292411711343559E-12</v>
      </c>
      <c r="Q169" s="22">
        <f t="shared" si="162"/>
        <v>6.7935256943361388E-12</v>
      </c>
      <c r="R169" s="60">
        <f t="shared" si="109"/>
        <v>293.33333333334014</v>
      </c>
      <c r="S169" s="60">
        <f ca="1">AVERAGE(OFFSET($R$3,0,0,'Données projet'!$E$9+1,1))-AVERAGE(OFFSET($H$3,0,0,'Données projet'!$E$9+1,1))</f>
        <v>238.47463071449789</v>
      </c>
      <c r="T169" s="60">
        <f t="shared" si="142"/>
        <v>270.92950919803718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2.5006556825246659E-13</v>
      </c>
      <c r="AK169" s="14">
        <f t="shared" si="164"/>
        <v>3.3765445850268018E-12</v>
      </c>
      <c r="AL169" s="22">
        <f t="shared" si="165"/>
        <v>6.3163460169613921E-12</v>
      </c>
      <c r="AM169" s="60">
        <f t="shared" si="113"/>
        <v>293.33333333333962</v>
      </c>
      <c r="AN169" s="60">
        <f ca="1">AVERAGE(OFFSET($AM$3,0,0,'Données projet'!$E$10+1,1))-AVERAGE(OFFSET($H$3,0,0,'Données projet'!$E$10+1,1))</f>
        <v>216.80783650073869</v>
      </c>
      <c r="AO169" s="60">
        <f t="shared" si="144"/>
        <v>247.59561829759309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4.4337866711430253E-14</v>
      </c>
      <c r="BF169" s="14">
        <f t="shared" si="167"/>
        <v>7.3222115536967035E-13</v>
      </c>
      <c r="BG169" s="22">
        <f t="shared" si="168"/>
        <v>1.3525069634579169E-12</v>
      </c>
      <c r="BH169" s="60">
        <f t="shared" si="116"/>
        <v>293.33333333333468</v>
      </c>
      <c r="BI169" s="60">
        <f ca="1">AVERAGE(OFFSET($BH$3,0,0,'Données projet'!$E$11+1,1))-AVERAGE(OFFSET($H$3,0,0,'Données projet'!$E$11+1,1))</f>
        <v>222.34562513006574</v>
      </c>
      <c r="BJ169" s="60">
        <f t="shared" si="146"/>
        <v>213.19969928771548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274.84847548786672</v>
      </c>
      <c r="CE169" s="60">
        <f t="shared" si="148"/>
        <v>376.2625056050623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0" t="e">
        <f t="shared" si="122"/>
        <v>#N/A</v>
      </c>
      <c r="CY169" s="60" t="e">
        <f ca="1">AVERAGE(OFFSET($CX$3,0,0,'Données projet'!$E$13+1,1))-AVERAGE(OFFSET($H$3,0,0,'Données projet'!$E$13+1,1))</f>
        <v>#N/A</v>
      </c>
      <c r="CZ169" s="60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8">
        <f t="shared" si="110"/>
        <v>471.93100610402485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2.7134774427395314E-13</v>
      </c>
      <c r="P170" s="14">
        <f t="shared" si="141"/>
        <v>3.6292411711343559E-12</v>
      </c>
      <c r="Q170" s="22">
        <f t="shared" si="162"/>
        <v>6.7935256943361388E-12</v>
      </c>
      <c r="R170" s="60">
        <f t="shared" si="109"/>
        <v>293.33333333334014</v>
      </c>
      <c r="S170" s="60">
        <f ca="1">AVERAGE(OFFSET($R$3,0,0,'Données projet'!$E$9+1,1))-AVERAGE(OFFSET($H$3,0,0,'Données projet'!$E$9+1,1))</f>
        <v>238.47463071449789</v>
      </c>
      <c r="T170" s="60">
        <f t="shared" si="142"/>
        <v>270.92950919803718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2.5006556825246659E-13</v>
      </c>
      <c r="AK170" s="14">
        <f t="shared" si="164"/>
        <v>3.3765445850268018E-12</v>
      </c>
      <c r="AL170" s="22">
        <f t="shared" si="165"/>
        <v>6.3163460169613921E-12</v>
      </c>
      <c r="AM170" s="60">
        <f t="shared" si="113"/>
        <v>293.33333333333962</v>
      </c>
      <c r="AN170" s="60">
        <f ca="1">AVERAGE(OFFSET($AM$3,0,0,'Données projet'!$E$10+1,1))-AVERAGE(OFFSET($H$3,0,0,'Données projet'!$E$10+1,1))</f>
        <v>216.80783650073869</v>
      </c>
      <c r="AO170" s="60">
        <f t="shared" si="144"/>
        <v>247.59561829759309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4.4337866711430253E-14</v>
      </c>
      <c r="BF170" s="14">
        <f t="shared" si="167"/>
        <v>7.3222115536967035E-13</v>
      </c>
      <c r="BG170" s="22">
        <f t="shared" si="168"/>
        <v>1.3525069634579169E-12</v>
      </c>
      <c r="BH170" s="60">
        <f t="shared" si="116"/>
        <v>293.33333333333468</v>
      </c>
      <c r="BI170" s="60">
        <f ca="1">AVERAGE(OFFSET($BH$3,0,0,'Données projet'!$E$11+1,1))-AVERAGE(OFFSET($H$3,0,0,'Données projet'!$E$11+1,1))</f>
        <v>222.34562513006574</v>
      </c>
      <c r="BJ170" s="60">
        <f t="shared" si="146"/>
        <v>213.19969928771548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274.84847548786672</v>
      </c>
      <c r="CE170" s="60">
        <f t="shared" si="148"/>
        <v>376.2625056050623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0" t="e">
        <f t="shared" si="122"/>
        <v>#N/A</v>
      </c>
      <c r="CY170" s="60" t="e">
        <f ca="1">AVERAGE(OFFSET($CX$3,0,0,'Données projet'!$E$13+1,1))-AVERAGE(OFFSET($H$3,0,0,'Données projet'!$E$13+1,1))</f>
        <v>#N/A</v>
      </c>
      <c r="CZ170" s="60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8">
        <f t="shared" si="110"/>
        <v>472.97341153674216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2.7134774427395314E-13</v>
      </c>
      <c r="P171" s="14">
        <f t="shared" si="141"/>
        <v>3.6292411711343559E-12</v>
      </c>
      <c r="Q171" s="22">
        <f t="shared" si="162"/>
        <v>6.7935256943361388E-12</v>
      </c>
      <c r="R171" s="60">
        <f t="shared" si="109"/>
        <v>293.33333333334014</v>
      </c>
      <c r="S171" s="60">
        <f ca="1">AVERAGE(OFFSET($R$3,0,0,'Données projet'!$E$9+1,1))-AVERAGE(OFFSET($H$3,0,0,'Données projet'!$E$9+1,1))</f>
        <v>238.47463071449789</v>
      </c>
      <c r="T171" s="60">
        <f t="shared" si="142"/>
        <v>270.92950919803718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2.5006556825246659E-13</v>
      </c>
      <c r="AK171" s="14">
        <f t="shared" si="164"/>
        <v>3.3765445850268018E-12</v>
      </c>
      <c r="AL171" s="22">
        <f t="shared" si="165"/>
        <v>6.3163460169613921E-12</v>
      </c>
      <c r="AM171" s="60">
        <f t="shared" si="113"/>
        <v>293.33333333333962</v>
      </c>
      <c r="AN171" s="60">
        <f ca="1">AVERAGE(OFFSET($AM$3,0,0,'Données projet'!$E$10+1,1))-AVERAGE(OFFSET($H$3,0,0,'Données projet'!$E$10+1,1))</f>
        <v>216.80783650073869</v>
      </c>
      <c r="AO171" s="60">
        <f t="shared" si="144"/>
        <v>247.59561829759309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4.4337866711430253E-14</v>
      </c>
      <c r="BF171" s="14">
        <f t="shared" si="167"/>
        <v>7.3222115536967035E-13</v>
      </c>
      <c r="BG171" s="22">
        <f t="shared" si="168"/>
        <v>1.3525069634579169E-12</v>
      </c>
      <c r="BH171" s="60">
        <f t="shared" si="116"/>
        <v>293.33333333333468</v>
      </c>
      <c r="BI171" s="60">
        <f ca="1">AVERAGE(OFFSET($BH$3,0,0,'Données projet'!$E$11+1,1))-AVERAGE(OFFSET($H$3,0,0,'Données projet'!$E$11+1,1))</f>
        <v>222.34562513006574</v>
      </c>
      <c r="BJ171" s="60">
        <f t="shared" si="146"/>
        <v>213.19969928771548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274.84847548786672</v>
      </c>
      <c r="CE171" s="60">
        <f t="shared" si="148"/>
        <v>376.2625056050623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0" t="e">
        <f t="shared" si="122"/>
        <v>#N/A</v>
      </c>
      <c r="CY171" s="60" t="e">
        <f ca="1">AVERAGE(OFFSET($CX$3,0,0,'Données projet'!$E$13+1,1))-AVERAGE(OFFSET($H$3,0,0,'Données projet'!$E$13+1,1))</f>
        <v>#N/A</v>
      </c>
      <c r="CZ171" s="60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8">
        <f t="shared" si="110"/>
        <v>474.0156752149349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2.7134774427395314E-13</v>
      </c>
      <c r="P172" s="14">
        <f t="shared" si="141"/>
        <v>3.6292411711343559E-12</v>
      </c>
      <c r="Q172" s="22">
        <f t="shared" si="162"/>
        <v>6.7935256943361388E-12</v>
      </c>
      <c r="R172" s="60">
        <f t="shared" si="109"/>
        <v>293.33333333334014</v>
      </c>
      <c r="S172" s="60">
        <f ca="1">AVERAGE(OFFSET($R$3,0,0,'Données projet'!$E$9+1,1))-AVERAGE(OFFSET($H$3,0,0,'Données projet'!$E$9+1,1))</f>
        <v>238.47463071449789</v>
      </c>
      <c r="T172" s="60">
        <f t="shared" si="142"/>
        <v>270.92950919803718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2.5006556825246659E-13</v>
      </c>
      <c r="AK172" s="14">
        <f t="shared" si="164"/>
        <v>3.3765445850268018E-12</v>
      </c>
      <c r="AL172" s="22">
        <f t="shared" si="165"/>
        <v>6.3163460169613921E-12</v>
      </c>
      <c r="AM172" s="60">
        <f t="shared" si="113"/>
        <v>293.33333333333962</v>
      </c>
      <c r="AN172" s="60">
        <f ca="1">AVERAGE(OFFSET($AM$3,0,0,'Données projet'!$E$10+1,1))-AVERAGE(OFFSET($H$3,0,0,'Données projet'!$E$10+1,1))</f>
        <v>216.80783650073869</v>
      </c>
      <c r="AO172" s="60">
        <f t="shared" si="144"/>
        <v>247.59561829759309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4.4337866711430253E-14</v>
      </c>
      <c r="BF172" s="14">
        <f t="shared" si="167"/>
        <v>7.3222115536967035E-13</v>
      </c>
      <c r="BG172" s="22">
        <f t="shared" si="168"/>
        <v>1.3525069634579169E-12</v>
      </c>
      <c r="BH172" s="60">
        <f t="shared" si="116"/>
        <v>293.33333333333468</v>
      </c>
      <c r="BI172" s="60">
        <f ca="1">AVERAGE(OFFSET($BH$3,0,0,'Données projet'!$E$11+1,1))-AVERAGE(OFFSET($H$3,0,0,'Données projet'!$E$11+1,1))</f>
        <v>222.34562513006574</v>
      </c>
      <c r="BJ172" s="60">
        <f t="shared" si="146"/>
        <v>213.19969928771548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274.84847548786672</v>
      </c>
      <c r="CE172" s="60">
        <f t="shared" si="148"/>
        <v>376.2625056050623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0" t="e">
        <f t="shared" si="122"/>
        <v>#N/A</v>
      </c>
      <c r="CY172" s="60" t="e">
        <f ca="1">AVERAGE(OFFSET($CX$3,0,0,'Données projet'!$E$13+1,1))-AVERAGE(OFFSET($H$3,0,0,'Données projet'!$E$13+1,1))</f>
        <v>#N/A</v>
      </c>
      <c r="CZ172" s="60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8">
        <f t="shared" si="110"/>
        <v>475.05779807471038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2.7134774427395314E-13</v>
      </c>
      <c r="P173" s="14">
        <f t="shared" si="141"/>
        <v>3.6292411711343559E-12</v>
      </c>
      <c r="Q173" s="22">
        <f t="shared" si="162"/>
        <v>6.7935256943361388E-12</v>
      </c>
      <c r="R173" s="60">
        <f t="shared" si="109"/>
        <v>293.33333333334014</v>
      </c>
      <c r="S173" s="60">
        <f ca="1">AVERAGE(OFFSET($R$3,0,0,'Données projet'!$E$9+1,1))-AVERAGE(OFFSET($H$3,0,0,'Données projet'!$E$9+1,1))</f>
        <v>238.47463071449789</v>
      </c>
      <c r="T173" s="60">
        <f t="shared" si="142"/>
        <v>270.92950919803718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2.5006556825246659E-13</v>
      </c>
      <c r="AK173" s="14">
        <f t="shared" si="164"/>
        <v>3.3765445850268018E-12</v>
      </c>
      <c r="AL173" s="22">
        <f t="shared" si="165"/>
        <v>6.3163460169613921E-12</v>
      </c>
      <c r="AM173" s="60">
        <f t="shared" si="113"/>
        <v>293.33333333333962</v>
      </c>
      <c r="AN173" s="60">
        <f ca="1">AVERAGE(OFFSET($AM$3,0,0,'Données projet'!$E$10+1,1))-AVERAGE(OFFSET($H$3,0,0,'Données projet'!$E$10+1,1))</f>
        <v>216.80783650073869</v>
      </c>
      <c r="AO173" s="60">
        <f t="shared" si="144"/>
        <v>247.59561829759309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4.4337866711430253E-14</v>
      </c>
      <c r="BF173" s="14">
        <f t="shared" si="167"/>
        <v>7.3222115536967035E-13</v>
      </c>
      <c r="BG173" s="22">
        <f t="shared" si="168"/>
        <v>1.3525069634579169E-12</v>
      </c>
      <c r="BH173" s="60">
        <f t="shared" si="116"/>
        <v>293.33333333333468</v>
      </c>
      <c r="BI173" s="60">
        <f ca="1">AVERAGE(OFFSET($BH$3,0,0,'Données projet'!$E$11+1,1))-AVERAGE(OFFSET($H$3,0,0,'Données projet'!$E$11+1,1))</f>
        <v>222.34562513006574</v>
      </c>
      <c r="BJ173" s="60">
        <f t="shared" si="146"/>
        <v>213.19969928771548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274.84847548786672</v>
      </c>
      <c r="CE173" s="60">
        <f t="shared" si="148"/>
        <v>376.2625056050623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0" t="e">
        <f t="shared" si="122"/>
        <v>#N/A</v>
      </c>
      <c r="CY173" s="60" t="e">
        <f ca="1">AVERAGE(OFFSET($CX$3,0,0,'Données projet'!$E$13+1,1))-AVERAGE(OFFSET($H$3,0,0,'Données projet'!$E$13+1,1))</f>
        <v>#N/A</v>
      </c>
      <c r="CZ173" s="60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8">
        <f t="shared" si="110"/>
        <v>476.0997810405255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2.7134774427395314E-13</v>
      </c>
      <c r="P174" s="14">
        <f t="shared" si="141"/>
        <v>3.6292411711343559E-12</v>
      </c>
      <c r="Q174" s="22">
        <f t="shared" si="162"/>
        <v>6.7935256943361388E-12</v>
      </c>
      <c r="R174" s="60">
        <f t="shared" si="109"/>
        <v>293.33333333334014</v>
      </c>
      <c r="S174" s="60">
        <f ca="1">AVERAGE(OFFSET($R$3,0,0,'Données projet'!$E$9+1,1))-AVERAGE(OFFSET($H$3,0,0,'Données projet'!$E$9+1,1))</f>
        <v>238.47463071449789</v>
      </c>
      <c r="T174" s="60">
        <f t="shared" si="142"/>
        <v>270.92950919803718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2.5006556825246659E-13</v>
      </c>
      <c r="AK174" s="14">
        <f t="shared" si="164"/>
        <v>3.3765445850268018E-12</v>
      </c>
      <c r="AL174" s="22">
        <f t="shared" si="165"/>
        <v>6.3163460169613921E-12</v>
      </c>
      <c r="AM174" s="60">
        <f t="shared" si="113"/>
        <v>293.33333333333962</v>
      </c>
      <c r="AN174" s="60">
        <f ca="1">AVERAGE(OFFSET($AM$3,0,0,'Données projet'!$E$10+1,1))-AVERAGE(OFFSET($H$3,0,0,'Données projet'!$E$10+1,1))</f>
        <v>216.80783650073869</v>
      </c>
      <c r="AO174" s="60">
        <f t="shared" si="144"/>
        <v>247.59561829759309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4.4337866711430253E-14</v>
      </c>
      <c r="BF174" s="14">
        <f t="shared" si="167"/>
        <v>7.3222115536967035E-13</v>
      </c>
      <c r="BG174" s="22">
        <f t="shared" si="168"/>
        <v>1.3525069634579169E-12</v>
      </c>
      <c r="BH174" s="60">
        <f t="shared" si="116"/>
        <v>293.33333333333468</v>
      </c>
      <c r="BI174" s="60">
        <f ca="1">AVERAGE(OFFSET($BH$3,0,0,'Données projet'!$E$11+1,1))-AVERAGE(OFFSET($H$3,0,0,'Données projet'!$E$11+1,1))</f>
        <v>222.34562513006574</v>
      </c>
      <c r="BJ174" s="60">
        <f t="shared" si="146"/>
        <v>213.19969928771548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274.84847548786672</v>
      </c>
      <c r="CE174" s="60">
        <f t="shared" si="148"/>
        <v>376.2625056050623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0" t="e">
        <f t="shared" si="122"/>
        <v>#N/A</v>
      </c>
      <c r="CY174" s="60" t="e">
        <f ca="1">AVERAGE(OFFSET($CX$3,0,0,'Données projet'!$E$13+1,1))-AVERAGE(OFFSET($H$3,0,0,'Données projet'!$E$13+1,1))</f>
        <v>#N/A</v>
      </c>
      <c r="CZ174" s="60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8">
        <f t="shared" si="110"/>
        <v>477.14162502539943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2.7134774427395314E-13</v>
      </c>
      <c r="P175" s="14">
        <f t="shared" si="141"/>
        <v>3.6292411711343559E-12</v>
      </c>
      <c r="Q175" s="22">
        <f t="shared" si="162"/>
        <v>6.7935256943361388E-12</v>
      </c>
      <c r="R175" s="60">
        <f t="shared" si="109"/>
        <v>293.33333333334014</v>
      </c>
      <c r="S175" s="60">
        <f ca="1">AVERAGE(OFFSET($R$3,0,0,'Données projet'!$E$9+1,1))-AVERAGE(OFFSET($H$3,0,0,'Données projet'!$E$9+1,1))</f>
        <v>238.47463071449789</v>
      </c>
      <c r="T175" s="60">
        <f t="shared" si="142"/>
        <v>270.92950919803718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2.5006556825246659E-13</v>
      </c>
      <c r="AK175" s="14">
        <f t="shared" si="164"/>
        <v>3.3765445850268018E-12</v>
      </c>
      <c r="AL175" s="22">
        <f t="shared" si="165"/>
        <v>6.3163460169613921E-12</v>
      </c>
      <c r="AM175" s="60">
        <f t="shared" si="113"/>
        <v>293.33333333333962</v>
      </c>
      <c r="AN175" s="60">
        <f ca="1">AVERAGE(OFFSET($AM$3,0,0,'Données projet'!$E$10+1,1))-AVERAGE(OFFSET($H$3,0,0,'Données projet'!$E$10+1,1))</f>
        <v>216.80783650073869</v>
      </c>
      <c r="AO175" s="60">
        <f t="shared" si="144"/>
        <v>247.59561829759309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4.4337866711430253E-14</v>
      </c>
      <c r="BF175" s="14">
        <f t="shared" si="167"/>
        <v>7.3222115536967035E-13</v>
      </c>
      <c r="BG175" s="22">
        <f t="shared" si="168"/>
        <v>1.3525069634579169E-12</v>
      </c>
      <c r="BH175" s="60">
        <f t="shared" si="116"/>
        <v>293.33333333333468</v>
      </c>
      <c r="BI175" s="60">
        <f ca="1">AVERAGE(OFFSET($BH$3,0,0,'Données projet'!$E$11+1,1))-AVERAGE(OFFSET($H$3,0,0,'Données projet'!$E$11+1,1))</f>
        <v>222.34562513006574</v>
      </c>
      <c r="BJ175" s="60">
        <f t="shared" si="146"/>
        <v>213.19969928771548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274.84847548786672</v>
      </c>
      <c r="CE175" s="60">
        <f t="shared" si="148"/>
        <v>376.2625056050623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0" t="e">
        <f t="shared" si="122"/>
        <v>#N/A</v>
      </c>
      <c r="CY175" s="60" t="e">
        <f ca="1">AVERAGE(OFFSET($CX$3,0,0,'Données projet'!$E$13+1,1))-AVERAGE(OFFSET($H$3,0,0,'Données projet'!$E$13+1,1))</f>
        <v>#N/A</v>
      </c>
      <c r="CZ175" s="60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8">
        <f t="shared" si="110"/>
        <v>478.18333093112028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2.7134774427395314E-13</v>
      </c>
      <c r="P176" s="14">
        <f t="shared" si="141"/>
        <v>3.6292411711343559E-12</v>
      </c>
      <c r="Q176" s="22">
        <f t="shared" si="162"/>
        <v>6.7935256943361388E-12</v>
      </c>
      <c r="R176" s="60">
        <f t="shared" si="109"/>
        <v>293.33333333334014</v>
      </c>
      <c r="S176" s="60">
        <f ca="1">AVERAGE(OFFSET($R$3,0,0,'Données projet'!$E$9+1,1))-AVERAGE(OFFSET($H$3,0,0,'Données projet'!$E$9+1,1))</f>
        <v>238.47463071449789</v>
      </c>
      <c r="T176" s="60">
        <f t="shared" si="142"/>
        <v>270.92950919803718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2.5006556825246659E-13</v>
      </c>
      <c r="AK176" s="14">
        <f t="shared" si="164"/>
        <v>3.3765445850268018E-12</v>
      </c>
      <c r="AL176" s="22">
        <f t="shared" si="165"/>
        <v>6.3163460169613921E-12</v>
      </c>
      <c r="AM176" s="60">
        <f t="shared" si="113"/>
        <v>293.33333333333962</v>
      </c>
      <c r="AN176" s="60">
        <f ca="1">AVERAGE(OFFSET($AM$3,0,0,'Données projet'!$E$10+1,1))-AVERAGE(OFFSET($H$3,0,0,'Données projet'!$E$10+1,1))</f>
        <v>216.80783650073869</v>
      </c>
      <c r="AO176" s="60">
        <f t="shared" si="144"/>
        <v>247.59561829759309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4.4337866711430253E-14</v>
      </c>
      <c r="BF176" s="14">
        <f t="shared" si="167"/>
        <v>7.3222115536967035E-13</v>
      </c>
      <c r="BG176" s="22">
        <f t="shared" si="168"/>
        <v>1.3525069634579169E-12</v>
      </c>
      <c r="BH176" s="60">
        <f t="shared" si="116"/>
        <v>293.33333333333468</v>
      </c>
      <c r="BI176" s="60">
        <f ca="1">AVERAGE(OFFSET($BH$3,0,0,'Données projet'!$E$11+1,1))-AVERAGE(OFFSET($H$3,0,0,'Données projet'!$E$11+1,1))</f>
        <v>222.34562513006574</v>
      </c>
      <c r="BJ176" s="60">
        <f t="shared" si="146"/>
        <v>213.19969928771548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274.84847548786672</v>
      </c>
      <c r="CE176" s="60">
        <f t="shared" si="148"/>
        <v>376.2625056050623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0" t="e">
        <f t="shared" si="122"/>
        <v>#N/A</v>
      </c>
      <c r="CY176" s="60" t="e">
        <f ca="1">AVERAGE(OFFSET($CX$3,0,0,'Données projet'!$E$13+1,1))-AVERAGE(OFFSET($H$3,0,0,'Données projet'!$E$13+1,1))</f>
        <v>#N/A</v>
      </c>
      <c r="CZ176" s="60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8">
        <f t="shared" si="110"/>
        <v>479.224899648448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2.7134774427395314E-13</v>
      </c>
      <c r="P177" s="14">
        <f t="shared" si="141"/>
        <v>3.6292411711343559E-12</v>
      </c>
      <c r="Q177" s="22">
        <f t="shared" si="162"/>
        <v>6.7935256943361388E-12</v>
      </c>
      <c r="R177" s="60">
        <f t="shared" si="109"/>
        <v>293.33333333334014</v>
      </c>
      <c r="S177" s="60">
        <f ca="1">AVERAGE(OFFSET($R$3,0,0,'Données projet'!$E$9+1,1))-AVERAGE(OFFSET($H$3,0,0,'Données projet'!$E$9+1,1))</f>
        <v>238.47463071449789</v>
      </c>
      <c r="T177" s="60">
        <f t="shared" si="142"/>
        <v>270.92950919803718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2.5006556825246659E-13</v>
      </c>
      <c r="AK177" s="14">
        <f t="shared" si="164"/>
        <v>3.3765445850268018E-12</v>
      </c>
      <c r="AL177" s="22">
        <f t="shared" si="165"/>
        <v>6.3163460169613921E-12</v>
      </c>
      <c r="AM177" s="60">
        <f t="shared" si="113"/>
        <v>293.33333333333962</v>
      </c>
      <c r="AN177" s="60">
        <f ca="1">AVERAGE(OFFSET($AM$3,0,0,'Données projet'!$E$10+1,1))-AVERAGE(OFFSET($H$3,0,0,'Données projet'!$E$10+1,1))</f>
        <v>216.80783650073869</v>
      </c>
      <c r="AO177" s="60">
        <f t="shared" si="144"/>
        <v>247.59561829759309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4.4337866711430253E-14</v>
      </c>
      <c r="BF177" s="14">
        <f t="shared" si="167"/>
        <v>7.3222115536967035E-13</v>
      </c>
      <c r="BG177" s="22">
        <f t="shared" si="168"/>
        <v>1.3525069634579169E-12</v>
      </c>
      <c r="BH177" s="60">
        <f t="shared" si="116"/>
        <v>293.33333333333468</v>
      </c>
      <c r="BI177" s="60">
        <f ca="1">AVERAGE(OFFSET($BH$3,0,0,'Données projet'!$E$11+1,1))-AVERAGE(OFFSET($H$3,0,0,'Données projet'!$E$11+1,1))</f>
        <v>222.34562513006574</v>
      </c>
      <c r="BJ177" s="60">
        <f t="shared" si="146"/>
        <v>213.19969928771548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274.84847548786672</v>
      </c>
      <c r="CE177" s="60">
        <f t="shared" si="148"/>
        <v>376.2625056050623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0" t="e">
        <f t="shared" si="122"/>
        <v>#N/A</v>
      </c>
      <c r="CY177" s="60" t="e">
        <f ca="1">AVERAGE(OFFSET($CX$3,0,0,'Données projet'!$E$13+1,1))-AVERAGE(OFFSET($H$3,0,0,'Données projet'!$E$13+1,1))</f>
        <v>#N/A</v>
      </c>
      <c r="CZ177" s="60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8">
        <f t="shared" si="110"/>
        <v>480.26633205731122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2.7134774427395314E-13</v>
      </c>
      <c r="P178" s="14">
        <f t="shared" si="141"/>
        <v>3.6292411711343559E-12</v>
      </c>
      <c r="Q178" s="22">
        <f t="shared" si="162"/>
        <v>6.7935256943361388E-12</v>
      </c>
      <c r="R178" s="60">
        <f t="shared" si="109"/>
        <v>293.33333333334014</v>
      </c>
      <c r="S178" s="60">
        <f ca="1">AVERAGE(OFFSET($R$3,0,0,'Données projet'!$E$9+1,1))-AVERAGE(OFFSET($H$3,0,0,'Données projet'!$E$9+1,1))</f>
        <v>238.47463071449789</v>
      </c>
      <c r="T178" s="60">
        <f t="shared" si="142"/>
        <v>270.92950919803718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2.5006556825246659E-13</v>
      </c>
      <c r="AK178" s="14">
        <f t="shared" si="164"/>
        <v>3.3765445850268018E-12</v>
      </c>
      <c r="AL178" s="22">
        <f t="shared" si="165"/>
        <v>6.3163460169613921E-12</v>
      </c>
      <c r="AM178" s="60">
        <f t="shared" si="113"/>
        <v>293.33333333333962</v>
      </c>
      <c r="AN178" s="60">
        <f ca="1">AVERAGE(OFFSET($AM$3,0,0,'Données projet'!$E$10+1,1))-AVERAGE(OFFSET($H$3,0,0,'Données projet'!$E$10+1,1))</f>
        <v>216.80783650073869</v>
      </c>
      <c r="AO178" s="60">
        <f t="shared" si="144"/>
        <v>247.59561829759309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4.4337866711430253E-14</v>
      </c>
      <c r="BF178" s="14">
        <f t="shared" si="167"/>
        <v>7.3222115536967035E-13</v>
      </c>
      <c r="BG178" s="22">
        <f t="shared" si="168"/>
        <v>1.3525069634579169E-12</v>
      </c>
      <c r="BH178" s="60">
        <f t="shared" si="116"/>
        <v>293.33333333333468</v>
      </c>
      <c r="BI178" s="60">
        <f ca="1">AVERAGE(OFFSET($BH$3,0,0,'Données projet'!$E$11+1,1))-AVERAGE(OFFSET($H$3,0,0,'Données projet'!$E$11+1,1))</f>
        <v>222.34562513006574</v>
      </c>
      <c r="BJ178" s="60">
        <f t="shared" si="146"/>
        <v>213.19969928771548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274.84847548786672</v>
      </c>
      <c r="CE178" s="60">
        <f t="shared" si="148"/>
        <v>376.2625056050623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0" t="e">
        <f t="shared" si="122"/>
        <v>#N/A</v>
      </c>
      <c r="CY178" s="60" t="e">
        <f ca="1">AVERAGE(OFFSET($CX$3,0,0,'Données projet'!$E$13+1,1))-AVERAGE(OFFSET($H$3,0,0,'Données projet'!$E$13+1,1))</f>
        <v>#N/A</v>
      </c>
      <c r="CZ178" s="60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8">
        <f t="shared" si="110"/>
        <v>481.3076290270003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2.7134774427395314E-13</v>
      </c>
      <c r="P179" s="14">
        <f t="shared" si="141"/>
        <v>3.6292411711343559E-12</v>
      </c>
      <c r="Q179" s="22">
        <f t="shared" si="162"/>
        <v>6.7935256943361388E-12</v>
      </c>
      <c r="R179" s="60">
        <f t="shared" si="109"/>
        <v>293.33333333334014</v>
      </c>
      <c r="S179" s="60">
        <f ca="1">AVERAGE(OFFSET($R$3,0,0,'Données projet'!$E$9+1,1))-AVERAGE(OFFSET($H$3,0,0,'Données projet'!$E$9+1,1))</f>
        <v>238.47463071449789</v>
      </c>
      <c r="T179" s="60">
        <f t="shared" si="142"/>
        <v>270.92950919803718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2.5006556825246659E-13</v>
      </c>
      <c r="AK179" s="14">
        <f t="shared" si="164"/>
        <v>3.3765445850268018E-12</v>
      </c>
      <c r="AL179" s="22">
        <f t="shared" si="165"/>
        <v>6.3163460169613921E-12</v>
      </c>
      <c r="AM179" s="60">
        <f t="shared" si="113"/>
        <v>293.33333333333962</v>
      </c>
      <c r="AN179" s="60">
        <f ca="1">AVERAGE(OFFSET($AM$3,0,0,'Données projet'!$E$10+1,1))-AVERAGE(OFFSET($H$3,0,0,'Données projet'!$E$10+1,1))</f>
        <v>216.80783650073869</v>
      </c>
      <c r="AO179" s="60">
        <f t="shared" si="144"/>
        <v>247.59561829759309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4.4337866711430253E-14</v>
      </c>
      <c r="BF179" s="14">
        <f t="shared" si="167"/>
        <v>7.3222115536967035E-13</v>
      </c>
      <c r="BG179" s="22">
        <f t="shared" si="168"/>
        <v>1.3525069634579169E-12</v>
      </c>
      <c r="BH179" s="60">
        <f t="shared" si="116"/>
        <v>293.33333333333468</v>
      </c>
      <c r="BI179" s="60">
        <f ca="1">AVERAGE(OFFSET($BH$3,0,0,'Données projet'!$E$11+1,1))-AVERAGE(OFFSET($H$3,0,0,'Données projet'!$E$11+1,1))</f>
        <v>222.34562513006574</v>
      </c>
      <c r="BJ179" s="60">
        <f t="shared" si="146"/>
        <v>213.19969928771548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274.84847548786672</v>
      </c>
      <c r="CE179" s="60">
        <f t="shared" si="148"/>
        <v>376.2625056050623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0" t="e">
        <f t="shared" si="122"/>
        <v>#N/A</v>
      </c>
      <c r="CY179" s="60" t="e">
        <f ca="1">AVERAGE(OFFSET($CX$3,0,0,'Données projet'!$E$13+1,1))-AVERAGE(OFFSET($H$3,0,0,'Données projet'!$E$13+1,1))</f>
        <v>#N/A</v>
      </c>
      <c r="CZ179" s="60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8">
        <f t="shared" si="110"/>
        <v>482.34879141635599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2.7134774427395314E-13</v>
      </c>
      <c r="P180" s="14">
        <f t="shared" si="141"/>
        <v>3.6292411711343559E-12</v>
      </c>
      <c r="Q180" s="22">
        <f t="shared" si="162"/>
        <v>6.7935256943361388E-12</v>
      </c>
      <c r="R180" s="60">
        <f t="shared" si="109"/>
        <v>293.33333333334014</v>
      </c>
      <c r="S180" s="60">
        <f ca="1">AVERAGE(OFFSET($R$3,0,0,'Données projet'!$E$9+1,1))-AVERAGE(OFFSET($H$3,0,0,'Données projet'!$E$9+1,1))</f>
        <v>238.47463071449789</v>
      </c>
      <c r="T180" s="60">
        <f t="shared" si="142"/>
        <v>270.92950919803718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2.5006556825246659E-13</v>
      </c>
      <c r="AK180" s="14">
        <f t="shared" si="164"/>
        <v>3.3765445850268018E-12</v>
      </c>
      <c r="AL180" s="22">
        <f t="shared" si="165"/>
        <v>6.3163460169613921E-12</v>
      </c>
      <c r="AM180" s="60">
        <f t="shared" si="113"/>
        <v>293.33333333333962</v>
      </c>
      <c r="AN180" s="60">
        <f ca="1">AVERAGE(OFFSET($AM$3,0,0,'Données projet'!$E$10+1,1))-AVERAGE(OFFSET($H$3,0,0,'Données projet'!$E$10+1,1))</f>
        <v>216.80783650073869</v>
      </c>
      <c r="AO180" s="60">
        <f t="shared" si="144"/>
        <v>247.59561829759309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4.4337866711430253E-14</v>
      </c>
      <c r="BF180" s="14">
        <f t="shared" si="167"/>
        <v>7.3222115536967035E-13</v>
      </c>
      <c r="BG180" s="22">
        <f t="shared" si="168"/>
        <v>1.3525069634579169E-12</v>
      </c>
      <c r="BH180" s="60">
        <f t="shared" si="116"/>
        <v>293.33333333333468</v>
      </c>
      <c r="BI180" s="60">
        <f ca="1">AVERAGE(OFFSET($BH$3,0,0,'Données projet'!$E$11+1,1))-AVERAGE(OFFSET($H$3,0,0,'Données projet'!$E$11+1,1))</f>
        <v>222.34562513006574</v>
      </c>
      <c r="BJ180" s="60">
        <f t="shared" si="146"/>
        <v>213.19969928771548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274.84847548786672</v>
      </c>
      <c r="CE180" s="60">
        <f t="shared" si="148"/>
        <v>376.2625056050623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0" t="e">
        <f t="shared" si="122"/>
        <v>#N/A</v>
      </c>
      <c r="CY180" s="60" t="e">
        <f ca="1">AVERAGE(OFFSET($CX$3,0,0,'Données projet'!$E$13+1,1))-AVERAGE(OFFSET($H$3,0,0,'Données projet'!$E$13+1,1))</f>
        <v>#N/A</v>
      </c>
      <c r="CZ180" s="60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8">
        <f t="shared" si="110"/>
        <v>483.38982007395271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2.7134774427395314E-13</v>
      </c>
      <c r="P181" s="14">
        <f t="shared" si="141"/>
        <v>3.6292411711343559E-12</v>
      </c>
      <c r="Q181" s="22">
        <f t="shared" si="162"/>
        <v>6.7935256943361388E-12</v>
      </c>
      <c r="R181" s="60">
        <f t="shared" si="109"/>
        <v>293.33333333334014</v>
      </c>
      <c r="S181" s="60">
        <f ca="1">AVERAGE(OFFSET($R$3,0,0,'Données projet'!$E$9+1,1))-AVERAGE(OFFSET($H$3,0,0,'Données projet'!$E$9+1,1))</f>
        <v>238.47463071449789</v>
      </c>
      <c r="T181" s="60">
        <f t="shared" si="142"/>
        <v>270.92950919803718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2.5006556825246659E-13</v>
      </c>
      <c r="AK181" s="14">
        <f t="shared" si="164"/>
        <v>3.3765445850268018E-12</v>
      </c>
      <c r="AL181" s="22">
        <f t="shared" si="165"/>
        <v>6.3163460169613921E-12</v>
      </c>
      <c r="AM181" s="60">
        <f t="shared" si="113"/>
        <v>293.33333333333962</v>
      </c>
      <c r="AN181" s="60">
        <f ca="1">AVERAGE(OFFSET($AM$3,0,0,'Données projet'!$E$10+1,1))-AVERAGE(OFFSET($H$3,0,0,'Données projet'!$E$10+1,1))</f>
        <v>216.80783650073869</v>
      </c>
      <c r="AO181" s="60">
        <f t="shared" si="144"/>
        <v>247.59561829759309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4.4337866711430253E-14</v>
      </c>
      <c r="BF181" s="14">
        <f t="shared" si="167"/>
        <v>7.3222115536967035E-13</v>
      </c>
      <c r="BG181" s="22">
        <f t="shared" si="168"/>
        <v>1.3525069634579169E-12</v>
      </c>
      <c r="BH181" s="60">
        <f t="shared" si="116"/>
        <v>293.33333333333468</v>
      </c>
      <c r="BI181" s="60">
        <f ca="1">AVERAGE(OFFSET($BH$3,0,0,'Données projet'!$E$11+1,1))-AVERAGE(OFFSET($H$3,0,0,'Données projet'!$E$11+1,1))</f>
        <v>222.34562513006574</v>
      </c>
      <c r="BJ181" s="60">
        <f t="shared" si="146"/>
        <v>213.19969928771548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274.84847548786672</v>
      </c>
      <c r="CE181" s="60">
        <f t="shared" si="148"/>
        <v>376.2625056050623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0" t="e">
        <f t="shared" si="122"/>
        <v>#N/A</v>
      </c>
      <c r="CY181" s="60" t="e">
        <f ca="1">AVERAGE(OFFSET($CX$3,0,0,'Données projet'!$E$13+1,1))-AVERAGE(OFFSET($H$3,0,0,'Données projet'!$E$13+1,1))</f>
        <v>#N/A</v>
      </c>
      <c r="CZ181" s="60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8">
        <f t="shared" si="110"/>
        <v>484.43071583827873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2.7134774427395314E-13</v>
      </c>
      <c r="P182" s="14">
        <f t="shared" si="141"/>
        <v>3.6292411711343559E-12</v>
      </c>
      <c r="Q182" s="22">
        <f t="shared" si="162"/>
        <v>6.7935256943361388E-12</v>
      </c>
      <c r="R182" s="60">
        <f t="shared" si="109"/>
        <v>293.33333333334014</v>
      </c>
      <c r="S182" s="60">
        <f ca="1">AVERAGE(OFFSET($R$3,0,0,'Données projet'!$E$9+1,1))-AVERAGE(OFFSET($H$3,0,0,'Données projet'!$E$9+1,1))</f>
        <v>238.47463071449789</v>
      </c>
      <c r="T182" s="60">
        <f t="shared" si="142"/>
        <v>270.92950919803718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2.5006556825246659E-13</v>
      </c>
      <c r="AK182" s="14">
        <f t="shared" si="164"/>
        <v>3.3765445850268018E-12</v>
      </c>
      <c r="AL182" s="22">
        <f t="shared" si="165"/>
        <v>6.3163460169613921E-12</v>
      </c>
      <c r="AM182" s="60">
        <f t="shared" si="113"/>
        <v>293.33333333333962</v>
      </c>
      <c r="AN182" s="60">
        <f ca="1">AVERAGE(OFFSET($AM$3,0,0,'Données projet'!$E$10+1,1))-AVERAGE(OFFSET($H$3,0,0,'Données projet'!$E$10+1,1))</f>
        <v>216.80783650073869</v>
      </c>
      <c r="AO182" s="60">
        <f t="shared" si="144"/>
        <v>247.59561829759309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4.4337866711430253E-14</v>
      </c>
      <c r="BF182" s="14">
        <f t="shared" si="167"/>
        <v>7.3222115536967035E-13</v>
      </c>
      <c r="BG182" s="22">
        <f t="shared" si="168"/>
        <v>1.3525069634579169E-12</v>
      </c>
      <c r="BH182" s="60">
        <f t="shared" si="116"/>
        <v>293.33333333333468</v>
      </c>
      <c r="BI182" s="60">
        <f ca="1">AVERAGE(OFFSET($BH$3,0,0,'Données projet'!$E$11+1,1))-AVERAGE(OFFSET($H$3,0,0,'Données projet'!$E$11+1,1))</f>
        <v>222.34562513006574</v>
      </c>
      <c r="BJ182" s="60">
        <f t="shared" si="146"/>
        <v>213.19969928771548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274.84847548786672</v>
      </c>
      <c r="CE182" s="60">
        <f t="shared" si="148"/>
        <v>376.2625056050623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0" t="e">
        <f t="shared" si="122"/>
        <v>#N/A</v>
      </c>
      <c r="CY182" s="60" t="e">
        <f ca="1">AVERAGE(OFFSET($CX$3,0,0,'Données projet'!$E$13+1,1))-AVERAGE(OFFSET($H$3,0,0,'Données projet'!$E$13+1,1))</f>
        <v>#N/A</v>
      </c>
      <c r="CZ182" s="60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8">
        <f t="shared" si="110"/>
        <v>485.47147953791148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2.7134774427395314E-13</v>
      </c>
      <c r="P183" s="14">
        <f t="shared" si="141"/>
        <v>3.6292411711343559E-12</v>
      </c>
      <c r="Q183" s="22">
        <f t="shared" si="162"/>
        <v>6.7935256943361388E-12</v>
      </c>
      <c r="R183" s="60">
        <f t="shared" si="109"/>
        <v>293.33333333334014</v>
      </c>
      <c r="S183" s="60">
        <f ca="1">AVERAGE(OFFSET($R$3,0,0,'Données projet'!$E$9+1,1))-AVERAGE(OFFSET($H$3,0,0,'Données projet'!$E$9+1,1))</f>
        <v>238.47463071449789</v>
      </c>
      <c r="T183" s="60">
        <f t="shared" si="142"/>
        <v>270.92950919803718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2.5006556825246659E-13</v>
      </c>
      <c r="AK183" s="14">
        <f t="shared" si="164"/>
        <v>3.3765445850268018E-12</v>
      </c>
      <c r="AL183" s="22">
        <f t="shared" si="165"/>
        <v>6.3163460169613921E-12</v>
      </c>
      <c r="AM183" s="60">
        <f t="shared" si="113"/>
        <v>293.33333333333962</v>
      </c>
      <c r="AN183" s="60">
        <f ca="1">AVERAGE(OFFSET($AM$3,0,0,'Données projet'!$E$10+1,1))-AVERAGE(OFFSET($H$3,0,0,'Données projet'!$E$10+1,1))</f>
        <v>216.80783650073869</v>
      </c>
      <c r="AO183" s="60">
        <f t="shared" si="144"/>
        <v>247.59561829759309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4.4337866711430253E-14</v>
      </c>
      <c r="BF183" s="14">
        <f t="shared" si="167"/>
        <v>7.3222115536967035E-13</v>
      </c>
      <c r="BG183" s="22">
        <f t="shared" si="168"/>
        <v>1.3525069634579169E-12</v>
      </c>
      <c r="BH183" s="60">
        <f t="shared" si="116"/>
        <v>293.33333333333468</v>
      </c>
      <c r="BI183" s="60">
        <f ca="1">AVERAGE(OFFSET($BH$3,0,0,'Données projet'!$E$11+1,1))-AVERAGE(OFFSET($H$3,0,0,'Données projet'!$E$11+1,1))</f>
        <v>222.34562513006574</v>
      </c>
      <c r="BJ183" s="60">
        <f t="shared" si="146"/>
        <v>213.19969928771548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274.84847548786672</v>
      </c>
      <c r="CE183" s="60">
        <f t="shared" si="148"/>
        <v>376.2625056050623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0" t="e">
        <f t="shared" si="122"/>
        <v>#N/A</v>
      </c>
      <c r="CY183" s="60" t="e">
        <f ca="1">AVERAGE(OFFSET($CX$3,0,0,'Données projet'!$E$13+1,1))-AVERAGE(OFFSET($H$3,0,0,'Données projet'!$E$13+1,1))</f>
        <v>#N/A</v>
      </c>
      <c r="CZ183" s="60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8">
        <f t="shared" si="110"/>
        <v>486.51211199168915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2.7134774427395314E-13</v>
      </c>
      <c r="P184" s="14">
        <f t="shared" si="141"/>
        <v>3.6292411711343559E-12</v>
      </c>
      <c r="Q184" s="22">
        <f t="shared" si="162"/>
        <v>6.7935256943361388E-12</v>
      </c>
      <c r="R184" s="60">
        <f t="shared" si="109"/>
        <v>293.33333333334014</v>
      </c>
      <c r="S184" s="60">
        <f ca="1">AVERAGE(OFFSET($R$3,0,0,'Données projet'!$E$9+1,1))-AVERAGE(OFFSET($H$3,0,0,'Données projet'!$E$9+1,1))</f>
        <v>238.47463071449789</v>
      </c>
      <c r="T184" s="60">
        <f t="shared" si="142"/>
        <v>270.92950919803718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2.5006556825246659E-13</v>
      </c>
      <c r="AK184" s="14">
        <f t="shared" si="164"/>
        <v>3.3765445850268018E-12</v>
      </c>
      <c r="AL184" s="22">
        <f t="shared" si="165"/>
        <v>6.3163460169613921E-12</v>
      </c>
      <c r="AM184" s="60">
        <f t="shared" si="113"/>
        <v>293.33333333333962</v>
      </c>
      <c r="AN184" s="60">
        <f ca="1">AVERAGE(OFFSET($AM$3,0,0,'Données projet'!$E$10+1,1))-AVERAGE(OFFSET($H$3,0,0,'Données projet'!$E$10+1,1))</f>
        <v>216.80783650073869</v>
      </c>
      <c r="AO184" s="60">
        <f t="shared" si="144"/>
        <v>247.59561829759309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4.4337866711430253E-14</v>
      </c>
      <c r="BF184" s="14">
        <f t="shared" si="167"/>
        <v>7.3222115536967035E-13</v>
      </c>
      <c r="BG184" s="22">
        <f t="shared" si="168"/>
        <v>1.3525069634579169E-12</v>
      </c>
      <c r="BH184" s="60">
        <f t="shared" si="116"/>
        <v>293.33333333333468</v>
      </c>
      <c r="BI184" s="60">
        <f ca="1">AVERAGE(OFFSET($BH$3,0,0,'Données projet'!$E$11+1,1))-AVERAGE(OFFSET($H$3,0,0,'Données projet'!$E$11+1,1))</f>
        <v>222.34562513006574</v>
      </c>
      <c r="BJ184" s="60">
        <f t="shared" si="146"/>
        <v>213.19969928771548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274.84847548786672</v>
      </c>
      <c r="CE184" s="60">
        <f t="shared" si="148"/>
        <v>376.2625056050623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0" t="e">
        <f t="shared" si="122"/>
        <v>#N/A</v>
      </c>
      <c r="CY184" s="60" t="e">
        <f ca="1">AVERAGE(OFFSET($CX$3,0,0,'Données projet'!$E$13+1,1))-AVERAGE(OFFSET($H$3,0,0,'Données projet'!$E$13+1,1))</f>
        <v>#N/A</v>
      </c>
      <c r="CZ184" s="60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8">
        <f t="shared" si="110"/>
        <v>487.55261400887855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2.7134774427395314E-13</v>
      </c>
      <c r="P185" s="14">
        <f t="shared" si="141"/>
        <v>3.6292411711343559E-12</v>
      </c>
      <c r="Q185" s="22">
        <f t="shared" si="162"/>
        <v>6.7935256943361388E-12</v>
      </c>
      <c r="R185" s="60">
        <f t="shared" si="109"/>
        <v>293.33333333334014</v>
      </c>
      <c r="S185" s="60">
        <f ca="1">AVERAGE(OFFSET($R$3,0,0,'Données projet'!$E$9+1,1))-AVERAGE(OFFSET($H$3,0,0,'Données projet'!$E$9+1,1))</f>
        <v>238.47463071449789</v>
      </c>
      <c r="T185" s="60">
        <f t="shared" si="142"/>
        <v>270.92950919803718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2.5006556825246659E-13</v>
      </c>
      <c r="AK185" s="14">
        <f t="shared" si="164"/>
        <v>3.3765445850268018E-12</v>
      </c>
      <c r="AL185" s="22">
        <f t="shared" si="165"/>
        <v>6.3163460169613921E-12</v>
      </c>
      <c r="AM185" s="60">
        <f t="shared" si="113"/>
        <v>293.33333333333962</v>
      </c>
      <c r="AN185" s="60">
        <f ca="1">AVERAGE(OFFSET($AM$3,0,0,'Données projet'!$E$10+1,1))-AVERAGE(OFFSET($H$3,0,0,'Données projet'!$E$10+1,1))</f>
        <v>216.80783650073869</v>
      </c>
      <c r="AO185" s="60">
        <f t="shared" si="144"/>
        <v>247.59561829759309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4.4337866711430253E-14</v>
      </c>
      <c r="BF185" s="14">
        <f t="shared" si="167"/>
        <v>7.3222115536967035E-13</v>
      </c>
      <c r="BG185" s="22">
        <f t="shared" si="168"/>
        <v>1.3525069634579169E-12</v>
      </c>
      <c r="BH185" s="60">
        <f t="shared" si="116"/>
        <v>293.33333333333468</v>
      </c>
      <c r="BI185" s="60">
        <f ca="1">AVERAGE(OFFSET($BH$3,0,0,'Données projet'!$E$11+1,1))-AVERAGE(OFFSET($H$3,0,0,'Données projet'!$E$11+1,1))</f>
        <v>222.34562513006574</v>
      </c>
      <c r="BJ185" s="60">
        <f t="shared" si="146"/>
        <v>213.19969928771548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274.84847548786672</v>
      </c>
      <c r="CE185" s="60">
        <f t="shared" si="148"/>
        <v>376.2625056050623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0" t="e">
        <f t="shared" si="122"/>
        <v>#N/A</v>
      </c>
      <c r="CY185" s="60" t="e">
        <f ca="1">AVERAGE(OFFSET($CX$3,0,0,'Données projet'!$E$13+1,1))-AVERAGE(OFFSET($H$3,0,0,'Données projet'!$E$13+1,1))</f>
        <v>#N/A</v>
      </c>
      <c r="CZ185" s="60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8">
        <f t="shared" si="110"/>
        <v>488.59298638933842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2.7134774427395314E-13</v>
      </c>
      <c r="P186" s="14">
        <f t="shared" si="141"/>
        <v>3.6292411711343559E-12</v>
      </c>
      <c r="Q186" s="22">
        <f t="shared" si="162"/>
        <v>6.7935256943361388E-12</v>
      </c>
      <c r="R186" s="60">
        <f t="shared" si="109"/>
        <v>293.33333333334014</v>
      </c>
      <c r="S186" s="60">
        <f ca="1">AVERAGE(OFFSET($R$3,0,0,'Données projet'!$E$9+1,1))-AVERAGE(OFFSET($H$3,0,0,'Données projet'!$E$9+1,1))</f>
        <v>238.47463071449789</v>
      </c>
      <c r="T186" s="60">
        <f t="shared" si="142"/>
        <v>270.92950919803718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2.5006556825246659E-13</v>
      </c>
      <c r="AK186" s="14">
        <f t="shared" si="164"/>
        <v>3.3765445850268018E-12</v>
      </c>
      <c r="AL186" s="22">
        <f t="shared" si="165"/>
        <v>6.3163460169613921E-12</v>
      </c>
      <c r="AM186" s="60">
        <f t="shared" si="113"/>
        <v>293.33333333333962</v>
      </c>
      <c r="AN186" s="60">
        <f ca="1">AVERAGE(OFFSET($AM$3,0,0,'Données projet'!$E$10+1,1))-AVERAGE(OFFSET($H$3,0,0,'Données projet'!$E$10+1,1))</f>
        <v>216.80783650073869</v>
      </c>
      <c r="AO186" s="60">
        <f t="shared" si="144"/>
        <v>247.59561829759309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4.4337866711430253E-14</v>
      </c>
      <c r="BF186" s="14">
        <f t="shared" si="167"/>
        <v>7.3222115536967035E-13</v>
      </c>
      <c r="BG186" s="22">
        <f t="shared" si="168"/>
        <v>1.3525069634579169E-12</v>
      </c>
      <c r="BH186" s="60">
        <f t="shared" si="116"/>
        <v>293.33333333333468</v>
      </c>
      <c r="BI186" s="60">
        <f ca="1">AVERAGE(OFFSET($BH$3,0,0,'Données projet'!$E$11+1,1))-AVERAGE(OFFSET($H$3,0,0,'Données projet'!$E$11+1,1))</f>
        <v>222.34562513006574</v>
      </c>
      <c r="BJ186" s="60">
        <f t="shared" si="146"/>
        <v>213.19969928771548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274.84847548786672</v>
      </c>
      <c r="CE186" s="60">
        <f t="shared" si="148"/>
        <v>376.2625056050623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0" t="e">
        <f t="shared" si="122"/>
        <v>#N/A</v>
      </c>
      <c r="CY186" s="60" t="e">
        <f ca="1">AVERAGE(OFFSET($CX$3,0,0,'Données projet'!$E$13+1,1))-AVERAGE(OFFSET($H$3,0,0,'Données projet'!$E$13+1,1))</f>
        <v>#N/A</v>
      </c>
      <c r="CZ186" s="60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8">
        <f t="shared" si="110"/>
        <v>489.63322992368012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2.7134774427395314E-13</v>
      </c>
      <c r="P187" s="14">
        <f t="shared" si="141"/>
        <v>3.6292411711343559E-12</v>
      </c>
      <c r="Q187" s="22">
        <f t="shared" si="162"/>
        <v>6.7935256943361388E-12</v>
      </c>
      <c r="R187" s="60">
        <f t="shared" si="109"/>
        <v>293.33333333334014</v>
      </c>
      <c r="S187" s="60">
        <f ca="1">AVERAGE(OFFSET($R$3,0,0,'Données projet'!$E$9+1,1))-AVERAGE(OFFSET($H$3,0,0,'Données projet'!$E$9+1,1))</f>
        <v>238.47463071449789</v>
      </c>
      <c r="T187" s="60">
        <f t="shared" si="142"/>
        <v>270.92950919803718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2.5006556825246659E-13</v>
      </c>
      <c r="AK187" s="14">
        <f t="shared" si="164"/>
        <v>3.3765445850268018E-12</v>
      </c>
      <c r="AL187" s="22">
        <f t="shared" si="165"/>
        <v>6.3163460169613921E-12</v>
      </c>
      <c r="AM187" s="60">
        <f t="shared" si="113"/>
        <v>293.33333333333962</v>
      </c>
      <c r="AN187" s="60">
        <f ca="1">AVERAGE(OFFSET($AM$3,0,0,'Données projet'!$E$10+1,1))-AVERAGE(OFFSET($H$3,0,0,'Données projet'!$E$10+1,1))</f>
        <v>216.80783650073869</v>
      </c>
      <c r="AO187" s="60">
        <f t="shared" si="144"/>
        <v>247.59561829759309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4.4337866711430253E-14</v>
      </c>
      <c r="BF187" s="14">
        <f t="shared" si="167"/>
        <v>7.3222115536967035E-13</v>
      </c>
      <c r="BG187" s="22">
        <f t="shared" si="168"/>
        <v>1.3525069634579169E-12</v>
      </c>
      <c r="BH187" s="60">
        <f t="shared" si="116"/>
        <v>293.33333333333468</v>
      </c>
      <c r="BI187" s="60">
        <f ca="1">AVERAGE(OFFSET($BH$3,0,0,'Données projet'!$E$11+1,1))-AVERAGE(OFFSET($H$3,0,0,'Données projet'!$E$11+1,1))</f>
        <v>222.34562513006574</v>
      </c>
      <c r="BJ187" s="60">
        <f t="shared" si="146"/>
        <v>213.19969928771548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274.84847548786672</v>
      </c>
      <c r="CE187" s="60">
        <f t="shared" si="148"/>
        <v>376.2625056050623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0" t="e">
        <f t="shared" si="122"/>
        <v>#N/A</v>
      </c>
      <c r="CY187" s="60" t="e">
        <f ca="1">AVERAGE(OFFSET($CX$3,0,0,'Données projet'!$E$13+1,1))-AVERAGE(OFFSET($H$3,0,0,'Données projet'!$E$13+1,1))</f>
        <v>#N/A</v>
      </c>
      <c r="CZ187" s="60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8">
        <f t="shared" si="110"/>
        <v>490.67334539342403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2.7134774427395314E-13</v>
      </c>
      <c r="P188" s="14">
        <f t="shared" si="141"/>
        <v>3.6292411711343559E-12</v>
      </c>
      <c r="Q188" s="22">
        <f t="shared" si="162"/>
        <v>6.7935256943361388E-12</v>
      </c>
      <c r="R188" s="60">
        <f t="shared" si="109"/>
        <v>293.33333333334014</v>
      </c>
      <c r="S188" s="60">
        <f ca="1">AVERAGE(OFFSET($R$3,0,0,'Données projet'!$E$9+1,1))-AVERAGE(OFFSET($H$3,0,0,'Données projet'!$E$9+1,1))</f>
        <v>238.47463071449789</v>
      </c>
      <c r="T188" s="60">
        <f t="shared" si="142"/>
        <v>270.92950919803718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2.5006556825246659E-13</v>
      </c>
      <c r="AK188" s="14">
        <f t="shared" si="164"/>
        <v>3.3765445850268018E-12</v>
      </c>
      <c r="AL188" s="22">
        <f t="shared" si="165"/>
        <v>6.3163460169613921E-12</v>
      </c>
      <c r="AM188" s="60">
        <f t="shared" si="113"/>
        <v>293.33333333333962</v>
      </c>
      <c r="AN188" s="60">
        <f ca="1">AVERAGE(OFFSET($AM$3,0,0,'Données projet'!$E$10+1,1))-AVERAGE(OFFSET($H$3,0,0,'Données projet'!$E$10+1,1))</f>
        <v>216.80783650073869</v>
      </c>
      <c r="AO188" s="60">
        <f t="shared" si="144"/>
        <v>247.59561829759309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4.4337866711430253E-14</v>
      </c>
      <c r="BF188" s="14">
        <f t="shared" si="167"/>
        <v>7.3222115536967035E-13</v>
      </c>
      <c r="BG188" s="22">
        <f t="shared" si="168"/>
        <v>1.3525069634579169E-12</v>
      </c>
      <c r="BH188" s="60">
        <f t="shared" si="116"/>
        <v>293.33333333333468</v>
      </c>
      <c r="BI188" s="60">
        <f ca="1">AVERAGE(OFFSET($BH$3,0,0,'Données projet'!$E$11+1,1))-AVERAGE(OFFSET($H$3,0,0,'Données projet'!$E$11+1,1))</f>
        <v>222.34562513006574</v>
      </c>
      <c r="BJ188" s="60">
        <f t="shared" si="146"/>
        <v>213.19969928771548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274.84847548786672</v>
      </c>
      <c r="CE188" s="60">
        <f t="shared" si="148"/>
        <v>376.2625056050623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0" t="e">
        <f t="shared" si="122"/>
        <v>#N/A</v>
      </c>
      <c r="CY188" s="60" t="e">
        <f ca="1">AVERAGE(OFFSET($CX$3,0,0,'Données projet'!$E$13+1,1))-AVERAGE(OFFSET($H$3,0,0,'Données projet'!$E$13+1,1))</f>
        <v>#N/A</v>
      </c>
      <c r="CZ188" s="60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8">
        <f t="shared" si="110"/>
        <v>491.71333357115242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2.7134774427395314E-13</v>
      </c>
      <c r="P189" s="14">
        <f t="shared" si="141"/>
        <v>3.6292411711343559E-12</v>
      </c>
      <c r="Q189" s="22">
        <f t="shared" si="162"/>
        <v>6.7935256943361388E-12</v>
      </c>
      <c r="R189" s="60">
        <f t="shared" si="109"/>
        <v>293.33333333334014</v>
      </c>
      <c r="S189" s="60">
        <f ca="1">AVERAGE(OFFSET($R$3,0,0,'Données projet'!$E$9+1,1))-AVERAGE(OFFSET($H$3,0,0,'Données projet'!$E$9+1,1))</f>
        <v>238.47463071449789</v>
      </c>
      <c r="T189" s="60">
        <f t="shared" si="142"/>
        <v>270.92950919803718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2.5006556825246659E-13</v>
      </c>
      <c r="AK189" s="14">
        <f t="shared" si="164"/>
        <v>3.3765445850268018E-12</v>
      </c>
      <c r="AL189" s="22">
        <f t="shared" si="165"/>
        <v>6.3163460169613921E-12</v>
      </c>
      <c r="AM189" s="60">
        <f t="shared" si="113"/>
        <v>293.33333333333962</v>
      </c>
      <c r="AN189" s="60">
        <f ca="1">AVERAGE(OFFSET($AM$3,0,0,'Données projet'!$E$10+1,1))-AVERAGE(OFFSET($H$3,0,0,'Données projet'!$E$10+1,1))</f>
        <v>216.80783650073869</v>
      </c>
      <c r="AO189" s="60">
        <f t="shared" si="144"/>
        <v>247.59561829759309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4.4337866711430253E-14</v>
      </c>
      <c r="BF189" s="14">
        <f t="shared" si="167"/>
        <v>7.3222115536967035E-13</v>
      </c>
      <c r="BG189" s="22">
        <f t="shared" si="168"/>
        <v>1.3525069634579169E-12</v>
      </c>
      <c r="BH189" s="60">
        <f t="shared" si="116"/>
        <v>293.33333333333468</v>
      </c>
      <c r="BI189" s="60">
        <f ca="1">AVERAGE(OFFSET($BH$3,0,0,'Données projet'!$E$11+1,1))-AVERAGE(OFFSET($H$3,0,0,'Données projet'!$E$11+1,1))</f>
        <v>222.34562513006574</v>
      </c>
      <c r="BJ189" s="60">
        <f t="shared" si="146"/>
        <v>213.19969928771548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274.84847548786672</v>
      </c>
      <c r="CE189" s="60">
        <f t="shared" si="148"/>
        <v>376.2625056050623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0" t="e">
        <f t="shared" si="122"/>
        <v>#N/A</v>
      </c>
      <c r="CY189" s="60" t="e">
        <f ca="1">AVERAGE(OFFSET($CX$3,0,0,'Données projet'!$E$13+1,1))-AVERAGE(OFFSET($H$3,0,0,'Données projet'!$E$13+1,1))</f>
        <v>#N/A</v>
      </c>
      <c r="CZ189" s="60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8">
        <f t="shared" si="110"/>
        <v>492.75319522065962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2.7134774427395314E-13</v>
      </c>
      <c r="P190" s="14">
        <f t="shared" si="141"/>
        <v>3.6292411711343559E-12</v>
      </c>
      <c r="Q190" s="22">
        <f t="shared" si="162"/>
        <v>6.7935256943361388E-12</v>
      </c>
      <c r="R190" s="60">
        <f t="shared" si="109"/>
        <v>293.33333333334014</v>
      </c>
      <c r="S190" s="60">
        <f ca="1">AVERAGE(OFFSET($R$3,0,0,'Données projet'!$E$9+1,1))-AVERAGE(OFFSET($H$3,0,0,'Données projet'!$E$9+1,1))</f>
        <v>238.47463071449789</v>
      </c>
      <c r="T190" s="60">
        <f t="shared" si="142"/>
        <v>270.92950919803718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2.5006556825246659E-13</v>
      </c>
      <c r="AK190" s="14">
        <f t="shared" si="164"/>
        <v>3.3765445850268018E-12</v>
      </c>
      <c r="AL190" s="22">
        <f t="shared" si="165"/>
        <v>6.3163460169613921E-12</v>
      </c>
      <c r="AM190" s="60">
        <f t="shared" si="113"/>
        <v>293.33333333333962</v>
      </c>
      <c r="AN190" s="60">
        <f ca="1">AVERAGE(OFFSET($AM$3,0,0,'Données projet'!$E$10+1,1))-AVERAGE(OFFSET($H$3,0,0,'Données projet'!$E$10+1,1))</f>
        <v>216.80783650073869</v>
      </c>
      <c r="AO190" s="60">
        <f t="shared" si="144"/>
        <v>247.59561829759309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4.4337866711430253E-14</v>
      </c>
      <c r="BF190" s="14">
        <f t="shared" si="167"/>
        <v>7.3222115536967035E-13</v>
      </c>
      <c r="BG190" s="22">
        <f t="shared" si="168"/>
        <v>1.3525069634579169E-12</v>
      </c>
      <c r="BH190" s="60">
        <f t="shared" si="116"/>
        <v>293.33333333333468</v>
      </c>
      <c r="BI190" s="60">
        <f ca="1">AVERAGE(OFFSET($BH$3,0,0,'Données projet'!$E$11+1,1))-AVERAGE(OFFSET($H$3,0,0,'Données projet'!$E$11+1,1))</f>
        <v>222.34562513006574</v>
      </c>
      <c r="BJ190" s="60">
        <f t="shared" si="146"/>
        <v>213.19969928771548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274.84847548786672</v>
      </c>
      <c r="CE190" s="60">
        <f t="shared" si="148"/>
        <v>376.2625056050623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0" t="e">
        <f t="shared" si="122"/>
        <v>#N/A</v>
      </c>
      <c r="CY190" s="60" t="e">
        <f ca="1">AVERAGE(OFFSET($CX$3,0,0,'Données projet'!$E$13+1,1))-AVERAGE(OFFSET($H$3,0,0,'Données projet'!$E$13+1,1))</f>
        <v>#N/A</v>
      </c>
      <c r="CZ190" s="60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8">
        <f t="shared" si="110"/>
        <v>493.79293109709795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2.7134774427395314E-13</v>
      </c>
      <c r="P191" s="14">
        <f t="shared" si="141"/>
        <v>3.6292411711343559E-12</v>
      </c>
      <c r="Q191" s="22">
        <f t="shared" si="162"/>
        <v>6.7935256943361388E-12</v>
      </c>
      <c r="R191" s="60">
        <f t="shared" si="109"/>
        <v>293.33333333334014</v>
      </c>
      <c r="S191" s="60">
        <f ca="1">AVERAGE(OFFSET($R$3,0,0,'Données projet'!$E$9+1,1))-AVERAGE(OFFSET($H$3,0,0,'Données projet'!$E$9+1,1))</f>
        <v>238.47463071449789</v>
      </c>
      <c r="T191" s="60">
        <f t="shared" si="142"/>
        <v>270.92950919803718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2.5006556825246659E-13</v>
      </c>
      <c r="AK191" s="14">
        <f t="shared" si="164"/>
        <v>3.3765445850268018E-12</v>
      </c>
      <c r="AL191" s="22">
        <f t="shared" si="165"/>
        <v>6.3163460169613921E-12</v>
      </c>
      <c r="AM191" s="60">
        <f t="shared" si="113"/>
        <v>293.33333333333962</v>
      </c>
      <c r="AN191" s="60">
        <f ca="1">AVERAGE(OFFSET($AM$3,0,0,'Données projet'!$E$10+1,1))-AVERAGE(OFFSET($H$3,0,0,'Données projet'!$E$10+1,1))</f>
        <v>216.80783650073869</v>
      </c>
      <c r="AO191" s="60">
        <f t="shared" si="144"/>
        <v>247.59561829759309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4.4337866711430253E-14</v>
      </c>
      <c r="BF191" s="14">
        <f t="shared" si="167"/>
        <v>7.3222115536967035E-13</v>
      </c>
      <c r="BG191" s="22">
        <f t="shared" si="168"/>
        <v>1.3525069634579169E-12</v>
      </c>
      <c r="BH191" s="60">
        <f t="shared" si="116"/>
        <v>293.33333333333468</v>
      </c>
      <c r="BI191" s="60">
        <f ca="1">AVERAGE(OFFSET($BH$3,0,0,'Données projet'!$E$11+1,1))-AVERAGE(OFFSET($H$3,0,0,'Données projet'!$E$11+1,1))</f>
        <v>222.34562513006574</v>
      </c>
      <c r="BJ191" s="60">
        <f t="shared" si="146"/>
        <v>213.19969928771548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274.84847548786672</v>
      </c>
      <c r="CE191" s="60">
        <f t="shared" si="148"/>
        <v>376.2625056050623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0" t="e">
        <f t="shared" si="122"/>
        <v>#N/A</v>
      </c>
      <c r="CY191" s="60" t="e">
        <f ca="1">AVERAGE(OFFSET($CX$3,0,0,'Données projet'!$E$13+1,1))-AVERAGE(OFFSET($H$3,0,0,'Données projet'!$E$13+1,1))</f>
        <v>#N/A</v>
      </c>
      <c r="CZ191" s="60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8">
        <f t="shared" si="110"/>
        <v>494.83254194712129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2.7134774427395314E-13</v>
      </c>
      <c r="P192" s="14">
        <f t="shared" si="141"/>
        <v>3.6292411711343559E-12</v>
      </c>
      <c r="Q192" s="22">
        <f t="shared" si="162"/>
        <v>6.7935256943361388E-12</v>
      </c>
      <c r="R192" s="60">
        <f t="shared" si="109"/>
        <v>293.33333333334014</v>
      </c>
      <c r="S192" s="60">
        <f ca="1">AVERAGE(OFFSET($R$3,0,0,'Données projet'!$E$9+1,1))-AVERAGE(OFFSET($H$3,0,0,'Données projet'!$E$9+1,1))</f>
        <v>238.47463071449789</v>
      </c>
      <c r="T192" s="60">
        <f t="shared" si="142"/>
        <v>270.92950919803718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2.5006556825246659E-13</v>
      </c>
      <c r="AK192" s="14">
        <f t="shared" si="164"/>
        <v>3.3765445850268018E-12</v>
      </c>
      <c r="AL192" s="22">
        <f t="shared" si="165"/>
        <v>6.3163460169613921E-12</v>
      </c>
      <c r="AM192" s="60">
        <f t="shared" si="113"/>
        <v>293.33333333333962</v>
      </c>
      <c r="AN192" s="60">
        <f ca="1">AVERAGE(OFFSET($AM$3,0,0,'Données projet'!$E$10+1,1))-AVERAGE(OFFSET($H$3,0,0,'Données projet'!$E$10+1,1))</f>
        <v>216.80783650073869</v>
      </c>
      <c r="AO192" s="60">
        <f t="shared" si="144"/>
        <v>247.59561829759309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4.4337866711430253E-14</v>
      </c>
      <c r="BF192" s="14">
        <f t="shared" si="167"/>
        <v>7.3222115536967035E-13</v>
      </c>
      <c r="BG192" s="22">
        <f t="shared" si="168"/>
        <v>1.3525069634579169E-12</v>
      </c>
      <c r="BH192" s="60">
        <f t="shared" si="116"/>
        <v>293.33333333333468</v>
      </c>
      <c r="BI192" s="60">
        <f ca="1">AVERAGE(OFFSET($BH$3,0,0,'Données projet'!$E$11+1,1))-AVERAGE(OFFSET($H$3,0,0,'Données projet'!$E$11+1,1))</f>
        <v>222.34562513006574</v>
      </c>
      <c r="BJ192" s="60">
        <f t="shared" si="146"/>
        <v>213.19969928771548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274.84847548786672</v>
      </c>
      <c r="CE192" s="60">
        <f t="shared" si="148"/>
        <v>376.2625056050623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0" t="e">
        <f t="shared" si="122"/>
        <v>#N/A</v>
      </c>
      <c r="CY192" s="60" t="e">
        <f ca="1">AVERAGE(OFFSET($CX$3,0,0,'Données projet'!$E$13+1,1))-AVERAGE(OFFSET($H$3,0,0,'Données projet'!$E$13+1,1))</f>
        <v>#N/A</v>
      </c>
      <c r="CZ192" s="60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8">
        <f t="shared" si="110"/>
        <v>495.87202850902497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2.7134774427395314E-13</v>
      </c>
      <c r="P193" s="14">
        <f t="shared" si="141"/>
        <v>3.6292411711343559E-12</v>
      </c>
      <c r="Q193" s="22">
        <f t="shared" si="162"/>
        <v>6.7935256943361388E-12</v>
      </c>
      <c r="R193" s="60">
        <f t="shared" si="109"/>
        <v>293.33333333334014</v>
      </c>
      <c r="S193" s="60">
        <f ca="1">AVERAGE(OFFSET($R$3,0,0,'Données projet'!$E$9+1,1))-AVERAGE(OFFSET($H$3,0,0,'Données projet'!$E$9+1,1))</f>
        <v>238.47463071449789</v>
      </c>
      <c r="T193" s="60">
        <f t="shared" si="142"/>
        <v>270.92950919803718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2.5006556825246659E-13</v>
      </c>
      <c r="AK193" s="14">
        <f t="shared" si="164"/>
        <v>3.3765445850268018E-12</v>
      </c>
      <c r="AL193" s="22">
        <f t="shared" si="165"/>
        <v>6.3163460169613921E-12</v>
      </c>
      <c r="AM193" s="60">
        <f t="shared" si="113"/>
        <v>293.33333333333962</v>
      </c>
      <c r="AN193" s="60">
        <f ca="1">AVERAGE(OFFSET($AM$3,0,0,'Données projet'!$E$10+1,1))-AVERAGE(OFFSET($H$3,0,0,'Données projet'!$E$10+1,1))</f>
        <v>216.80783650073869</v>
      </c>
      <c r="AO193" s="60">
        <f t="shared" si="144"/>
        <v>247.59561829759309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4.4337866711430253E-14</v>
      </c>
      <c r="BF193" s="14">
        <f t="shared" si="167"/>
        <v>7.3222115536967035E-13</v>
      </c>
      <c r="BG193" s="22">
        <f t="shared" si="168"/>
        <v>1.3525069634579169E-12</v>
      </c>
      <c r="BH193" s="60">
        <f t="shared" si="116"/>
        <v>293.33333333333468</v>
      </c>
      <c r="BI193" s="60">
        <f ca="1">AVERAGE(OFFSET($BH$3,0,0,'Données projet'!$E$11+1,1))-AVERAGE(OFFSET($H$3,0,0,'Données projet'!$E$11+1,1))</f>
        <v>222.34562513006574</v>
      </c>
      <c r="BJ193" s="60">
        <f t="shared" si="146"/>
        <v>213.19969928771548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274.84847548786672</v>
      </c>
      <c r="CE193" s="60">
        <f t="shared" si="148"/>
        <v>376.2625056050623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0" t="e">
        <f t="shared" si="122"/>
        <v>#N/A</v>
      </c>
      <c r="CY193" s="60" t="e">
        <f ca="1">AVERAGE(OFFSET($CX$3,0,0,'Données projet'!$E$13+1,1))-AVERAGE(OFFSET($H$3,0,0,'Données projet'!$E$13+1,1))</f>
        <v>#N/A</v>
      </c>
      <c r="CZ193" s="60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8">
        <f t="shared" si="110"/>
        <v>496.91139151288291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2.7134774427395314E-13</v>
      </c>
      <c r="P194" s="14">
        <f t="shared" si="141"/>
        <v>3.6292411711343559E-12</v>
      </c>
      <c r="Q194" s="22">
        <f t="shared" si="162"/>
        <v>6.7935256943361388E-12</v>
      </c>
      <c r="R194" s="60">
        <f t="shared" si="109"/>
        <v>293.33333333334014</v>
      </c>
      <c r="S194" s="60">
        <f ca="1">AVERAGE(OFFSET($R$3,0,0,'Données projet'!$E$9+1,1))-AVERAGE(OFFSET($H$3,0,0,'Données projet'!$E$9+1,1))</f>
        <v>238.47463071449789</v>
      </c>
      <c r="T194" s="60">
        <f t="shared" si="142"/>
        <v>270.92950919803718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2.5006556825246659E-13</v>
      </c>
      <c r="AK194" s="14">
        <f t="shared" si="164"/>
        <v>3.3765445850268018E-12</v>
      </c>
      <c r="AL194" s="22">
        <f t="shared" si="165"/>
        <v>6.3163460169613921E-12</v>
      </c>
      <c r="AM194" s="60">
        <f t="shared" si="113"/>
        <v>293.33333333333962</v>
      </c>
      <c r="AN194" s="60">
        <f ca="1">AVERAGE(OFFSET($AM$3,0,0,'Données projet'!$E$10+1,1))-AVERAGE(OFFSET($H$3,0,0,'Données projet'!$E$10+1,1))</f>
        <v>216.80783650073869</v>
      </c>
      <c r="AO194" s="60">
        <f t="shared" si="144"/>
        <v>247.59561829759309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4.4337866711430253E-14</v>
      </c>
      <c r="BF194" s="14">
        <f t="shared" si="167"/>
        <v>7.3222115536967035E-13</v>
      </c>
      <c r="BG194" s="22">
        <f t="shared" si="168"/>
        <v>1.3525069634579169E-12</v>
      </c>
      <c r="BH194" s="60">
        <f t="shared" si="116"/>
        <v>293.33333333333468</v>
      </c>
      <c r="BI194" s="60">
        <f ca="1">AVERAGE(OFFSET($BH$3,0,0,'Données projet'!$E$11+1,1))-AVERAGE(OFFSET($H$3,0,0,'Données projet'!$E$11+1,1))</f>
        <v>222.34562513006574</v>
      </c>
      <c r="BJ194" s="60">
        <f t="shared" si="146"/>
        <v>213.19969928771548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274.84847548786672</v>
      </c>
      <c r="CE194" s="60">
        <f t="shared" si="148"/>
        <v>376.2625056050623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0" t="e">
        <f t="shared" si="122"/>
        <v>#N/A</v>
      </c>
      <c r="CY194" s="60" t="e">
        <f ca="1">AVERAGE(OFFSET($CX$3,0,0,'Données projet'!$E$13+1,1))-AVERAGE(OFFSET($H$3,0,0,'Données projet'!$E$13+1,1))</f>
        <v>#N/A</v>
      </c>
      <c r="CZ194" s="60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8">
        <f t="shared" si="110"/>
        <v>497.95063168068179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2.7134774427395314E-13</v>
      </c>
      <c r="P195" s="14">
        <f t="shared" si="141"/>
        <v>3.6292411711343559E-12</v>
      </c>
      <c r="Q195" s="22">
        <f t="shared" si="162"/>
        <v>6.7935256943361388E-12</v>
      </c>
      <c r="R195" s="60">
        <f t="shared" ref="R195:R203" si="191">Q195+(I195+J195)*44/12</f>
        <v>293.33333333334014</v>
      </c>
      <c r="S195" s="60">
        <f ca="1">AVERAGE(OFFSET($R$3,0,0,'Données projet'!$E$9+1,1))-AVERAGE(OFFSET($H$3,0,0,'Données projet'!$E$9+1,1))</f>
        <v>238.47463071449789</v>
      </c>
      <c r="T195" s="60">
        <f t="shared" si="142"/>
        <v>270.92950919803718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2.5006556825246659E-13</v>
      </c>
      <c r="AK195" s="14">
        <f t="shared" si="164"/>
        <v>3.3765445850268018E-12</v>
      </c>
      <c r="AL195" s="22">
        <f t="shared" si="165"/>
        <v>6.3163460169613921E-12</v>
      </c>
      <c r="AM195" s="60">
        <f t="shared" si="113"/>
        <v>293.33333333333962</v>
      </c>
      <c r="AN195" s="60">
        <f ca="1">AVERAGE(OFFSET($AM$3,0,0,'Données projet'!$E$10+1,1))-AVERAGE(OFFSET($H$3,0,0,'Données projet'!$E$10+1,1))</f>
        <v>216.80783650073869</v>
      </c>
      <c r="AO195" s="60">
        <f t="shared" si="144"/>
        <v>247.59561829759309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4.4337866711430253E-14</v>
      </c>
      <c r="BF195" s="14">
        <f t="shared" si="167"/>
        <v>7.3222115536967035E-13</v>
      </c>
      <c r="BG195" s="22">
        <f t="shared" si="168"/>
        <v>1.3525069634579169E-12</v>
      </c>
      <c r="BH195" s="60">
        <f t="shared" si="116"/>
        <v>293.33333333333468</v>
      </c>
      <c r="BI195" s="60">
        <f ca="1">AVERAGE(OFFSET($BH$3,0,0,'Données projet'!$E$11+1,1))-AVERAGE(OFFSET($H$3,0,0,'Données projet'!$E$11+1,1))</f>
        <v>222.34562513006574</v>
      </c>
      <c r="BJ195" s="60">
        <f t="shared" si="146"/>
        <v>213.19969928771548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274.84847548786672</v>
      </c>
      <c r="CE195" s="60">
        <f t="shared" si="148"/>
        <v>376.2625056050623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0" t="e">
        <f t="shared" si="122"/>
        <v>#N/A</v>
      </c>
      <c r="CY195" s="60" t="e">
        <f ca="1">AVERAGE(OFFSET($CX$3,0,0,'Données projet'!$E$13+1,1))-AVERAGE(OFFSET($H$3,0,0,'Données projet'!$E$13+1,1))</f>
        <v>#N/A</v>
      </c>
      <c r="CZ195" s="60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8">
        <f t="shared" ref="H196:H203" si="192">(B196+E196+F196)*44/12+(C196+D196)*0.475*44/12</f>
        <v>498.98974972645203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2.7134774427395314E-13</v>
      </c>
      <c r="P196" s="14">
        <f t="shared" si="141"/>
        <v>3.6292411711343559E-12</v>
      </c>
      <c r="Q196" s="22">
        <f t="shared" si="162"/>
        <v>6.7935256943361388E-12</v>
      </c>
      <c r="R196" s="60">
        <f t="shared" si="191"/>
        <v>293.33333333334014</v>
      </c>
      <c r="S196" s="60">
        <f ca="1">AVERAGE(OFFSET($R$3,0,0,'Données projet'!$E$9+1,1))-AVERAGE(OFFSET($H$3,0,0,'Données projet'!$E$9+1,1))</f>
        <v>238.47463071449789</v>
      </c>
      <c r="T196" s="60">
        <f t="shared" si="142"/>
        <v>270.92950919803718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2.5006556825246659E-13</v>
      </c>
      <c r="AK196" s="14">
        <f t="shared" si="164"/>
        <v>3.3765445850268018E-12</v>
      </c>
      <c r="AL196" s="22">
        <f t="shared" si="165"/>
        <v>6.3163460169613921E-12</v>
      </c>
      <c r="AM196" s="60">
        <f t="shared" ref="AM196:AM203" si="193">AL196+(AD196+AE196)*44/12</f>
        <v>293.33333333333962</v>
      </c>
      <c r="AN196" s="60">
        <f ca="1">AVERAGE(OFFSET($AM$3,0,0,'Données projet'!$E$10+1,1))-AVERAGE(OFFSET($H$3,0,0,'Données projet'!$E$10+1,1))</f>
        <v>216.80783650073869</v>
      </c>
      <c r="AO196" s="60">
        <f t="shared" si="144"/>
        <v>247.59561829759309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4.4337866711430253E-14</v>
      </c>
      <c r="BF196" s="14">
        <f t="shared" si="167"/>
        <v>7.3222115536967035E-13</v>
      </c>
      <c r="BG196" s="22">
        <f t="shared" si="168"/>
        <v>1.3525069634579169E-12</v>
      </c>
      <c r="BH196" s="60">
        <f t="shared" ref="BH196:BH203" si="194">BG196+(AY196+AZ196)*44/12</f>
        <v>293.33333333333468</v>
      </c>
      <c r="BI196" s="60">
        <f ca="1">AVERAGE(OFFSET($BH$3,0,0,'Données projet'!$E$11+1,1))-AVERAGE(OFFSET($H$3,0,0,'Données projet'!$E$11+1,1))</f>
        <v>222.34562513006574</v>
      </c>
      <c r="BJ196" s="60">
        <f t="shared" si="146"/>
        <v>213.19969928771548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274.84847548786672</v>
      </c>
      <c r="CE196" s="60">
        <f t="shared" si="148"/>
        <v>376.2625056050623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0" t="e">
        <f t="shared" ref="CX196:CX203" si="196">CW196+(CO196+CP196)*44/12</f>
        <v>#N/A</v>
      </c>
      <c r="CY196" s="60" t="e">
        <f ca="1">AVERAGE(OFFSET($CX$3,0,0,'Données projet'!$E$13+1,1))-AVERAGE(OFFSET($H$3,0,0,'Données projet'!$E$13+1,1))</f>
        <v>#N/A</v>
      </c>
      <c r="CZ196" s="60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8">
        <f t="shared" si="192"/>
        <v>500.0287463563966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2.7134774427395314E-13</v>
      </c>
      <c r="P197" s="14">
        <f t="shared" ref="P197:P203" si="203">EXP(-1.0587+0.8836*LN(O197)+0.284)</f>
        <v>3.6292411711343559E-12</v>
      </c>
      <c r="Q197" s="22">
        <f t="shared" si="162"/>
        <v>6.7935256943361388E-12</v>
      </c>
      <c r="R197" s="60">
        <f t="shared" si="191"/>
        <v>293.33333333334014</v>
      </c>
      <c r="S197" s="60">
        <f ca="1">AVERAGE(OFFSET($R$3,0,0,'Données projet'!$E$9+1,1))-AVERAGE(OFFSET($H$3,0,0,'Données projet'!$E$9+1,1))</f>
        <v>238.47463071449789</v>
      </c>
      <c r="T197" s="60">
        <f t="shared" ref="T197:T203" si="204">$T$3</f>
        <v>270.92950919803718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2.5006556825246659E-13</v>
      </c>
      <c r="AK197" s="14">
        <f t="shared" si="164"/>
        <v>3.3765445850268018E-12</v>
      </c>
      <c r="AL197" s="22">
        <f t="shared" si="165"/>
        <v>6.3163460169613921E-12</v>
      </c>
      <c r="AM197" s="60">
        <f t="shared" si="193"/>
        <v>293.33333333333962</v>
      </c>
      <c r="AN197" s="60">
        <f ca="1">AVERAGE(OFFSET($AM$3,0,0,'Données projet'!$E$10+1,1))-AVERAGE(OFFSET($H$3,0,0,'Données projet'!$E$10+1,1))</f>
        <v>216.80783650073869</v>
      </c>
      <c r="AO197" s="60">
        <f t="shared" ref="AO197:AO203" si="205">$AO$3</f>
        <v>247.59561829759309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4.4337866711430253E-14</v>
      </c>
      <c r="BF197" s="14">
        <f t="shared" si="167"/>
        <v>7.3222115536967035E-13</v>
      </c>
      <c r="BG197" s="22">
        <f t="shared" si="168"/>
        <v>1.3525069634579169E-12</v>
      </c>
      <c r="BH197" s="60">
        <f t="shared" si="194"/>
        <v>293.33333333333468</v>
      </c>
      <c r="BI197" s="60">
        <f ca="1">AVERAGE(OFFSET($BH$3,0,0,'Données projet'!$E$11+1,1))-AVERAGE(OFFSET($H$3,0,0,'Données projet'!$E$11+1,1))</f>
        <v>222.34562513006574</v>
      </c>
      <c r="BJ197" s="60">
        <f t="shared" ref="BJ197:BJ203" si="206">$BJ$3</f>
        <v>213.19969928771548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274.84847548786672</v>
      </c>
      <c r="CE197" s="60">
        <f t="shared" ref="CE197:CE203" si="207">$CE$3</f>
        <v>376.2625056050623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0" t="e">
        <f t="shared" si="196"/>
        <v>#N/A</v>
      </c>
      <c r="CY197" s="60" t="e">
        <f ca="1">AVERAGE(OFFSET($CX$3,0,0,'Données projet'!$E$13+1,1))-AVERAGE(OFFSET($H$3,0,0,'Données projet'!$E$13+1,1))</f>
        <v>#N/A</v>
      </c>
      <c r="CZ197" s="60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8">
        <f t="shared" si="192"/>
        <v>501.06762226901623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2.7134774427395314E-13</v>
      </c>
      <c r="P198" s="14">
        <f t="shared" si="203"/>
        <v>3.6292411711343559E-12</v>
      </c>
      <c r="Q198" s="22">
        <f t="shared" si="162"/>
        <v>6.7935256943361388E-12</v>
      </c>
      <c r="R198" s="60">
        <f t="shared" si="191"/>
        <v>293.33333333334014</v>
      </c>
      <c r="S198" s="60">
        <f ca="1">AVERAGE(OFFSET($R$3,0,0,'Données projet'!$E$9+1,1))-AVERAGE(OFFSET($H$3,0,0,'Données projet'!$E$9+1,1))</f>
        <v>238.47463071449789</v>
      </c>
      <c r="T198" s="60">
        <f t="shared" si="204"/>
        <v>270.92950919803718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2.5006556825246659E-13</v>
      </c>
      <c r="AK198" s="14">
        <f t="shared" si="164"/>
        <v>3.3765445850268018E-12</v>
      </c>
      <c r="AL198" s="22">
        <f t="shared" si="165"/>
        <v>6.3163460169613921E-12</v>
      </c>
      <c r="AM198" s="60">
        <f t="shared" si="193"/>
        <v>293.33333333333962</v>
      </c>
      <c r="AN198" s="60">
        <f ca="1">AVERAGE(OFFSET($AM$3,0,0,'Données projet'!$E$10+1,1))-AVERAGE(OFFSET($H$3,0,0,'Données projet'!$E$10+1,1))</f>
        <v>216.80783650073869</v>
      </c>
      <c r="AO198" s="60">
        <f t="shared" si="205"/>
        <v>247.59561829759309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4.4337866711430253E-14</v>
      </c>
      <c r="BF198" s="14">
        <f t="shared" si="167"/>
        <v>7.3222115536967035E-13</v>
      </c>
      <c r="BG198" s="22">
        <f t="shared" si="168"/>
        <v>1.3525069634579169E-12</v>
      </c>
      <c r="BH198" s="60">
        <f t="shared" si="194"/>
        <v>293.33333333333468</v>
      </c>
      <c r="BI198" s="60">
        <f ca="1">AVERAGE(OFFSET($BH$3,0,0,'Données projet'!$E$11+1,1))-AVERAGE(OFFSET($H$3,0,0,'Données projet'!$E$11+1,1))</f>
        <v>222.34562513006574</v>
      </c>
      <c r="BJ198" s="60">
        <f t="shared" si="206"/>
        <v>213.19969928771548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274.84847548786672</v>
      </c>
      <c r="CE198" s="60">
        <f t="shared" si="207"/>
        <v>376.2625056050623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0" t="e">
        <f t="shared" si="196"/>
        <v>#N/A</v>
      </c>
      <c r="CY198" s="60" t="e">
        <f ca="1">AVERAGE(OFFSET($CX$3,0,0,'Données projet'!$E$13+1,1))-AVERAGE(OFFSET($H$3,0,0,'Données projet'!$E$13+1,1))</f>
        <v>#N/A</v>
      </c>
      <c r="CZ198" s="60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8">
        <f t="shared" si="192"/>
        <v>502.10637815523307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2.7134774427395314E-13</v>
      </c>
      <c r="P199" s="14">
        <f t="shared" si="203"/>
        <v>3.6292411711343559E-12</v>
      </c>
      <c r="Q199" s="22">
        <f t="shared" si="162"/>
        <v>6.7935256943361388E-12</v>
      </c>
      <c r="R199" s="60">
        <f t="shared" si="191"/>
        <v>293.33333333334014</v>
      </c>
      <c r="S199" s="60">
        <f ca="1">AVERAGE(OFFSET($R$3,0,0,'Données projet'!$E$9+1,1))-AVERAGE(OFFSET($H$3,0,0,'Données projet'!$E$9+1,1))</f>
        <v>238.47463071449789</v>
      </c>
      <c r="T199" s="60">
        <f t="shared" si="204"/>
        <v>270.92950919803718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2.5006556825246659E-13</v>
      </c>
      <c r="AK199" s="14">
        <f t="shared" si="164"/>
        <v>3.3765445850268018E-12</v>
      </c>
      <c r="AL199" s="22">
        <f t="shared" si="165"/>
        <v>6.3163460169613921E-12</v>
      </c>
      <c r="AM199" s="60">
        <f t="shared" si="193"/>
        <v>293.33333333333962</v>
      </c>
      <c r="AN199" s="60">
        <f ca="1">AVERAGE(OFFSET($AM$3,0,0,'Données projet'!$E$10+1,1))-AVERAGE(OFFSET($H$3,0,0,'Données projet'!$E$10+1,1))</f>
        <v>216.80783650073869</v>
      </c>
      <c r="AO199" s="60">
        <f t="shared" si="205"/>
        <v>247.59561829759309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4.4337866711430253E-14</v>
      </c>
      <c r="BF199" s="14">
        <f t="shared" si="167"/>
        <v>7.3222115536967035E-13</v>
      </c>
      <c r="BG199" s="22">
        <f t="shared" si="168"/>
        <v>1.3525069634579169E-12</v>
      </c>
      <c r="BH199" s="60">
        <f t="shared" si="194"/>
        <v>293.33333333333468</v>
      </c>
      <c r="BI199" s="60">
        <f ca="1">AVERAGE(OFFSET($BH$3,0,0,'Données projet'!$E$11+1,1))-AVERAGE(OFFSET($H$3,0,0,'Données projet'!$E$11+1,1))</f>
        <v>222.34562513006574</v>
      </c>
      <c r="BJ199" s="60">
        <f t="shared" si="206"/>
        <v>213.19969928771548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274.84847548786672</v>
      </c>
      <c r="CE199" s="60">
        <f t="shared" si="207"/>
        <v>376.2625056050623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0" t="e">
        <f t="shared" si="196"/>
        <v>#N/A</v>
      </c>
      <c r="CY199" s="60" t="e">
        <f ca="1">AVERAGE(OFFSET($CX$3,0,0,'Données projet'!$E$13+1,1))-AVERAGE(OFFSET($H$3,0,0,'Données projet'!$E$13+1,1))</f>
        <v>#N/A</v>
      </c>
      <c r="CZ199" s="60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8">
        <f t="shared" si="192"/>
        <v>503.14501469851064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2.7134774427395314E-13</v>
      </c>
      <c r="P200" s="14">
        <f t="shared" si="203"/>
        <v>3.6292411711343559E-12</v>
      </c>
      <c r="Q200" s="22">
        <f t="shared" si="162"/>
        <v>6.7935256943361388E-12</v>
      </c>
      <c r="R200" s="60">
        <f t="shared" si="191"/>
        <v>293.33333333334014</v>
      </c>
      <c r="S200" s="60">
        <f ca="1">AVERAGE(OFFSET($R$3,0,0,'Données projet'!$E$9+1,1))-AVERAGE(OFFSET($H$3,0,0,'Données projet'!$E$9+1,1))</f>
        <v>238.47463071449789</v>
      </c>
      <c r="T200" s="60">
        <f t="shared" si="204"/>
        <v>270.92950919803718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2.5006556825246659E-13</v>
      </c>
      <c r="AK200" s="14">
        <f t="shared" si="164"/>
        <v>3.3765445850268018E-12</v>
      </c>
      <c r="AL200" s="22">
        <f t="shared" si="165"/>
        <v>6.3163460169613921E-12</v>
      </c>
      <c r="AM200" s="60">
        <f t="shared" si="193"/>
        <v>293.33333333333962</v>
      </c>
      <c r="AN200" s="60">
        <f ca="1">AVERAGE(OFFSET($AM$3,0,0,'Données projet'!$E$10+1,1))-AVERAGE(OFFSET($H$3,0,0,'Données projet'!$E$10+1,1))</f>
        <v>216.80783650073869</v>
      </c>
      <c r="AO200" s="60">
        <f t="shared" si="205"/>
        <v>247.59561829759309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4.4337866711430253E-14</v>
      </c>
      <c r="BF200" s="14">
        <f t="shared" si="167"/>
        <v>7.3222115536967035E-13</v>
      </c>
      <c r="BG200" s="22">
        <f t="shared" si="168"/>
        <v>1.3525069634579169E-12</v>
      </c>
      <c r="BH200" s="60">
        <f t="shared" si="194"/>
        <v>293.33333333333468</v>
      </c>
      <c r="BI200" s="60">
        <f ca="1">AVERAGE(OFFSET($BH$3,0,0,'Données projet'!$E$11+1,1))-AVERAGE(OFFSET($H$3,0,0,'Données projet'!$E$11+1,1))</f>
        <v>222.34562513006574</v>
      </c>
      <c r="BJ200" s="60">
        <f t="shared" si="206"/>
        <v>213.19969928771548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274.84847548786672</v>
      </c>
      <c r="CE200" s="60">
        <f t="shared" si="207"/>
        <v>376.2625056050623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0" t="e">
        <f t="shared" si="196"/>
        <v>#N/A</v>
      </c>
      <c r="CY200" s="60" t="e">
        <f ca="1">AVERAGE(OFFSET($CX$3,0,0,'Données projet'!$E$13+1,1))-AVERAGE(OFFSET($H$3,0,0,'Données projet'!$E$13+1,1))</f>
        <v>#N/A</v>
      </c>
      <c r="CZ200" s="60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8">
        <f t="shared" si="192"/>
        <v>504.18353257497199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2.7134774427395314E-13</v>
      </c>
      <c r="P201" s="14">
        <f t="shared" si="203"/>
        <v>3.6292411711343559E-12</v>
      </c>
      <c r="Q201" s="22">
        <f t="shared" si="162"/>
        <v>6.7935256943361388E-12</v>
      </c>
      <c r="R201" s="60">
        <f t="shared" si="191"/>
        <v>293.33333333334014</v>
      </c>
      <c r="S201" s="60">
        <f ca="1">AVERAGE(OFFSET($R$3,0,0,'Données projet'!$E$9+1,1))-AVERAGE(OFFSET($H$3,0,0,'Données projet'!$E$9+1,1))</f>
        <v>238.47463071449789</v>
      </c>
      <c r="T201" s="60">
        <f t="shared" si="204"/>
        <v>270.92950919803718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2.5006556825246659E-13</v>
      </c>
      <c r="AK201" s="14">
        <f t="shared" si="164"/>
        <v>3.3765445850268018E-12</v>
      </c>
      <c r="AL201" s="22">
        <f t="shared" si="165"/>
        <v>6.3163460169613921E-12</v>
      </c>
      <c r="AM201" s="60">
        <f t="shared" si="193"/>
        <v>293.33333333333962</v>
      </c>
      <c r="AN201" s="60">
        <f ca="1">AVERAGE(OFFSET($AM$3,0,0,'Données projet'!$E$10+1,1))-AVERAGE(OFFSET($H$3,0,0,'Données projet'!$E$10+1,1))</f>
        <v>216.80783650073869</v>
      </c>
      <c r="AO201" s="60">
        <f t="shared" si="205"/>
        <v>247.59561829759309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4.4337866711430253E-14</v>
      </c>
      <c r="BF201" s="14">
        <f t="shared" si="167"/>
        <v>7.3222115536967035E-13</v>
      </c>
      <c r="BG201" s="22">
        <f t="shared" si="168"/>
        <v>1.3525069634579169E-12</v>
      </c>
      <c r="BH201" s="60">
        <f t="shared" si="194"/>
        <v>293.33333333333468</v>
      </c>
      <c r="BI201" s="60">
        <f ca="1">AVERAGE(OFFSET($BH$3,0,0,'Données projet'!$E$11+1,1))-AVERAGE(OFFSET($H$3,0,0,'Données projet'!$E$11+1,1))</f>
        <v>222.34562513006574</v>
      </c>
      <c r="BJ201" s="60">
        <f t="shared" si="206"/>
        <v>213.19969928771548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274.84847548786672</v>
      </c>
      <c r="CE201" s="60">
        <f t="shared" si="207"/>
        <v>376.2625056050623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0" t="e">
        <f t="shared" si="196"/>
        <v>#N/A</v>
      </c>
      <c r="CY201" s="60" t="e">
        <f ca="1">AVERAGE(OFFSET($CX$3,0,0,'Données projet'!$E$13+1,1))-AVERAGE(OFFSET($H$3,0,0,'Données projet'!$E$13+1,1))</f>
        <v>#N/A</v>
      </c>
      <c r="CZ201" s="60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8">
        <f t="shared" si="192"/>
        <v>505.22193245351531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2.7134774427395314E-13</v>
      </c>
      <c r="P202" s="14">
        <f t="shared" si="203"/>
        <v>3.6292411711343559E-12</v>
      </c>
      <c r="Q202" s="22">
        <f t="shared" si="162"/>
        <v>6.7935256943361388E-12</v>
      </c>
      <c r="R202" s="60">
        <f t="shared" si="191"/>
        <v>293.33333333334014</v>
      </c>
      <c r="S202" s="60">
        <f ca="1">AVERAGE(OFFSET($R$3,0,0,'Données projet'!$E$9+1,1))-AVERAGE(OFFSET($H$3,0,0,'Données projet'!$E$9+1,1))</f>
        <v>238.47463071449789</v>
      </c>
      <c r="T202" s="60">
        <f t="shared" si="204"/>
        <v>270.92950919803718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2.5006556825246659E-13</v>
      </c>
      <c r="AK202" s="14">
        <f t="shared" si="164"/>
        <v>3.3765445850268018E-12</v>
      </c>
      <c r="AL202" s="22">
        <f t="shared" si="165"/>
        <v>6.3163460169613921E-12</v>
      </c>
      <c r="AM202" s="60">
        <f t="shared" si="193"/>
        <v>293.33333333333962</v>
      </c>
      <c r="AN202" s="60">
        <f ca="1">AVERAGE(OFFSET($AM$3,0,0,'Données projet'!$E$10+1,1))-AVERAGE(OFFSET($H$3,0,0,'Données projet'!$E$10+1,1))</f>
        <v>216.80783650073869</v>
      </c>
      <c r="AO202" s="60">
        <f t="shared" si="205"/>
        <v>247.59561829759309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4.4337866711430253E-14</v>
      </c>
      <c r="BF202" s="14">
        <f t="shared" si="167"/>
        <v>7.3222115536967035E-13</v>
      </c>
      <c r="BG202" s="22">
        <f t="shared" si="168"/>
        <v>1.3525069634579169E-12</v>
      </c>
      <c r="BH202" s="60">
        <f t="shared" si="194"/>
        <v>293.33333333333468</v>
      </c>
      <c r="BI202" s="60">
        <f ca="1">AVERAGE(OFFSET($BH$3,0,0,'Données projet'!$E$11+1,1))-AVERAGE(OFFSET($H$3,0,0,'Données projet'!$E$11+1,1))</f>
        <v>222.34562513006574</v>
      </c>
      <c r="BJ202" s="60">
        <f t="shared" si="206"/>
        <v>213.19969928771548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274.84847548786672</v>
      </c>
      <c r="CE202" s="60">
        <f t="shared" si="207"/>
        <v>376.2625056050623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0" t="e">
        <f t="shared" si="196"/>
        <v>#N/A</v>
      </c>
      <c r="CY202" s="60" t="e">
        <f ca="1">AVERAGE(OFFSET($CX$3,0,0,'Données projet'!$E$13+1,1))-AVERAGE(OFFSET($H$3,0,0,'Données projet'!$E$13+1,1))</f>
        <v>#N/A</v>
      </c>
      <c r="CZ202" s="60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8">
        <f t="shared" si="192"/>
        <v>506.26021499592679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2.7134774427395314E-13</v>
      </c>
      <c r="P203" s="14">
        <f t="shared" si="203"/>
        <v>3.6292411711343559E-12</v>
      </c>
      <c r="Q203" s="22">
        <f t="shared" si="162"/>
        <v>6.7935256943361388E-12</v>
      </c>
      <c r="R203" s="60">
        <f t="shared" si="191"/>
        <v>293.33333333334014</v>
      </c>
      <c r="S203" s="60">
        <f ca="1">AVERAGE(OFFSET($R$3,0,0,'Données projet'!$E$9+1,1))-AVERAGE(OFFSET($H$3,0,0,'Données projet'!$E$9+1,1))</f>
        <v>238.47463071449789</v>
      </c>
      <c r="T203" s="60">
        <f t="shared" si="204"/>
        <v>270.92950919803718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2.5006556825246659E-13</v>
      </c>
      <c r="AK203" s="14">
        <f t="shared" si="164"/>
        <v>3.3765445850268018E-12</v>
      </c>
      <c r="AL203" s="22">
        <f t="shared" si="165"/>
        <v>6.3163460169613921E-12</v>
      </c>
      <c r="AM203" s="60">
        <f t="shared" si="193"/>
        <v>293.33333333333962</v>
      </c>
      <c r="AN203" s="60">
        <f ca="1">AVERAGE(OFFSET($AM$3,0,0,'Données projet'!$E$10+1,1))-AVERAGE(OFFSET($H$3,0,0,'Données projet'!$E$10+1,1))</f>
        <v>216.80783650073869</v>
      </c>
      <c r="AO203" s="60">
        <f t="shared" si="205"/>
        <v>247.59561829759309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4.4337866711430253E-14</v>
      </c>
      <c r="BF203" s="14">
        <f t="shared" si="167"/>
        <v>7.3222115536967035E-13</v>
      </c>
      <c r="BG203" s="22">
        <f t="shared" si="168"/>
        <v>1.3525069634579169E-12</v>
      </c>
      <c r="BH203" s="60">
        <f t="shared" si="194"/>
        <v>293.33333333333468</v>
      </c>
      <c r="BI203" s="60">
        <f ca="1">AVERAGE(OFFSET($BH$3,0,0,'Données projet'!$E$11+1,1))-AVERAGE(OFFSET($H$3,0,0,'Données projet'!$E$11+1,1))</f>
        <v>222.34562513006574</v>
      </c>
      <c r="BJ203" s="60">
        <f t="shared" si="206"/>
        <v>213.19969928771548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274.84847548786672</v>
      </c>
      <c r="CE203" s="60">
        <f t="shared" si="207"/>
        <v>376.2625056050623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0" t="e">
        <f t="shared" si="196"/>
        <v>#N/A</v>
      </c>
      <c r="CY203" s="60" t="e">
        <f ca="1">AVERAGE(OFFSET($CX$3,0,0,'Données projet'!$E$13+1,1))-AVERAGE(OFFSET($H$3,0,0,'Données projet'!$E$13+1,1))</f>
        <v>#N/A</v>
      </c>
      <c r="CZ203" s="60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1.2730870686066207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1.2730870686066207</v>
      </c>
      <c r="BA205" s="86">
        <f>EXP(LN('Données projet'!B88)/'Données projet'!A88)</f>
        <v>1.2788040393997409</v>
      </c>
      <c r="BV205" s="86">
        <f>EXP(LN('Données projet'!B114)/'Données projet'!A114)</f>
        <v>1.9472943612303364</v>
      </c>
      <c r="CQ205" s="86" t="e">
        <f>EXP(LN('Données projet'!B140)/'Données projet'!A140)</f>
        <v>#NUM!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25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4" t="s">
        <v>238</v>
      </c>
      <c r="P2" s="127">
        <v>0</v>
      </c>
    </row>
    <row r="3" spans="1:16" ht="15.75" thickBot="1" x14ac:dyDescent="0.3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5"/>
      <c r="P3" s="134">
        <v>0.2</v>
      </c>
    </row>
    <row r="4" spans="1:16" ht="15.75" thickBot="1" x14ac:dyDescent="0.3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25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4" t="s">
        <v>237</v>
      </c>
      <c r="P5" s="127">
        <v>0</v>
      </c>
    </row>
    <row r="6" spans="1:16" x14ac:dyDescent="0.25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6"/>
      <c r="P6" s="135">
        <v>0.05</v>
      </c>
    </row>
    <row r="7" spans="1:16" x14ac:dyDescent="0.25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6"/>
      <c r="P7" s="135">
        <v>0.1</v>
      </c>
    </row>
    <row r="8" spans="1:16" ht="15.75" thickBot="1" x14ac:dyDescent="0.3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5"/>
      <c r="P8" s="134">
        <v>0.15</v>
      </c>
    </row>
    <row r="9" spans="1:16" ht="15.75" thickBot="1" x14ac:dyDescent="0.3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25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4" t="s">
        <v>236</v>
      </c>
      <c r="P10" s="127">
        <v>0</v>
      </c>
    </row>
    <row r="11" spans="1:16" ht="15.75" thickBot="1" x14ac:dyDescent="0.3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5"/>
      <c r="P11" s="134">
        <v>0.1</v>
      </c>
    </row>
    <row r="12" spans="1:16" x14ac:dyDescent="0.25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25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25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25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25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25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25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25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25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25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25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25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25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25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25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25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25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25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25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25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25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25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25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25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25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25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25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25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25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25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25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25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25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25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25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25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25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25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25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25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25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25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25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25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25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25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25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25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25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25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25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25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25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25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25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25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25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25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25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25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25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25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25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25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25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25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25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25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25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25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25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25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25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25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25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25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7"/>
      <c r="K87" s="97"/>
      <c r="L87" s="97"/>
      <c r="M87" s="97"/>
      <c r="N87" s="97"/>
    </row>
    <row r="88" spans="1:14" x14ac:dyDescent="0.25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.75" thickBot="1" x14ac:dyDescent="0.3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25">
      <c r="A93" s="128" t="s">
        <v>208</v>
      </c>
    </row>
    <row r="94" spans="1:14" x14ac:dyDescent="0.25">
      <c r="A94" s="128" t="s">
        <v>209</v>
      </c>
    </row>
    <row r="95" spans="1:14" x14ac:dyDescent="0.25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Normal="100" workbookViewId="0">
      <selection activeCell="I24" sqref="I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1" t="str">
        <f>IF('Données projet'!$B$9="","",'Données projet'!$B$9)</f>
        <v>Erable sycomore</v>
      </c>
      <c r="B6" s="152">
        <f>'Données projet'!D9</f>
        <v>0.42</v>
      </c>
      <c r="C6" s="153">
        <f ca="1">IF(OR('Données projet'!B9="",'Données projet'!C9="",'Données projet'!C9=0%),0,Calculateur!S3)</f>
        <v>238.47463071449789</v>
      </c>
      <c r="D6" s="153">
        <f>IF(OR('Données projet'!B9="",'Données projet'!C9="",'Données projet'!C9=0%),0,Calculateur!T3)</f>
        <v>270.92950919803718</v>
      </c>
      <c r="E6" s="153">
        <f ca="1">MIN(C6,D6)</f>
        <v>238.47463071449789</v>
      </c>
      <c r="F6" s="153">
        <f ca="1">E6*B6</f>
        <v>100.15934490008911</v>
      </c>
      <c r="G6" s="153">
        <f ca="1">F6*(100%-'Données projet'!$C$24)*(100%-'Données projet'!$C$25)*(100%-'Données projet'!$C$26)*(100%-'Données projet'!$C$27)</f>
        <v>90.143410410080207</v>
      </c>
      <c r="H6" s="154">
        <f>IF(OR('Données projet'!B9="",'Données projet'!C9="",'Données projet'!C9=0%),0,AVERAGE(Calculateur!$AC$3:$AC$33)*B6)</f>
        <v>0</v>
      </c>
      <c r="I6" s="155">
        <f>H6*(100%-'Données projet'!$C$24)*(100%-'Données projet'!$C$25)*(100%-'Données projet'!$C$26)*(100%-'Données projet'!$C$27)</f>
        <v>0</v>
      </c>
      <c r="J6" s="156">
        <f>IF(OR('Données projet'!B9="",'Données projet'!C9="",'Données projet'!C9=0%),0,SUM(Calculateur!$V$3:$V$33)*VLOOKUP('Données projet'!$B$9,Paramètres!$A$1:$I$89,9,0)*B6)</f>
        <v>10.405499999999998</v>
      </c>
      <c r="K6" s="157">
        <f>J6*(100%-'Données projet'!$C$24)*(100%-'Données projet'!$C$25)*(100%-'Données projet'!$C$26)*(100%-'Données projet'!$C$27)</f>
        <v>9.3649499999999986</v>
      </c>
      <c r="L6" s="158">
        <f ca="1">G6+I6+K6</f>
        <v>99.508360410080201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59" t="str">
        <f>IF('Données projet'!$B$10="","",'Données projet'!$B$10)</f>
        <v>Châtaignier</v>
      </c>
      <c r="B7" s="160">
        <f>'Données projet'!D10</f>
        <v>0.42</v>
      </c>
      <c r="C7" s="153">
        <f ca="1">IF(OR('Données projet'!B10="",'Données projet'!C10="",'Données projet'!C10=0%),0,Calculateur!AN3)</f>
        <v>216.80783650073869</v>
      </c>
      <c r="D7" s="153">
        <f>IF(OR('Données projet'!B10="",'Données projet'!C10="",'Données projet'!C10=0%),0,Calculateur!AO3)</f>
        <v>247.59561829759309</v>
      </c>
      <c r="E7" s="153">
        <f t="shared" ref="E7:E15" ca="1" si="0">MIN(C7,D7)</f>
        <v>216.80783650073869</v>
      </c>
      <c r="F7" s="153">
        <f t="shared" ref="F7:F15" ca="1" si="1">E7*B7</f>
        <v>91.059291330310245</v>
      </c>
      <c r="G7" s="153">
        <f ca="1">F7*(100%-'Données projet'!$C$24)*(100%-'Données projet'!$C$25)*(100%-'Données projet'!$C$26)*(100%-'Données projet'!$C$27)</f>
        <v>81.953362197279219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10.405499999999998</v>
      </c>
      <c r="K7" s="157">
        <f>J7*(100%-'Données projet'!$C$24)*(100%-'Données projet'!$C$25)*(100%-'Données projet'!$C$26)*(100%-'Données projet'!$C$27)</f>
        <v>9.3649499999999986</v>
      </c>
      <c r="L7" s="158">
        <f t="shared" ref="L7:L15" ca="1" si="2">G7+I7+K7</f>
        <v>91.318312197279212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59" t="str">
        <f>IF('Données projet'!$B$11="","",'Données projet'!$B$11)</f>
        <v>Merisier</v>
      </c>
      <c r="B8" s="160">
        <f>'Données projet'!D11</f>
        <v>0.42</v>
      </c>
      <c r="C8" s="153">
        <f ca="1">IF(OR('Données projet'!B11="",'Données projet'!C11="",'Données projet'!C11=0%),0,Calculateur!BI3)</f>
        <v>222.34562513006574</v>
      </c>
      <c r="D8" s="153">
        <f>IF(OR('Données projet'!B11="",'Données projet'!C11="",'Données projet'!C11=0%),0,Calculateur!BJ3)</f>
        <v>213.19969928771548</v>
      </c>
      <c r="E8" s="153">
        <f t="shared" ca="1" si="0"/>
        <v>213.19969928771548</v>
      </c>
      <c r="F8" s="153">
        <f t="shared" ca="1" si="1"/>
        <v>89.543873700840493</v>
      </c>
      <c r="G8" s="153">
        <f ca="1">F8*(100%-'Données projet'!$C$24)*(100%-'Données projet'!$C$25)*(100%-'Données projet'!$C$26)*(100%-'Données projet'!$C$27)</f>
        <v>80.589486330756444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5.7749999999999995</v>
      </c>
      <c r="K8" s="157">
        <f>J8*(100%-'Données projet'!$C$24)*(100%-'Données projet'!$C$25)*(100%-'Données projet'!$C$26)*(100%-'Données projet'!$C$27)</f>
        <v>5.1974999999999998</v>
      </c>
      <c r="L8" s="158">
        <f t="shared" ca="1" si="2"/>
        <v>85.786986330756449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59" t="str">
        <f>IF('Données projet'!$B$12="","",'Données projet'!$B$12)</f>
        <v>Robinier faux-acacia</v>
      </c>
      <c r="B9" s="160">
        <f>'Données projet'!D12</f>
        <v>0.42</v>
      </c>
      <c r="C9" s="153">
        <f ca="1">IF(OR('Données projet'!B12="",'Données projet'!C12="",'Données projet'!C12=0%),0,Calculateur!CD3)</f>
        <v>274.84847548786672</v>
      </c>
      <c r="D9" s="153">
        <f>IF(OR('Données projet'!B12="",'Données projet'!C12="",'Données projet'!C12=0%),0,Calculateur!CE3)</f>
        <v>376.2625056050623</v>
      </c>
      <c r="E9" s="153">
        <f t="shared" ca="1" si="0"/>
        <v>274.84847548786672</v>
      </c>
      <c r="F9" s="153">
        <f t="shared" ca="1" si="1"/>
        <v>115.43635970490402</v>
      </c>
      <c r="G9" s="153">
        <f ca="1">F9*(100%-'Données projet'!$C$24)*(100%-'Données projet'!$C$25)*(100%-'Données projet'!$C$26)*(100%-'Données projet'!$C$27)</f>
        <v>103.89272373441362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7.9799999999999995</v>
      </c>
      <c r="K9" s="157">
        <f>J9*(100%-'Données projet'!$C$24)*(100%-'Données projet'!$C$25)*(100%-'Données projet'!$C$26)*(100%-'Données projet'!$C$27)</f>
        <v>7.1819999999999995</v>
      </c>
      <c r="L9" s="158">
        <f t="shared" ca="1" si="2"/>
        <v>111.07472373441362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59" t="str">
        <f>IF('Données projet'!$B$13="","",'Données projet'!$B$13)</f>
        <v/>
      </c>
      <c r="B10" s="160">
        <f>'Données projet'!D13</f>
        <v>0</v>
      </c>
      <c r="C10" s="153">
        <f>IF(OR('Données projet'!B13="",'Données projet'!C13="",'Données projet'!C13=0%),0,Calculateur!CY3)</f>
        <v>0</v>
      </c>
      <c r="D10" s="153">
        <f>IF(OR('Données projet'!B13="",'Données projet'!C13="",'Données projet'!C13=0%),0,Calculateur!CZ3)</f>
        <v>0</v>
      </c>
      <c r="E10" s="153">
        <f t="shared" si="0"/>
        <v>0</v>
      </c>
      <c r="F10" s="153">
        <f t="shared" si="1"/>
        <v>0</v>
      </c>
      <c r="G10" s="153">
        <f>F10*(100%-'Données projet'!$C$24)*(100%-'Données projet'!$C$25)*(100%-'Données projet'!$C$26)*(100%-'Données projet'!$C$27)</f>
        <v>0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0</v>
      </c>
      <c r="K10" s="157">
        <f>J10*(100%-'Données projet'!$C$24)*(100%-'Données projet'!$C$25)*(100%-'Données projet'!$C$26)*(100%-'Données projet'!$C$27)</f>
        <v>0</v>
      </c>
      <c r="L10" s="158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59" t="str">
        <f>IF('Données projet'!$B$14="","",'Données projet'!$B$14)</f>
        <v/>
      </c>
      <c r="B11" s="160">
        <f>'Données projet'!D14</f>
        <v>0</v>
      </c>
      <c r="C11" s="153">
        <f>IF(OR('Données projet'!B14="",'Données projet'!C14="",'Données projet'!C14=0%),0,Calculateur!DT3)</f>
        <v>0</v>
      </c>
      <c r="D11" s="153">
        <f>IF(OR('Données projet'!B14="",'Données projet'!C14="",'Données projet'!C14=0%),0,Calculateur!DU3)</f>
        <v>0</v>
      </c>
      <c r="E11" s="153">
        <f t="shared" si="0"/>
        <v>0</v>
      </c>
      <c r="F11" s="153">
        <f t="shared" si="1"/>
        <v>0</v>
      </c>
      <c r="G11" s="153">
        <f>F11*(100%-'Données projet'!$C$24)*(100%-'Données projet'!$C$25)*(100%-'Données projet'!$C$26)*(100%-'Données projet'!$C$27)</f>
        <v>0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0</v>
      </c>
      <c r="K11" s="157">
        <f>J11*(100%-'Données projet'!$C$24)*(100%-'Données projet'!$C$25)*(100%-'Données projet'!$C$26)*(100%-'Données projet'!$C$27)</f>
        <v>0</v>
      </c>
      <c r="L11" s="158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59" t="str">
        <f>IF('Données projet'!$B$15="","",'Données projet'!$B$15)</f>
        <v/>
      </c>
      <c r="B12" s="160">
        <f>'Données projet'!D15</f>
        <v>0</v>
      </c>
      <c r="C12" s="153">
        <f>IF(OR('Données projet'!B15="",'Données projet'!C15="",'Données projet'!C15=0%),0,Calculateur!EO3)</f>
        <v>0</v>
      </c>
      <c r="D12" s="153">
        <f>IF(OR('Données projet'!B15="",'Données projet'!C15="",'Données projet'!C15=0%),0,Calculateur!EP3)</f>
        <v>0</v>
      </c>
      <c r="E12" s="153">
        <f t="shared" si="0"/>
        <v>0</v>
      </c>
      <c r="F12" s="153">
        <f t="shared" si="1"/>
        <v>0</v>
      </c>
      <c r="G12" s="153">
        <f>F12*(100%-'Données projet'!$C$24)*(100%-'Données projet'!$C$25)*(100%-'Données projet'!$C$26)*(100%-'Données projet'!$C$27)</f>
        <v>0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0</v>
      </c>
      <c r="K12" s="157">
        <f>J12*(100%-'Données projet'!$C$24)*(100%-'Données projet'!$C$25)*(100%-'Données projet'!$C$26)*(100%-'Données projet'!$C$27)</f>
        <v>0</v>
      </c>
      <c r="L12" s="158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3"/>
      <c r="B16" s="230"/>
      <c r="C16" s="231"/>
      <c r="D16" s="25"/>
      <c r="E16" s="25"/>
      <c r="F16" s="171">
        <f t="shared" ref="F16:L16" ca="1" si="3">SUM(F6:F15)</f>
        <v>396.19886963614385</v>
      </c>
      <c r="G16" s="172">
        <f t="shared" ca="1" si="3"/>
        <v>356.57898267252949</v>
      </c>
      <c r="H16" s="173">
        <f t="shared" si="3"/>
        <v>0</v>
      </c>
      <c r="I16" s="173">
        <f t="shared" si="3"/>
        <v>0</v>
      </c>
      <c r="J16" s="174">
        <f t="shared" si="3"/>
        <v>34.565999999999995</v>
      </c>
      <c r="K16" s="174">
        <f t="shared" si="3"/>
        <v>31.109399999999997</v>
      </c>
      <c r="L16" s="175">
        <f t="shared" ca="1" si="3"/>
        <v>387.68838267252949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3"/>
      <c r="B17" s="230"/>
      <c r="C17" s="231"/>
      <c r="D17" s="228"/>
      <c r="E17" s="228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3"/>
      <c r="B18" s="230"/>
      <c r="C18" s="231"/>
      <c r="D18" s="228"/>
      <c r="E18" s="228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6" t="str">
        <f>A6</f>
        <v>Erable sycomore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6" t="str">
        <f>A7</f>
        <v>Châtaignier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6" t="str">
        <f>A8</f>
        <v>Merisier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6" t="str">
        <f>A9</f>
        <v>Robinier faux-acacia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6" t="str">
        <f>A10</f>
        <v/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6" t="str">
        <f>A11</f>
        <v/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6" t="str">
        <f>A12</f>
        <v/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6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6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09" zoomScale="80" zoomScaleNormal="80" workbookViewId="0">
      <selection activeCell="A25" sqref="A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25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25">
      <c r="A4" s="96"/>
      <c r="B4" s="96"/>
      <c r="C4" s="96"/>
      <c r="D4" s="96"/>
      <c r="E4" s="96"/>
      <c r="G4" s="177"/>
      <c r="H4" s="323" t="s">
        <v>315</v>
      </c>
      <c r="I4" s="323"/>
      <c r="K4" s="320" t="s">
        <v>253</v>
      </c>
      <c r="L4" s="321"/>
      <c r="M4" s="265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25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.75" thickBot="1" x14ac:dyDescent="0.3">
      <c r="A6" s="96"/>
      <c r="B6" s="96"/>
      <c r="C6" s="96"/>
      <c r="D6" s="96"/>
      <c r="E6" s="96"/>
      <c r="F6" s="226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45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1" t="s">
        <v>310</v>
      </c>
      <c r="S7" s="332"/>
      <c r="T7" s="332"/>
      <c r="U7" s="332"/>
      <c r="V7" s="333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25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2" t="str">
        <f>B14</f>
        <v>Erable sycomore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1322.7360246804406</v>
      </c>
      <c r="U10" s="187">
        <f>'Données projet'!D9</f>
        <v>0.42</v>
      </c>
      <c r="V10" s="186">
        <f>U10*T10</f>
        <v>555.549130365785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2" t="str">
        <f>B45</f>
        <v>Châtaignier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1144.0249521563846</v>
      </c>
      <c r="U11" s="187">
        <f>'Données projet'!D10</f>
        <v>0.42</v>
      </c>
      <c r="V11" s="186">
        <f t="shared" ref="V11" si="0">U11*T11</f>
        <v>480.49047990568152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2" t="str">
        <f>B76</f>
        <v>Merisier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4034.2385045551241</v>
      </c>
      <c r="U12" s="187">
        <f>'Données projet'!D11</f>
        <v>0.42</v>
      </c>
      <c r="V12" s="186">
        <f t="shared" ref="V12:V19" si="1">U12*T12</f>
        <v>1694.380171913152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8"/>
      <c r="J13" s="25"/>
      <c r="K13" s="222"/>
      <c r="L13" s="181" t="s">
        <v>257</v>
      </c>
      <c r="M13" s="25"/>
      <c r="N13" s="25"/>
      <c r="O13" s="25"/>
      <c r="P13" s="25"/>
      <c r="Q13" s="262"/>
      <c r="R13" s="25"/>
      <c r="S13" s="182" t="str">
        <f>B107</f>
        <v>Robinier faux-acacia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1780.2408614975245</v>
      </c>
      <c r="U13" s="187">
        <f>'Données projet'!D12</f>
        <v>0.42</v>
      </c>
      <c r="V13" s="186">
        <f t="shared" si="1"/>
        <v>747.70116182896027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3" t="str">
        <f>IF('Données projet'!$B$9="","",'Données projet'!$B$9)</f>
        <v>Erable sycomore</v>
      </c>
      <c r="C14" s="5"/>
      <c r="D14" s="5"/>
      <c r="E14" s="5"/>
      <c r="F14" s="258"/>
      <c r="G14" s="218"/>
      <c r="H14" s="182" t="s">
        <v>178</v>
      </c>
      <c r="I14" s="182" t="s">
        <v>290</v>
      </c>
      <c r="J14" s="212"/>
      <c r="K14" s="180"/>
      <c r="L14" s="214"/>
      <c r="M14" s="25"/>
      <c r="N14" s="25"/>
      <c r="O14" s="5"/>
      <c r="P14" s="5"/>
      <c r="Q14" s="263"/>
      <c r="R14" s="5"/>
      <c r="S14" s="182" t="str">
        <f>B138</f>
        <v/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7">
        <f>'Données projet'!D13</f>
        <v>0</v>
      </c>
      <c r="V14" s="186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8"/>
      <c r="G15" s="324" t="s">
        <v>318</v>
      </c>
      <c r="H15" s="200">
        <v>0</v>
      </c>
      <c r="I15" s="201">
        <v>0</v>
      </c>
      <c r="J15" s="213"/>
      <c r="K15" s="222"/>
      <c r="L15" s="214"/>
      <c r="M15" s="25"/>
      <c r="N15" s="25"/>
      <c r="O15" s="25"/>
      <c r="P15" s="25"/>
      <c r="Q15" s="262"/>
      <c r="R15" s="25"/>
      <c r="S15" s="182" t="str">
        <f>B169</f>
        <v/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7">
        <f>'Données projet'!D14</f>
        <v>0</v>
      </c>
      <c r="V15" s="186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24"/>
      <c r="H16" s="200"/>
      <c r="I16" s="201"/>
      <c r="J16" s="213"/>
      <c r="K16" s="222"/>
      <c r="L16" s="320" t="s">
        <v>254</v>
      </c>
      <c r="M16" s="321"/>
      <c r="N16" s="2"/>
      <c r="O16" s="25"/>
      <c r="P16" s="25"/>
      <c r="Q16" s="262"/>
      <c r="R16" s="25"/>
      <c r="S16" s="182" t="str">
        <f>B200</f>
        <v/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7">
        <f>'Données projet'!D15</f>
        <v>0</v>
      </c>
      <c r="V16" s="186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7">
        <v>0</v>
      </c>
      <c r="B17" s="210" t="s">
        <v>132</v>
      </c>
      <c r="C17" s="209" t="s">
        <v>132</v>
      </c>
      <c r="D17" s="208" t="s">
        <v>132</v>
      </c>
      <c r="E17" s="203"/>
      <c r="F17" s="258"/>
      <c r="G17" s="324"/>
      <c r="J17" s="213"/>
      <c r="K17" s="222"/>
      <c r="L17" s="291" t="s">
        <v>289</v>
      </c>
      <c r="M17" s="293"/>
      <c r="N17" s="184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2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7">
        <f>'Données projet'!D16</f>
        <v>0</v>
      </c>
      <c r="V17" s="186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7">
        <v>1</v>
      </c>
      <c r="B18" s="210" t="s">
        <v>132</v>
      </c>
      <c r="C18" s="209" t="s">
        <v>132</v>
      </c>
      <c r="D18" s="208" t="s">
        <v>132</v>
      </c>
      <c r="E18" s="203"/>
      <c r="F18" s="258"/>
      <c r="G18" s="324"/>
      <c r="J18" s="213"/>
      <c r="K18" s="222"/>
      <c r="L18" s="291" t="s">
        <v>255</v>
      </c>
      <c r="M18" s="293"/>
      <c r="N18" s="202"/>
      <c r="O18" s="25"/>
      <c r="P18" s="25"/>
      <c r="Q18" s="262"/>
      <c r="R18" s="25"/>
      <c r="S18" s="182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7">
        <f>'Données projet'!D17</f>
        <v>0</v>
      </c>
      <c r="V18" s="186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7">
        <v>2</v>
      </c>
      <c r="B19" s="210" t="s">
        <v>132</v>
      </c>
      <c r="C19" s="209" t="s">
        <v>132</v>
      </c>
      <c r="D19" s="208" t="s">
        <v>132</v>
      </c>
      <c r="E19" s="203"/>
      <c r="F19" s="258"/>
      <c r="G19" s="324"/>
      <c r="H19" s="229" t="s">
        <v>178</v>
      </c>
      <c r="I19" s="229" t="s">
        <v>287</v>
      </c>
      <c r="J19" s="257"/>
      <c r="K19" s="180"/>
      <c r="L19" s="320" t="s">
        <v>288</v>
      </c>
      <c r="M19" s="321"/>
      <c r="N19" s="188">
        <f>N17*N18</f>
        <v>0</v>
      </c>
      <c r="O19" s="25"/>
      <c r="P19" s="5"/>
      <c r="Q19" s="263"/>
      <c r="R19" s="5"/>
      <c r="S19" s="182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7">
        <v>3</v>
      </c>
      <c r="B20" s="210" t="s">
        <v>132</v>
      </c>
      <c r="C20" s="209" t="s">
        <v>132</v>
      </c>
      <c r="D20" s="208" t="s">
        <v>132</v>
      </c>
      <c r="E20" s="203"/>
      <c r="F20" s="258"/>
      <c r="G20" s="324"/>
      <c r="H20" s="200">
        <v>0</v>
      </c>
      <c r="I20" s="201">
        <v>8000</v>
      </c>
      <c r="J20" s="5"/>
      <c r="K20" s="180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7">
        <v>4</v>
      </c>
      <c r="B21" s="210" t="s">
        <v>132</v>
      </c>
      <c r="C21" s="209" t="s">
        <v>132</v>
      </c>
      <c r="D21" s="208" t="s">
        <v>132</v>
      </c>
      <c r="E21" s="203"/>
      <c r="F21" s="258"/>
      <c r="H21" s="200"/>
      <c r="I21" s="201"/>
      <c r="K21" s="180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7">
        <v>5</v>
      </c>
      <c r="B22" s="210" t="s">
        <v>132</v>
      </c>
      <c r="C22" s="209" t="s">
        <v>132</v>
      </c>
      <c r="D22" s="208" t="s">
        <v>132</v>
      </c>
      <c r="E22" s="203"/>
      <c r="F22" s="258"/>
      <c r="H22" s="200"/>
      <c r="I22" s="201"/>
      <c r="K22" s="180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89">
        <f>'Données projet'!A36</f>
        <v>15</v>
      </c>
      <c r="B23" s="190">
        <f>'Données projet'!D36</f>
        <v>0</v>
      </c>
      <c r="C23" s="203"/>
      <c r="D23" s="191">
        <f>B23*C23</f>
        <v>0</v>
      </c>
      <c r="E23" s="203"/>
      <c r="F23" s="258"/>
      <c r="H23" s="200"/>
      <c r="I23" s="201"/>
      <c r="K23" s="222"/>
      <c r="L23" s="322" t="s">
        <v>260</v>
      </c>
      <c r="M23" s="322"/>
      <c r="N23" s="322"/>
      <c r="O23" s="25"/>
      <c r="P23" s="25"/>
      <c r="Q23" s="262"/>
      <c r="R23" s="25"/>
      <c r="S23" s="182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-9961.879055986421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89">
        <f>'Données projet'!A37</f>
        <v>20</v>
      </c>
      <c r="B24" s="190">
        <f>'Données projet'!D37</f>
        <v>43.1</v>
      </c>
      <c r="C24" s="203">
        <v>10</v>
      </c>
      <c r="D24" s="191">
        <f t="shared" ref="D24:D42" si="2">B24*C24</f>
        <v>431</v>
      </c>
      <c r="E24" s="203"/>
      <c r="F24" s="261"/>
      <c r="H24" s="200"/>
      <c r="I24" s="201"/>
      <c r="K24" s="222"/>
      <c r="O24" s="25"/>
      <c r="P24" s="25"/>
      <c r="Q24" s="262"/>
      <c r="R24" s="25"/>
      <c r="S24" s="182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89">
        <f>'Données projet'!A38</f>
        <v>25</v>
      </c>
      <c r="B25" s="190">
        <f>'Données projet'!D38</f>
        <v>0</v>
      </c>
      <c r="C25" s="203"/>
      <c r="D25" s="191">
        <f t="shared" si="2"/>
        <v>0</v>
      </c>
      <c r="E25" s="203"/>
      <c r="F25" s="261"/>
      <c r="G25" s="1"/>
      <c r="H25" s="200"/>
      <c r="I25" s="201"/>
      <c r="K25" s="222"/>
      <c r="L25" s="268" t="s">
        <v>285</v>
      </c>
      <c r="M25" s="268"/>
      <c r="N25" s="268"/>
      <c r="O25" s="268"/>
      <c r="P25" s="202">
        <v>0</v>
      </c>
      <c r="Q25" s="262"/>
      <c r="R25" s="25"/>
      <c r="S25" s="195" t="s">
        <v>266</v>
      </c>
      <c r="T25" s="338">
        <f ca="1">T23-T24</f>
        <v>-9961.879055986421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89">
        <f>'Données projet'!A39</f>
        <v>30</v>
      </c>
      <c r="B26" s="190">
        <f>'Données projet'!D39</f>
        <v>56</v>
      </c>
      <c r="C26" s="203">
        <v>10</v>
      </c>
      <c r="D26" s="191">
        <f t="shared" si="2"/>
        <v>560</v>
      </c>
      <c r="E26" s="203"/>
      <c r="F26" s="261"/>
      <c r="G26" s="256"/>
      <c r="H26" s="200"/>
      <c r="I26" s="201"/>
      <c r="K26" s="222"/>
      <c r="L26" s="325" t="s">
        <v>258</v>
      </c>
      <c r="M26" s="326"/>
      <c r="N26" s="326"/>
      <c r="O26" s="326"/>
      <c r="P26" s="327"/>
      <c r="Q26" s="262"/>
      <c r="R26" s="25"/>
      <c r="S26" s="195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89">
        <f>'Données projet'!A40</f>
        <v>35</v>
      </c>
      <c r="B27" s="190">
        <f>'Données projet'!D40</f>
        <v>0</v>
      </c>
      <c r="C27" s="203"/>
      <c r="D27" s="191">
        <f t="shared" si="2"/>
        <v>0</v>
      </c>
      <c r="E27" s="203"/>
      <c r="F27" s="261"/>
      <c r="G27" s="256"/>
      <c r="H27" s="200"/>
      <c r="I27" s="201"/>
      <c r="K27" s="222"/>
      <c r="L27" s="328"/>
      <c r="M27" s="329"/>
      <c r="N27" s="329"/>
      <c r="O27" s="329"/>
      <c r="P27" s="330"/>
      <c r="Q27" s="262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89">
        <f>'Données projet'!A41</f>
        <v>40</v>
      </c>
      <c r="B28" s="190">
        <f>'Données projet'!D41</f>
        <v>56</v>
      </c>
      <c r="C28" s="203">
        <v>15</v>
      </c>
      <c r="D28" s="191">
        <f t="shared" si="2"/>
        <v>840</v>
      </c>
      <c r="E28" s="203"/>
      <c r="F28" s="261"/>
      <c r="G28" s="219"/>
      <c r="H28" s="200"/>
      <c r="I28" s="201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89">
        <f>'Données projet'!A42</f>
        <v>45</v>
      </c>
      <c r="B29" s="190">
        <f>'Données projet'!D42</f>
        <v>0</v>
      </c>
      <c r="C29" s="203"/>
      <c r="D29" s="191">
        <f t="shared" si="2"/>
        <v>0</v>
      </c>
      <c r="E29" s="203"/>
      <c r="F29" s="261"/>
      <c r="G29" s="215"/>
      <c r="H29" s="200"/>
      <c r="I29" s="201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89">
        <f>'Données projet'!A43</f>
        <v>50</v>
      </c>
      <c r="B30" s="190">
        <f>'Données projet'!D43</f>
        <v>38.299999999999997</v>
      </c>
      <c r="C30" s="203">
        <v>20</v>
      </c>
      <c r="D30" s="191">
        <f t="shared" si="2"/>
        <v>766</v>
      </c>
      <c r="E30" s="203"/>
      <c r="F30" s="261"/>
      <c r="G30" s="215"/>
      <c r="H30" s="200"/>
      <c r="I30" s="201"/>
      <c r="K30" s="192"/>
      <c r="L30" s="182" t="s">
        <v>259</v>
      </c>
      <c r="M30" s="193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89">
        <f>'Données projet'!A44</f>
        <v>55</v>
      </c>
      <c r="B31" s="190">
        <f>'Données projet'!D44</f>
        <v>0</v>
      </c>
      <c r="C31" s="203"/>
      <c r="D31" s="191">
        <f t="shared" si="2"/>
        <v>0</v>
      </c>
      <c r="E31" s="203"/>
      <c r="F31" s="261"/>
      <c r="G31" s="215"/>
      <c r="H31" s="200"/>
      <c r="I31" s="201"/>
      <c r="K31" s="180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89">
        <f>'Données projet'!A45</f>
        <v>60</v>
      </c>
      <c r="B32" s="190">
        <f>'Données projet'!D45</f>
        <v>25.200000000000003</v>
      </c>
      <c r="C32" s="203">
        <v>30</v>
      </c>
      <c r="D32" s="191">
        <f t="shared" si="2"/>
        <v>756.00000000000011</v>
      </c>
      <c r="E32" s="203"/>
      <c r="F32" s="261"/>
      <c r="G32" s="215"/>
      <c r="H32" s="200"/>
      <c r="I32" s="201"/>
      <c r="K32" s="180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89">
        <f>'Données projet'!A46</f>
        <v>65</v>
      </c>
      <c r="B33" s="190">
        <f>'Données projet'!D46</f>
        <v>0</v>
      </c>
      <c r="C33" s="203"/>
      <c r="D33" s="191">
        <f t="shared" si="2"/>
        <v>0</v>
      </c>
      <c r="E33" s="203"/>
      <c r="F33" s="261"/>
      <c r="G33" s="215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89">
        <f>'Données projet'!A47</f>
        <v>70</v>
      </c>
      <c r="B34" s="190">
        <f>'Données projet'!D47</f>
        <v>20.9</v>
      </c>
      <c r="C34" s="203">
        <v>40</v>
      </c>
      <c r="D34" s="191">
        <f t="shared" si="2"/>
        <v>836</v>
      </c>
      <c r="E34" s="203"/>
      <c r="F34" s="261"/>
      <c r="G34" s="215"/>
      <c r="H34" s="200"/>
      <c r="I34" s="201"/>
      <c r="K34" s="180"/>
      <c r="L34" s="281"/>
      <c r="M34" s="281"/>
      <c r="N34" s="282"/>
      <c r="O34" s="204">
        <f>IF(O33+1&lt;=MIN('Données projet'!$E$9:$E$18),O33+1,"STOP")</f>
        <v>1</v>
      </c>
      <c r="P34" s="194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89">
        <f>'Données projet'!A48</f>
        <v>75</v>
      </c>
      <c r="B35" s="190">
        <f>'Données projet'!D48</f>
        <v>0</v>
      </c>
      <c r="C35" s="203"/>
      <c r="D35" s="191">
        <f t="shared" si="2"/>
        <v>0</v>
      </c>
      <c r="E35" s="203"/>
      <c r="F35" s="261"/>
      <c r="G35" s="215"/>
      <c r="H35" s="200"/>
      <c r="I35" s="201"/>
      <c r="K35" s="180"/>
      <c r="L35" s="281"/>
      <c r="M35" s="281"/>
      <c r="N35" s="282"/>
      <c r="O35" s="204">
        <f>IF(O34+1&lt;=MIN('Données projet'!$E$9:$E$18),O34+1,"STOP")</f>
        <v>2</v>
      </c>
      <c r="P35" s="194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89">
        <f>'Données projet'!A49</f>
        <v>80</v>
      </c>
      <c r="B36" s="190">
        <f>'Données projet'!D49</f>
        <v>284.60000000000002</v>
      </c>
      <c r="C36" s="203">
        <v>80</v>
      </c>
      <c r="D36" s="191">
        <f t="shared" si="2"/>
        <v>22768</v>
      </c>
      <c r="E36" s="203"/>
      <c r="F36" s="261"/>
      <c r="G36" s="215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89">
        <f>'Données projet'!A50</f>
        <v>0</v>
      </c>
      <c r="B37" s="190">
        <f>'Données projet'!D50</f>
        <v>0</v>
      </c>
      <c r="C37" s="203"/>
      <c r="D37" s="191">
        <f t="shared" si="2"/>
        <v>0</v>
      </c>
      <c r="E37" s="203"/>
      <c r="F37" s="261"/>
      <c r="G37" s="215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89">
        <f>'Données projet'!A51</f>
        <v>0</v>
      </c>
      <c r="B38" s="190">
        <f>'Données projet'!D51</f>
        <v>0</v>
      </c>
      <c r="C38" s="203"/>
      <c r="D38" s="191">
        <f t="shared" si="2"/>
        <v>0</v>
      </c>
      <c r="E38" s="203"/>
      <c r="F38" s="261"/>
      <c r="G38" s="215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89">
        <f>'Données projet'!A52</f>
        <v>0</v>
      </c>
      <c r="B39" s="190">
        <f>'Données projet'!D52</f>
        <v>0</v>
      </c>
      <c r="C39" s="203"/>
      <c r="D39" s="191">
        <f t="shared" si="2"/>
        <v>0</v>
      </c>
      <c r="E39" s="203"/>
      <c r="F39" s="261"/>
      <c r="G39" s="215"/>
      <c r="H39" s="200"/>
      <c r="I39" s="201"/>
      <c r="K39" s="222"/>
      <c r="L39" s="25"/>
      <c r="M39" s="25"/>
      <c r="N39" s="25"/>
      <c r="O39" s="204">
        <f>IF(O38+1&lt;=MIN('Données projet'!$E$9:$E$18),O38+1,"STOP")</f>
        <v>6</v>
      </c>
      <c r="P39" s="194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89">
        <f>'Données projet'!A53</f>
        <v>0</v>
      </c>
      <c r="B40" s="190">
        <f>'Données projet'!D53</f>
        <v>0</v>
      </c>
      <c r="C40" s="203"/>
      <c r="D40" s="191">
        <f t="shared" si="2"/>
        <v>0</v>
      </c>
      <c r="E40" s="203"/>
      <c r="F40" s="261"/>
      <c r="G40" s="215"/>
      <c r="H40" s="200"/>
      <c r="I40" s="201"/>
      <c r="K40" s="222"/>
      <c r="L40" s="25"/>
      <c r="M40" s="25"/>
      <c r="N40" s="25"/>
      <c r="O40" s="204">
        <f>IF(O39+1&lt;=MIN('Données projet'!$E$9:$E$18),O39+1,"STOP")</f>
        <v>7</v>
      </c>
      <c r="P40" s="194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89">
        <f>'Données projet'!A54</f>
        <v>0</v>
      </c>
      <c r="B41" s="190">
        <f>'Données projet'!D54</f>
        <v>0</v>
      </c>
      <c r="C41" s="203"/>
      <c r="D41" s="191">
        <f t="shared" si="2"/>
        <v>0</v>
      </c>
      <c r="E41" s="203"/>
      <c r="F41" s="261"/>
      <c r="G41" s="215"/>
      <c r="H41" s="200"/>
      <c r="I41" s="201"/>
      <c r="K41" s="222"/>
      <c r="L41" s="25"/>
      <c r="M41" s="25"/>
      <c r="N41" s="25"/>
      <c r="O41" s="204">
        <f>IF(O40+1&lt;=MIN('Données projet'!$E$9:$E$18),O40+1,"STOP")</f>
        <v>8</v>
      </c>
      <c r="P41" s="194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89">
        <f>'Données projet'!A55</f>
        <v>0</v>
      </c>
      <c r="B42" s="190">
        <f>'Données projet'!D55</f>
        <v>0</v>
      </c>
      <c r="C42" s="203"/>
      <c r="D42" s="191">
        <f t="shared" si="2"/>
        <v>0</v>
      </c>
      <c r="E42" s="203"/>
      <c r="F42" s="261"/>
      <c r="G42" s="215"/>
      <c r="H42" s="200"/>
      <c r="I42" s="201"/>
      <c r="K42" s="222"/>
      <c r="L42" s="25"/>
      <c r="M42" s="25"/>
      <c r="N42" s="25"/>
      <c r="O42" s="204">
        <f>IF(O41+1&lt;=MIN('Données projet'!$E$9:$E$18),O41+1,"STOP")</f>
        <v>9</v>
      </c>
      <c r="P42" s="194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6"/>
      <c r="B43" s="196"/>
      <c r="C43" s="196"/>
      <c r="D43" s="253"/>
      <c r="E43" s="253"/>
      <c r="F43" s="266"/>
      <c r="G43" s="215"/>
      <c r="H43" s="200"/>
      <c r="I43" s="201"/>
      <c r="K43" s="222"/>
      <c r="L43" s="25"/>
      <c r="M43" s="25"/>
      <c r="N43" s="25"/>
      <c r="O43" s="204">
        <f>IF(O42+1&lt;=MIN('Données projet'!$E$9:$E$18),O42+1,"STOP")</f>
        <v>10</v>
      </c>
      <c r="P43" s="194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8"/>
      <c r="G44" s="215"/>
      <c r="H44" s="200"/>
      <c r="I44" s="201"/>
      <c r="K44" s="222"/>
      <c r="L44" s="25"/>
      <c r="M44" s="25"/>
      <c r="N44" s="25"/>
      <c r="O44" s="204">
        <f>IF(O43+1&lt;=MIN('Données projet'!$E$9:$E$18),O43+1,"STOP")</f>
        <v>11</v>
      </c>
      <c r="P44" s="194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3" t="str">
        <f>IF('Données projet'!$B$10="","",'Données projet'!$B$10)</f>
        <v>Châtaignier</v>
      </c>
      <c r="C45" s="5"/>
      <c r="D45" s="5"/>
      <c r="E45" s="5"/>
      <c r="F45" s="258"/>
      <c r="G45" s="215"/>
      <c r="H45" s="200"/>
      <c r="I45" s="201"/>
      <c r="J45" s="25"/>
      <c r="K45" s="222"/>
      <c r="L45" s="25"/>
      <c r="M45" s="25"/>
      <c r="N45" s="25"/>
      <c r="O45" s="204">
        <f>IF(O44+1&lt;=MIN('Données projet'!$E$9:$E$18),O44+1,"STOP")</f>
        <v>12</v>
      </c>
      <c r="P45" s="194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8"/>
      <c r="G46" s="215"/>
      <c r="H46" s="200"/>
      <c r="I46" s="201"/>
      <c r="J46" s="25"/>
      <c r="K46" s="222"/>
      <c r="L46" s="217"/>
      <c r="M46" s="217"/>
      <c r="N46" s="217"/>
      <c r="O46" s="204">
        <f>IF(O45+1&lt;=MIN('Données projet'!$E$9:$E$18),O45+1,"STOP")</f>
        <v>13</v>
      </c>
      <c r="P46" s="197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0"/>
      <c r="I47" s="201"/>
      <c r="J47" s="25"/>
      <c r="K47" s="222"/>
      <c r="L47" s="5"/>
      <c r="M47" s="5"/>
      <c r="N47" s="5"/>
      <c r="O47" s="204">
        <f>IF(O46+1&lt;=MIN('Données projet'!$E$9:$E$18),O46+1,"STOP")</f>
        <v>14</v>
      </c>
      <c r="P47" s="194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7">
        <v>0</v>
      </c>
      <c r="B48" s="210" t="s">
        <v>132</v>
      </c>
      <c r="C48" s="209" t="s">
        <v>132</v>
      </c>
      <c r="D48" s="208" t="s">
        <v>132</v>
      </c>
      <c r="E48" s="203"/>
      <c r="F48" s="259"/>
      <c r="G48" s="215"/>
      <c r="H48" s="200"/>
      <c r="I48" s="201"/>
      <c r="J48" s="25"/>
      <c r="K48" s="222"/>
      <c r="L48" s="5"/>
      <c r="M48" s="5"/>
      <c r="N48" s="5"/>
      <c r="O48" s="204">
        <f>IF(O47+1&lt;=MIN('Données projet'!$E$9:$E$18),O47+1,"STOP")</f>
        <v>15</v>
      </c>
      <c r="P48" s="194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25">
      <c r="A49" s="207">
        <v>1</v>
      </c>
      <c r="B49" s="210" t="s">
        <v>132</v>
      </c>
      <c r="C49" s="209" t="s">
        <v>132</v>
      </c>
      <c r="D49" s="208" t="s">
        <v>132</v>
      </c>
      <c r="E49" s="203"/>
      <c r="F49" s="259"/>
      <c r="G49" s="216"/>
      <c r="H49" s="200"/>
      <c r="I49" s="201"/>
      <c r="J49" s="217"/>
      <c r="K49" s="224"/>
      <c r="L49" s="5"/>
      <c r="M49" s="5"/>
      <c r="N49" s="5"/>
      <c r="O49" s="204">
        <f>IF(O48+1&lt;=MIN('Données projet'!$E$9:$E$18),O48+1,"STOP")</f>
        <v>16</v>
      </c>
      <c r="P49" s="194">
        <f t="shared" si="3"/>
        <v>0</v>
      </c>
      <c r="Q49" s="264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25">
      <c r="A50" s="207">
        <v>2</v>
      </c>
      <c r="B50" s="210" t="s">
        <v>132</v>
      </c>
      <c r="C50" s="209" t="s">
        <v>132</v>
      </c>
      <c r="D50" s="208" t="s">
        <v>132</v>
      </c>
      <c r="E50" s="203"/>
      <c r="F50" s="259"/>
      <c r="G50" s="218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7">
        <v>3</v>
      </c>
      <c r="B51" s="210" t="s">
        <v>132</v>
      </c>
      <c r="C51" s="209" t="s">
        <v>132</v>
      </c>
      <c r="D51" s="208" t="s">
        <v>132</v>
      </c>
      <c r="E51" s="203"/>
      <c r="F51" s="259"/>
      <c r="G51" s="218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7">
        <v>4</v>
      </c>
      <c r="B52" s="210" t="s">
        <v>132</v>
      </c>
      <c r="C52" s="209" t="s">
        <v>132</v>
      </c>
      <c r="D52" s="208" t="s">
        <v>132</v>
      </c>
      <c r="E52" s="203"/>
      <c r="F52" s="259"/>
      <c r="G52" s="218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7">
        <v>5</v>
      </c>
      <c r="B53" s="210" t="s">
        <v>132</v>
      </c>
      <c r="C53" s="209" t="s">
        <v>132</v>
      </c>
      <c r="D53" s="208" t="s">
        <v>132</v>
      </c>
      <c r="E53" s="203"/>
      <c r="F53" s="259"/>
      <c r="G53" s="219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89">
        <f>'Données projet'!A62</f>
        <v>15</v>
      </c>
      <c r="B54" s="190">
        <f>'Données projet'!D62</f>
        <v>0</v>
      </c>
      <c r="C54" s="201"/>
      <c r="D54" s="188">
        <f>B54*C54</f>
        <v>0</v>
      </c>
      <c r="E54" s="203"/>
      <c r="F54" s="260"/>
      <c r="G54" s="219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89">
        <f>'Données projet'!A63</f>
        <v>20</v>
      </c>
      <c r="B55" s="190">
        <f>'Données projet'!D63</f>
        <v>43.1</v>
      </c>
      <c r="C55" s="203">
        <v>10</v>
      </c>
      <c r="D55" s="188">
        <f t="shared" ref="D55:D73" si="4">B55*C55</f>
        <v>431</v>
      </c>
      <c r="E55" s="203"/>
      <c r="F55" s="260"/>
      <c r="G55" s="219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89">
        <f>'Données projet'!A64</f>
        <v>25</v>
      </c>
      <c r="B56" s="190">
        <f>'Données projet'!D64</f>
        <v>0</v>
      </c>
      <c r="C56" s="203"/>
      <c r="D56" s="188">
        <f t="shared" si="4"/>
        <v>0</v>
      </c>
      <c r="E56" s="203"/>
      <c r="F56" s="260"/>
      <c r="G56" s="219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89">
        <f>'Données projet'!A65</f>
        <v>30</v>
      </c>
      <c r="B57" s="190">
        <f>'Données projet'!D65</f>
        <v>56</v>
      </c>
      <c r="C57" s="203">
        <v>10</v>
      </c>
      <c r="D57" s="188">
        <f t="shared" si="4"/>
        <v>560</v>
      </c>
      <c r="E57" s="203"/>
      <c r="F57" s="260"/>
      <c r="G57" s="219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89">
        <f>'Données projet'!A66</f>
        <v>35</v>
      </c>
      <c r="B58" s="190">
        <f>'Données projet'!D66</f>
        <v>0</v>
      </c>
      <c r="C58" s="203"/>
      <c r="D58" s="188">
        <f t="shared" si="4"/>
        <v>0</v>
      </c>
      <c r="E58" s="203"/>
      <c r="F58" s="260"/>
      <c r="G58" s="219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89">
        <f>'Données projet'!A67</f>
        <v>40</v>
      </c>
      <c r="B59" s="190">
        <f>'Données projet'!D67</f>
        <v>56</v>
      </c>
      <c r="C59" s="203">
        <v>15</v>
      </c>
      <c r="D59" s="188">
        <f t="shared" si="4"/>
        <v>840</v>
      </c>
      <c r="E59" s="203"/>
      <c r="F59" s="260"/>
      <c r="G59" s="219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89">
        <f>'Données projet'!A68</f>
        <v>45</v>
      </c>
      <c r="B60" s="190">
        <f>'Données projet'!D68</f>
        <v>0</v>
      </c>
      <c r="C60" s="203"/>
      <c r="D60" s="188">
        <f t="shared" si="4"/>
        <v>0</v>
      </c>
      <c r="E60" s="203"/>
      <c r="F60" s="260"/>
      <c r="G60" s="220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89">
        <f>'Données projet'!A69</f>
        <v>50</v>
      </c>
      <c r="B61" s="190">
        <f>'Données projet'!D69</f>
        <v>38.299999999999997</v>
      </c>
      <c r="C61" s="203">
        <v>20</v>
      </c>
      <c r="D61" s="188">
        <f t="shared" si="4"/>
        <v>766</v>
      </c>
      <c r="E61" s="203"/>
      <c r="F61" s="260"/>
      <c r="G61" s="220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89">
        <f>'Données projet'!A70</f>
        <v>55</v>
      </c>
      <c r="B62" s="190">
        <f>'Données projet'!D70</f>
        <v>0</v>
      </c>
      <c r="C62" s="203"/>
      <c r="D62" s="188">
        <f t="shared" si="4"/>
        <v>0</v>
      </c>
      <c r="E62" s="203"/>
      <c r="F62" s="260"/>
      <c r="G62" s="220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89">
        <f>'Données projet'!A71</f>
        <v>60</v>
      </c>
      <c r="B63" s="190">
        <f>'Données projet'!D71</f>
        <v>25.200000000000003</v>
      </c>
      <c r="C63" s="203">
        <v>30</v>
      </c>
      <c r="D63" s="188">
        <f t="shared" si="4"/>
        <v>756.00000000000011</v>
      </c>
      <c r="E63" s="203"/>
      <c r="F63" s="260"/>
      <c r="G63" s="220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89">
        <f>'Données projet'!A72</f>
        <v>65</v>
      </c>
      <c r="B64" s="190">
        <f>'Données projet'!D72</f>
        <v>0</v>
      </c>
      <c r="C64" s="203"/>
      <c r="D64" s="188">
        <f t="shared" si="4"/>
        <v>0</v>
      </c>
      <c r="E64" s="203"/>
      <c r="F64" s="260"/>
      <c r="G64" s="220"/>
      <c r="H64" s="200"/>
      <c r="I64" s="201"/>
      <c r="J64" s="221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89">
        <f>'Données projet'!A73</f>
        <v>70</v>
      </c>
      <c r="B65" s="190">
        <f>'Données projet'!D73</f>
        <v>20.9</v>
      </c>
      <c r="C65" s="203">
        <v>40</v>
      </c>
      <c r="D65" s="188">
        <f t="shared" si="4"/>
        <v>836</v>
      </c>
      <c r="E65" s="203"/>
      <c r="F65" s="260"/>
      <c r="G65" s="220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89">
        <f>'Données projet'!A74</f>
        <v>75</v>
      </c>
      <c r="B66" s="190">
        <f>'Données projet'!D74</f>
        <v>0</v>
      </c>
      <c r="C66" s="203"/>
      <c r="D66" s="188">
        <f t="shared" si="4"/>
        <v>0</v>
      </c>
      <c r="E66" s="203"/>
      <c r="F66" s="260"/>
      <c r="G66" s="220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89">
        <f>'Données projet'!A75</f>
        <v>80</v>
      </c>
      <c r="B67" s="190">
        <f>'Données projet'!D75</f>
        <v>284.60000000000002</v>
      </c>
      <c r="C67" s="203">
        <v>80</v>
      </c>
      <c r="D67" s="188">
        <f t="shared" si="4"/>
        <v>22768</v>
      </c>
      <c r="E67" s="203"/>
      <c r="F67" s="260"/>
      <c r="G67" s="220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89">
        <f>'Données projet'!A76</f>
        <v>0</v>
      </c>
      <c r="B68" s="190">
        <f>'Données projet'!D76</f>
        <v>0</v>
      </c>
      <c r="C68" s="203"/>
      <c r="D68" s="188">
        <f t="shared" si="4"/>
        <v>0</v>
      </c>
      <c r="E68" s="203"/>
      <c r="F68" s="260"/>
      <c r="G68" s="220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89">
        <f>'Données projet'!A77</f>
        <v>0</v>
      </c>
      <c r="B69" s="190">
        <f>'Données projet'!D77</f>
        <v>0</v>
      </c>
      <c r="C69" s="201"/>
      <c r="D69" s="188">
        <f t="shared" si="4"/>
        <v>0</v>
      </c>
      <c r="E69" s="203"/>
      <c r="F69" s="260"/>
      <c r="G69" s="220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89">
        <f>'Données projet'!A78</f>
        <v>0</v>
      </c>
      <c r="B70" s="190">
        <f>'Données projet'!D78</f>
        <v>0</v>
      </c>
      <c r="C70" s="201"/>
      <c r="D70" s="188">
        <f t="shared" si="4"/>
        <v>0</v>
      </c>
      <c r="E70" s="203"/>
      <c r="F70" s="260"/>
      <c r="G70" s="220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89">
        <f>'Données projet'!A79</f>
        <v>0</v>
      </c>
      <c r="B71" s="190">
        <f>'Données projet'!D79</f>
        <v>0</v>
      </c>
      <c r="C71" s="201"/>
      <c r="D71" s="188">
        <f t="shared" si="4"/>
        <v>0</v>
      </c>
      <c r="E71" s="203"/>
      <c r="F71" s="260"/>
      <c r="G71" s="220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89">
        <f>'Données projet'!A80</f>
        <v>0</v>
      </c>
      <c r="B72" s="190">
        <f>'Données projet'!D80</f>
        <v>0</v>
      </c>
      <c r="C72" s="201"/>
      <c r="D72" s="188">
        <f t="shared" si="4"/>
        <v>0</v>
      </c>
      <c r="E72" s="203"/>
      <c r="F72" s="260"/>
      <c r="G72" s="220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89">
        <f>'Données projet'!A81</f>
        <v>0</v>
      </c>
      <c r="B73" s="190">
        <f>'Données projet'!D81</f>
        <v>0</v>
      </c>
      <c r="C73" s="201"/>
      <c r="D73" s="188">
        <f t="shared" si="4"/>
        <v>0</v>
      </c>
      <c r="E73" s="203"/>
      <c r="F73" s="260"/>
      <c r="G73" s="220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8"/>
      <c r="G74" s="220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8"/>
      <c r="G75" s="220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3" t="str">
        <f>IF('Données projet'!B11="","",'Données projet'!B11)</f>
        <v>Merisier</v>
      </c>
      <c r="C76" s="5"/>
      <c r="D76" s="5"/>
      <c r="E76" s="5"/>
      <c r="F76" s="258"/>
      <c r="G76" s="220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8"/>
      <c r="G77" s="220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7">
        <v>0</v>
      </c>
      <c r="B79" s="210" t="s">
        <v>132</v>
      </c>
      <c r="C79" s="209" t="s">
        <v>132</v>
      </c>
      <c r="D79" s="208" t="s">
        <v>132</v>
      </c>
      <c r="E79" s="203"/>
      <c r="F79" s="259"/>
      <c r="G79" s="220"/>
      <c r="H79" s="200"/>
      <c r="I79" s="201"/>
      <c r="J79" s="5"/>
      <c r="K79" s="180"/>
      <c r="L79" s="5"/>
      <c r="M79" s="5"/>
      <c r="N79" s="5"/>
      <c r="O79" s="204" t="str">
        <f>IF(O78+1&lt;=MIN('Données projet'!$E$9:$E$18),O78+1,"STOP")</f>
        <v>STOP</v>
      </c>
      <c r="P79" s="194" t="e">
        <f t="shared" si="5"/>
        <v>#VALUE!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7">
        <v>1</v>
      </c>
      <c r="B80" s="210" t="s">
        <v>132</v>
      </c>
      <c r="C80" s="209" t="s">
        <v>132</v>
      </c>
      <c r="D80" s="208" t="s">
        <v>132</v>
      </c>
      <c r="E80" s="203"/>
      <c r="F80" s="259"/>
      <c r="G80" s="218"/>
      <c r="H80" s="200"/>
      <c r="I80" s="201"/>
      <c r="J80" s="5"/>
      <c r="K80" s="180"/>
      <c r="L80" s="5"/>
      <c r="M80" s="5"/>
      <c r="N80" s="5"/>
      <c r="O80" s="204" t="e">
        <f>IF(O79+1&lt;=MIN('Données projet'!$E$9:$E$18),O79+1,"STOP")</f>
        <v>#VALUE!</v>
      </c>
      <c r="P80" s="194" t="e">
        <f t="shared" si="5"/>
        <v>#VALUE!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7">
        <v>2</v>
      </c>
      <c r="B81" s="210" t="s">
        <v>132</v>
      </c>
      <c r="C81" s="209" t="s">
        <v>132</v>
      </c>
      <c r="D81" s="208" t="s">
        <v>132</v>
      </c>
      <c r="E81" s="203"/>
      <c r="F81" s="259"/>
      <c r="G81" s="218"/>
      <c r="H81" s="200"/>
      <c r="I81" s="201"/>
      <c r="J81" s="5"/>
      <c r="K81" s="180"/>
      <c r="L81" s="5"/>
      <c r="M81" s="5"/>
      <c r="N81" s="5"/>
      <c r="O81" s="204" t="e">
        <f>IF(O80+1&lt;=MIN('Données projet'!$E$9:$E$18),O80+1,"STOP")</f>
        <v>#VALUE!</v>
      </c>
      <c r="P81" s="194" t="e">
        <f t="shared" si="5"/>
        <v>#VALUE!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7">
        <v>3</v>
      </c>
      <c r="B82" s="210" t="s">
        <v>132</v>
      </c>
      <c r="C82" s="209" t="s">
        <v>132</v>
      </c>
      <c r="D82" s="208" t="s">
        <v>132</v>
      </c>
      <c r="E82" s="203"/>
      <c r="F82" s="259"/>
      <c r="G82" s="218"/>
      <c r="H82" s="200"/>
      <c r="I82" s="201"/>
      <c r="J82" s="5"/>
      <c r="K82" s="180"/>
      <c r="L82" s="5"/>
      <c r="M82" s="5"/>
      <c r="N82" s="5"/>
      <c r="O82" s="204" t="e">
        <f>IF(O81+1&lt;=MIN('Données projet'!$E$9:$E$18),O81+1,"STOP")</f>
        <v>#VALUE!</v>
      </c>
      <c r="P82" s="194" t="e">
        <f t="shared" si="5"/>
        <v>#VALUE!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7">
        <v>4</v>
      </c>
      <c r="B83" s="210" t="s">
        <v>132</v>
      </c>
      <c r="C83" s="209" t="s">
        <v>132</v>
      </c>
      <c r="D83" s="208" t="s">
        <v>132</v>
      </c>
      <c r="E83" s="203"/>
      <c r="F83" s="259"/>
      <c r="G83" s="218"/>
      <c r="H83" s="200"/>
      <c r="I83" s="201"/>
      <c r="J83" s="5"/>
      <c r="K83" s="180"/>
      <c r="L83" s="5"/>
      <c r="M83" s="5"/>
      <c r="N83" s="5"/>
      <c r="O83" s="204" t="e">
        <f>IF(O82+1&lt;=MIN('Données projet'!$E$9:$E$18),O82+1,"STOP")</f>
        <v>#VALUE!</v>
      </c>
      <c r="P83" s="194" t="e">
        <f t="shared" si="5"/>
        <v>#VALUE!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7">
        <v>5</v>
      </c>
      <c r="B84" s="210" t="s">
        <v>132</v>
      </c>
      <c r="C84" s="209" t="s">
        <v>132</v>
      </c>
      <c r="D84" s="208" t="s">
        <v>132</v>
      </c>
      <c r="E84" s="203"/>
      <c r="F84" s="259"/>
      <c r="G84" s="219"/>
      <c r="H84" s="200"/>
      <c r="I84" s="201"/>
      <c r="J84" s="5"/>
      <c r="K84" s="180"/>
      <c r="L84" s="5"/>
      <c r="M84" s="5"/>
      <c r="N84" s="5"/>
      <c r="O84" s="204" t="e">
        <f>IF(O83+1&lt;=MIN('Données projet'!$E$9:$E$18),O83+1,"STOP")</f>
        <v>#VALUE!</v>
      </c>
      <c r="P84" s="194" t="e">
        <f t="shared" si="5"/>
        <v>#VALUE!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89">
        <f>'Données projet'!A88</f>
        <v>15</v>
      </c>
      <c r="B85" s="190">
        <f>'Données projet'!D88</f>
        <v>0</v>
      </c>
      <c r="C85" s="201"/>
      <c r="D85" s="188">
        <f>B85*C85</f>
        <v>0</v>
      </c>
      <c r="E85" s="203"/>
      <c r="F85" s="260"/>
      <c r="G85" s="219"/>
      <c r="H85" s="200"/>
      <c r="I85" s="201"/>
      <c r="J85" s="5"/>
      <c r="K85" s="180"/>
      <c r="L85" s="5"/>
      <c r="M85" s="5"/>
      <c r="N85" s="5"/>
      <c r="O85" s="204" t="e">
        <f>IF(O84+1&lt;=MIN('Données projet'!$E$9:$E$18),O84+1,"STOP")</f>
        <v>#VALUE!</v>
      </c>
      <c r="P85" s="194" t="e">
        <f t="shared" si="5"/>
        <v>#VALUE!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89">
        <f>'Données projet'!A89</f>
        <v>20</v>
      </c>
      <c r="B86" s="190">
        <f>'Données projet'!D89</f>
        <v>28</v>
      </c>
      <c r="C86" s="201">
        <v>10</v>
      </c>
      <c r="D86" s="188">
        <f t="shared" ref="D86:D104" si="6">B86*C86</f>
        <v>280</v>
      </c>
      <c r="E86" s="203"/>
      <c r="F86" s="260"/>
      <c r="G86" s="219"/>
      <c r="H86" s="200"/>
      <c r="I86" s="201"/>
      <c r="J86" s="5"/>
      <c r="K86" s="180"/>
      <c r="L86" s="5"/>
      <c r="M86" s="5"/>
      <c r="N86" s="5"/>
      <c r="O86" s="204" t="e">
        <f>IF(O85+1&lt;=MIN('Données projet'!$E$9:$E$18),O85+1,"STOP")</f>
        <v>#VALUE!</v>
      </c>
      <c r="P86" s="194" t="e">
        <f t="shared" si="5"/>
        <v>#VALUE!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89">
        <f>'Données projet'!A90</f>
        <v>25</v>
      </c>
      <c r="B87" s="190">
        <f>'Données projet'!D90</f>
        <v>27</v>
      </c>
      <c r="C87" s="201">
        <v>10</v>
      </c>
      <c r="D87" s="188">
        <f t="shared" si="6"/>
        <v>270</v>
      </c>
      <c r="E87" s="203"/>
      <c r="F87" s="260"/>
      <c r="G87" s="219"/>
      <c r="H87" s="200"/>
      <c r="I87" s="201"/>
      <c r="J87" s="5"/>
      <c r="K87" s="180"/>
      <c r="L87" s="5"/>
      <c r="M87" s="5"/>
      <c r="N87" s="5"/>
      <c r="O87" s="204" t="e">
        <f>IF(O86+1&lt;=MIN('Données projet'!$E$9:$E$18),O86+1,"STOP")</f>
        <v>#VALUE!</v>
      </c>
      <c r="P87" s="194" t="e">
        <f t="shared" si="5"/>
        <v>#VALUE!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89">
        <f>'Données projet'!A91</f>
        <v>31</v>
      </c>
      <c r="B88" s="190">
        <f>'Données projet'!D91</f>
        <v>36</v>
      </c>
      <c r="C88" s="201">
        <v>15</v>
      </c>
      <c r="D88" s="188">
        <f t="shared" si="6"/>
        <v>540</v>
      </c>
      <c r="E88" s="203"/>
      <c r="F88" s="260"/>
      <c r="G88" s="219"/>
      <c r="H88" s="200"/>
      <c r="I88" s="201"/>
      <c r="J88" s="5"/>
      <c r="K88" s="180"/>
      <c r="L88" s="5"/>
      <c r="M88" s="5"/>
      <c r="N88" s="5"/>
      <c r="O88" s="204" t="e">
        <f>IF(O87+1&lt;=MIN('Données projet'!$E$9:$E$18),O87+1,"STOP")</f>
        <v>#VALUE!</v>
      </c>
      <c r="P88" s="194" t="e">
        <f t="shared" si="5"/>
        <v>#VALUE!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89">
        <f>'Données projet'!A92</f>
        <v>37</v>
      </c>
      <c r="B89" s="190">
        <f>'Données projet'!D92</f>
        <v>36</v>
      </c>
      <c r="C89" s="201">
        <v>15</v>
      </c>
      <c r="D89" s="188">
        <f t="shared" si="6"/>
        <v>540</v>
      </c>
      <c r="E89" s="203"/>
      <c r="F89" s="260"/>
      <c r="G89" s="219"/>
      <c r="H89" s="200"/>
      <c r="I89" s="201"/>
      <c r="J89" s="5"/>
      <c r="K89" s="180"/>
      <c r="L89" s="5"/>
      <c r="M89" s="5"/>
      <c r="N89" s="5"/>
      <c r="O89" s="204" t="e">
        <f>IF(O88+1&lt;=MIN('Données projet'!$E$9:$E$18),O88+1,"STOP")</f>
        <v>#VALUE!</v>
      </c>
      <c r="P89" s="194" t="e">
        <f t="shared" si="5"/>
        <v>#VALUE!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89">
        <f>'Données projet'!A93</f>
        <v>44</v>
      </c>
      <c r="B90" s="190">
        <f>'Données projet'!D93</f>
        <v>43</v>
      </c>
      <c r="C90" s="201">
        <v>20</v>
      </c>
      <c r="D90" s="188">
        <f t="shared" si="6"/>
        <v>860</v>
      </c>
      <c r="E90" s="203"/>
      <c r="F90" s="260"/>
      <c r="G90" s="219"/>
      <c r="H90" s="200"/>
      <c r="I90" s="201"/>
      <c r="J90" s="5"/>
      <c r="K90" s="180"/>
      <c r="L90" s="5"/>
      <c r="M90" s="5"/>
      <c r="N90" s="5"/>
      <c r="O90" s="204" t="e">
        <f>IF(O89+1&lt;=MIN('Données projet'!$E$9:$E$18),O89+1,"STOP")</f>
        <v>#VALUE!</v>
      </c>
      <c r="P90" s="194" t="e">
        <f t="shared" si="5"/>
        <v>#VALUE!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89">
        <f>'Données projet'!A94</f>
        <v>52</v>
      </c>
      <c r="B91" s="190">
        <f>'Données projet'!D94</f>
        <v>48</v>
      </c>
      <c r="C91" s="201">
        <v>30</v>
      </c>
      <c r="D91" s="188">
        <f t="shared" si="6"/>
        <v>1440</v>
      </c>
      <c r="E91" s="203"/>
      <c r="F91" s="260"/>
      <c r="G91" s="220"/>
      <c r="H91" s="200"/>
      <c r="I91" s="201"/>
      <c r="J91" s="5"/>
      <c r="K91" s="180"/>
      <c r="L91" s="5"/>
      <c r="M91" s="5"/>
      <c r="N91" s="5"/>
      <c r="O91" s="204" t="e">
        <f>IF(O90+1&lt;=MIN('Données projet'!$E$9:$E$18),O90+1,"STOP")</f>
        <v>#VALUE!</v>
      </c>
      <c r="P91" s="194" t="e">
        <f t="shared" si="5"/>
        <v>#VALUE!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89">
        <f>'Données projet'!A95</f>
        <v>60</v>
      </c>
      <c r="B92" s="190">
        <f>'Données projet'!D95</f>
        <v>47</v>
      </c>
      <c r="C92" s="201">
        <v>50</v>
      </c>
      <c r="D92" s="188">
        <f t="shared" si="6"/>
        <v>2350</v>
      </c>
      <c r="E92" s="203"/>
      <c r="F92" s="260"/>
      <c r="G92" s="220"/>
      <c r="H92" s="200"/>
      <c r="I92" s="201"/>
      <c r="J92" s="5"/>
      <c r="K92" s="180"/>
      <c r="L92" s="5"/>
      <c r="M92" s="5"/>
      <c r="N92" s="5"/>
      <c r="O92" s="204" t="e">
        <f>IF(O91+1&lt;=MIN('Données projet'!$E$9:$E$18),O91+1,"STOP")</f>
        <v>#VALUE!</v>
      </c>
      <c r="P92" s="194" t="e">
        <f t="shared" si="5"/>
        <v>#VALUE!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89">
        <f>'Données projet'!A96</f>
        <v>69</v>
      </c>
      <c r="B93" s="190">
        <f>'Données projet'!D96</f>
        <v>328</v>
      </c>
      <c r="C93" s="201">
        <v>200</v>
      </c>
      <c r="D93" s="188">
        <f t="shared" si="6"/>
        <v>65600</v>
      </c>
      <c r="E93" s="203"/>
      <c r="F93" s="260"/>
      <c r="G93" s="220"/>
      <c r="H93" s="200"/>
      <c r="I93" s="201"/>
      <c r="J93" s="5"/>
      <c r="K93" s="180"/>
      <c r="L93" s="5"/>
      <c r="M93" s="5"/>
      <c r="N93" s="5"/>
      <c r="O93" s="204" t="e">
        <f>IF(O92+1&lt;=MIN('Données projet'!$E$9:$E$18),O92+1,"STOP")</f>
        <v>#VALUE!</v>
      </c>
      <c r="P93" s="194" t="e">
        <f t="shared" si="5"/>
        <v>#VALUE!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89">
        <f>'Données projet'!A97</f>
        <v>0</v>
      </c>
      <c r="B94" s="190">
        <f>'Données projet'!D97</f>
        <v>0</v>
      </c>
      <c r="C94" s="201"/>
      <c r="D94" s="188">
        <f t="shared" si="6"/>
        <v>0</v>
      </c>
      <c r="E94" s="203"/>
      <c r="F94" s="260"/>
      <c r="G94" s="220"/>
      <c r="H94" s="200"/>
      <c r="I94" s="201"/>
      <c r="J94" s="5"/>
      <c r="K94" s="180"/>
      <c r="L94" s="5"/>
      <c r="M94" s="5"/>
      <c r="N94" s="5"/>
      <c r="O94" s="204" t="e">
        <f>IF(O93+1&lt;=MIN('Données projet'!$E$9:$E$18),O93+1,"STOP")</f>
        <v>#VALUE!</v>
      </c>
      <c r="P94" s="194" t="e">
        <f t="shared" si="5"/>
        <v>#VALUE!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89">
        <f>'Données projet'!A98</f>
        <v>0</v>
      </c>
      <c r="B95" s="190">
        <f>'Données projet'!D98</f>
        <v>0</v>
      </c>
      <c r="C95" s="201"/>
      <c r="D95" s="188">
        <f t="shared" si="6"/>
        <v>0</v>
      </c>
      <c r="E95" s="203"/>
      <c r="F95" s="260"/>
      <c r="G95" s="220"/>
      <c r="H95" s="200"/>
      <c r="I95" s="201"/>
      <c r="J95" s="5"/>
      <c r="K95" s="180"/>
      <c r="L95" s="5"/>
      <c r="M95" s="5"/>
      <c r="N95" s="5"/>
      <c r="O95" s="204" t="e">
        <f>IF(O94+1&lt;=MIN('Données projet'!$E$9:$E$18),O94+1,"STOP")</f>
        <v>#VALUE!</v>
      </c>
      <c r="P95" s="194" t="e">
        <f t="shared" si="5"/>
        <v>#VALUE!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89">
        <f>'Données projet'!A99</f>
        <v>0</v>
      </c>
      <c r="B96" s="190">
        <f>'Données projet'!D99</f>
        <v>0</v>
      </c>
      <c r="C96" s="201"/>
      <c r="D96" s="188">
        <f t="shared" si="6"/>
        <v>0</v>
      </c>
      <c r="E96" s="203"/>
      <c r="F96" s="260"/>
      <c r="G96" s="220"/>
      <c r="H96" s="200"/>
      <c r="I96" s="201"/>
      <c r="J96" s="5"/>
      <c r="K96" s="180"/>
      <c r="L96" s="5"/>
      <c r="M96" s="5"/>
      <c r="N96" s="5"/>
      <c r="O96" s="204" t="e">
        <f>IF(O95+1&lt;=MIN('Données projet'!$E$9:$E$18),O95+1,"STOP")</f>
        <v>#VALUE!</v>
      </c>
      <c r="P96" s="194" t="e">
        <f t="shared" si="5"/>
        <v>#VALUE!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89">
        <f>'Données projet'!A100</f>
        <v>0</v>
      </c>
      <c r="B97" s="190">
        <f>'Données projet'!D100</f>
        <v>0</v>
      </c>
      <c r="C97" s="201"/>
      <c r="D97" s="188">
        <f t="shared" si="6"/>
        <v>0</v>
      </c>
      <c r="E97" s="203"/>
      <c r="F97" s="260"/>
      <c r="G97" s="220"/>
      <c r="H97" s="200"/>
      <c r="I97" s="201"/>
      <c r="J97" s="5"/>
      <c r="K97" s="180"/>
      <c r="L97" s="5"/>
      <c r="M97" s="5"/>
      <c r="N97" s="5"/>
      <c r="O97" s="204" t="e">
        <f>IF(O96+1&lt;=MIN('Données projet'!$E$9:$E$18),O96+1,"STOP")</f>
        <v>#VALUE!</v>
      </c>
      <c r="P97" s="194" t="e">
        <f t="shared" ref="P97:P128" si="7">$P$25/(1+$M$4)^O97</f>
        <v>#VALUE!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89">
        <f>'Données projet'!A101</f>
        <v>0</v>
      </c>
      <c r="B98" s="190">
        <f>'Données projet'!D101</f>
        <v>0</v>
      </c>
      <c r="C98" s="203"/>
      <c r="D98" s="188">
        <f t="shared" si="6"/>
        <v>0</v>
      </c>
      <c r="E98" s="203"/>
      <c r="F98" s="260"/>
      <c r="G98" s="220"/>
      <c r="H98" s="200"/>
      <c r="I98" s="201"/>
      <c r="J98" s="5"/>
      <c r="K98" s="180"/>
      <c r="L98" s="5"/>
      <c r="M98" s="5"/>
      <c r="N98" s="5"/>
      <c r="O98" s="204" t="e">
        <f>IF(O97+1&lt;=MIN('Données projet'!$E$9:$E$18),O97+1,"STOP")</f>
        <v>#VALUE!</v>
      </c>
      <c r="P98" s="194" t="e">
        <f t="shared" si="7"/>
        <v>#VALUE!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89">
        <f>'Données projet'!A102</f>
        <v>0</v>
      </c>
      <c r="B99" s="190">
        <f>'Données projet'!D102</f>
        <v>0</v>
      </c>
      <c r="C99" s="203"/>
      <c r="D99" s="188">
        <f t="shared" si="6"/>
        <v>0</v>
      </c>
      <c r="E99" s="203"/>
      <c r="F99" s="260"/>
      <c r="G99" s="220"/>
      <c r="H99" s="200"/>
      <c r="I99" s="201"/>
      <c r="J99" s="5"/>
      <c r="K99" s="180"/>
      <c r="L99" s="5"/>
      <c r="M99" s="5"/>
      <c r="N99" s="5"/>
      <c r="O99" s="204" t="e">
        <f>IF(O98+1&lt;=MIN('Données projet'!$E$9:$E$18),O98+1,"STOP")</f>
        <v>#VALUE!</v>
      </c>
      <c r="P99" s="194" t="e">
        <f t="shared" si="7"/>
        <v>#VALUE!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89">
        <f>'Données projet'!A103</f>
        <v>0</v>
      </c>
      <c r="B100" s="190">
        <f>'Données projet'!D103</f>
        <v>0</v>
      </c>
      <c r="C100" s="203"/>
      <c r="D100" s="188">
        <f t="shared" si="6"/>
        <v>0</v>
      </c>
      <c r="E100" s="203"/>
      <c r="F100" s="260"/>
      <c r="G100" s="220"/>
      <c r="H100" s="200"/>
      <c r="I100" s="201"/>
      <c r="J100" s="5"/>
      <c r="K100" s="180"/>
      <c r="L100" s="5"/>
      <c r="M100" s="5"/>
      <c r="N100" s="5"/>
      <c r="O100" s="204" t="e">
        <f>IF(O99+1&lt;=MIN('Données projet'!$E$9:$E$18),O99+1,"STOP")</f>
        <v>#VALUE!</v>
      </c>
      <c r="P100" s="194" t="e">
        <f t="shared" si="7"/>
        <v>#VALUE!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89">
        <f>'Données projet'!A104</f>
        <v>0</v>
      </c>
      <c r="B101" s="190">
        <f>'Données projet'!D104</f>
        <v>0</v>
      </c>
      <c r="C101" s="203"/>
      <c r="D101" s="188">
        <f t="shared" si="6"/>
        <v>0</v>
      </c>
      <c r="E101" s="203"/>
      <c r="F101" s="260"/>
      <c r="G101" s="220"/>
      <c r="H101" s="200"/>
      <c r="I101" s="201"/>
      <c r="J101" s="5"/>
      <c r="K101" s="180"/>
      <c r="L101" s="5"/>
      <c r="M101" s="5"/>
      <c r="N101" s="5"/>
      <c r="O101" s="204" t="e">
        <f>IF(O100+1&lt;=MIN('Données projet'!$E$9:$E$18),O100+1,"STOP")</f>
        <v>#VALUE!</v>
      </c>
      <c r="P101" s="194" t="e">
        <f t="shared" si="7"/>
        <v>#VALUE!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89">
        <f>'Données projet'!A105</f>
        <v>0</v>
      </c>
      <c r="B102" s="190">
        <f>'Données projet'!D105</f>
        <v>0</v>
      </c>
      <c r="C102" s="203"/>
      <c r="D102" s="188">
        <f t="shared" si="6"/>
        <v>0</v>
      </c>
      <c r="E102" s="203"/>
      <c r="F102" s="260"/>
      <c r="G102" s="220"/>
      <c r="H102" s="200"/>
      <c r="I102" s="201"/>
      <c r="J102" s="5"/>
      <c r="K102" s="180"/>
      <c r="L102" s="5"/>
      <c r="M102" s="5"/>
      <c r="N102" s="5"/>
      <c r="O102" s="204" t="e">
        <f>IF(O101+1&lt;=MIN('Données projet'!$E$9:$E$18),O101+1,"STOP")</f>
        <v>#VALUE!</v>
      </c>
      <c r="P102" s="194" t="e">
        <f t="shared" si="7"/>
        <v>#VALUE!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89">
        <f>'Données projet'!A106</f>
        <v>0</v>
      </c>
      <c r="B103" s="190">
        <f>'Données projet'!D106</f>
        <v>0</v>
      </c>
      <c r="C103" s="203"/>
      <c r="D103" s="188">
        <f t="shared" si="6"/>
        <v>0</v>
      </c>
      <c r="E103" s="203"/>
      <c r="F103" s="260"/>
      <c r="G103" s="220"/>
      <c r="H103" s="200"/>
      <c r="I103" s="201"/>
      <c r="J103" s="5"/>
      <c r="K103" s="180"/>
      <c r="L103" s="5"/>
      <c r="M103" s="5"/>
      <c r="N103" s="5"/>
      <c r="O103" s="204" t="e">
        <f>IF(O102+1&lt;=MIN('Données projet'!$E$9:$E$18),O102+1,"STOP")</f>
        <v>#VALUE!</v>
      </c>
      <c r="P103" s="194" t="e">
        <f t="shared" si="7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89">
        <f>'Données projet'!A107</f>
        <v>0</v>
      </c>
      <c r="B104" s="190">
        <f>'Données projet'!D107</f>
        <v>0</v>
      </c>
      <c r="C104" s="203"/>
      <c r="D104" s="188">
        <f t="shared" si="6"/>
        <v>0</v>
      </c>
      <c r="E104" s="203"/>
      <c r="F104" s="260"/>
      <c r="G104" s="220"/>
      <c r="H104" s="200"/>
      <c r="I104" s="201"/>
      <c r="J104" s="5"/>
      <c r="K104" s="180"/>
      <c r="L104" s="5"/>
      <c r="M104" s="5"/>
      <c r="N104" s="5"/>
      <c r="O104" s="204" t="e">
        <f>IF(O103+1&lt;=MIN('Données projet'!$E$9:$E$18),O103+1,"STOP")</f>
        <v>#VALUE!</v>
      </c>
      <c r="P104" s="194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8"/>
      <c r="G105" s="220"/>
      <c r="H105" s="200"/>
      <c r="I105" s="201"/>
      <c r="J105" s="5"/>
      <c r="K105" s="180"/>
      <c r="L105" s="5"/>
      <c r="M105" s="5"/>
      <c r="N105" s="5"/>
      <c r="O105" s="204" t="e">
        <f>IF(O104+1&lt;=MIN('Données projet'!$E$9:$E$18),O104+1,"STOP")</f>
        <v>#VALUE!</v>
      </c>
      <c r="P105" s="194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8"/>
      <c r="G106" s="220"/>
      <c r="H106" s="200"/>
      <c r="I106" s="201"/>
      <c r="J106" s="5"/>
      <c r="K106" s="180"/>
      <c r="L106" s="5"/>
      <c r="M106" s="5"/>
      <c r="N106" s="5"/>
      <c r="O106" s="204" t="e">
        <f>IF(O105+1&lt;=MIN('Données projet'!$E$9:$E$18),O105+1,"STOP")</f>
        <v>#VALUE!</v>
      </c>
      <c r="P106" s="194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3" t="str">
        <f>IF('Données projet'!B12="","",'Données projet'!B12)</f>
        <v>Robinier faux-acacia</v>
      </c>
      <c r="C107" s="5"/>
      <c r="D107" s="5"/>
      <c r="E107" s="5"/>
      <c r="F107" s="258"/>
      <c r="G107" s="220"/>
      <c r="H107" s="200"/>
      <c r="I107" s="201"/>
      <c r="J107" s="5"/>
      <c r="K107" s="180"/>
      <c r="L107" s="5"/>
      <c r="M107" s="5"/>
      <c r="N107" s="5"/>
      <c r="O107" s="204" t="e">
        <f>IF(O106+1&lt;=MIN('Données projet'!$E$9:$E$18),O106+1,"STOP")</f>
        <v>#VALUE!</v>
      </c>
      <c r="P107" s="194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8"/>
      <c r="G108" s="220"/>
      <c r="H108" s="200"/>
      <c r="I108" s="201"/>
      <c r="J108" s="5"/>
      <c r="K108" s="180"/>
      <c r="L108" s="5"/>
      <c r="M108" s="5"/>
      <c r="N108" s="5"/>
      <c r="O108" s="204" t="e">
        <f>IF(O107+1&lt;=MIN('Données projet'!$E$9:$E$18),O107+1,"STOP")</f>
        <v>#VALUE!</v>
      </c>
      <c r="P108" s="194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0"/>
      <c r="I109" s="201"/>
      <c r="J109" s="5"/>
      <c r="K109" s="180"/>
      <c r="L109" s="5"/>
      <c r="M109" s="5"/>
      <c r="N109" s="5"/>
      <c r="O109" s="204" t="e">
        <f>IF(O108+1&lt;=MIN('Données projet'!$E$9:$E$18),O108+1,"STOP")</f>
        <v>#VALUE!</v>
      </c>
      <c r="P109" s="194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7">
        <v>0</v>
      </c>
      <c r="B110" s="210" t="s">
        <v>132</v>
      </c>
      <c r="C110" s="209" t="s">
        <v>132</v>
      </c>
      <c r="D110" s="208" t="s">
        <v>132</v>
      </c>
      <c r="E110" s="203"/>
      <c r="F110" s="259"/>
      <c r="G110" s="220"/>
      <c r="H110" s="200"/>
      <c r="I110" s="201"/>
      <c r="J110" s="5"/>
      <c r="K110" s="180"/>
      <c r="L110" s="5"/>
      <c r="M110" s="5"/>
      <c r="N110" s="5"/>
      <c r="O110" s="204" t="e">
        <f>IF(O109+1&lt;=MIN('Données projet'!$E$9:$E$18),O109+1,"STOP")</f>
        <v>#VALUE!</v>
      </c>
      <c r="P110" s="194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7">
        <v>1</v>
      </c>
      <c r="B111" s="210" t="s">
        <v>132</v>
      </c>
      <c r="C111" s="209" t="s">
        <v>132</v>
      </c>
      <c r="D111" s="208" t="s">
        <v>132</v>
      </c>
      <c r="E111" s="203"/>
      <c r="F111" s="259"/>
      <c r="G111" s="218"/>
      <c r="H111" s="200"/>
      <c r="I111" s="201"/>
      <c r="J111" s="5"/>
      <c r="K111" s="180"/>
      <c r="L111" s="5"/>
      <c r="M111" s="5"/>
      <c r="N111" s="5"/>
      <c r="O111" s="204" t="e">
        <f>IF(O110+1&lt;=MIN('Données projet'!$E$9:$E$18),O110+1,"STOP")</f>
        <v>#VALUE!</v>
      </c>
      <c r="P111" s="194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7">
        <v>2</v>
      </c>
      <c r="B112" s="210" t="s">
        <v>132</v>
      </c>
      <c r="C112" s="209" t="s">
        <v>132</v>
      </c>
      <c r="D112" s="208" t="s">
        <v>132</v>
      </c>
      <c r="E112" s="203"/>
      <c r="F112" s="259"/>
      <c r="G112" s="218"/>
      <c r="H112" s="200"/>
      <c r="I112" s="201"/>
      <c r="J112" s="5"/>
      <c r="K112" s="180"/>
      <c r="L112" s="5"/>
      <c r="M112" s="5"/>
      <c r="N112" s="5"/>
      <c r="O112" s="204" t="e">
        <f>IF(O111+1&lt;=MIN('Données projet'!$E$9:$E$18),O111+1,"STOP")</f>
        <v>#VALUE!</v>
      </c>
      <c r="P112" s="194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7">
        <v>3</v>
      </c>
      <c r="B113" s="210" t="s">
        <v>132</v>
      </c>
      <c r="C113" s="209" t="s">
        <v>132</v>
      </c>
      <c r="D113" s="208" t="s">
        <v>132</v>
      </c>
      <c r="E113" s="203"/>
      <c r="F113" s="259"/>
      <c r="G113" s="218"/>
      <c r="H113" s="200"/>
      <c r="I113" s="201"/>
      <c r="J113" s="5"/>
      <c r="K113" s="180"/>
      <c r="L113" s="5"/>
      <c r="M113" s="5"/>
      <c r="N113" s="5"/>
      <c r="O113" s="204" t="e">
        <f>IF(O112+1&lt;=MIN('Données projet'!$E$9:$E$18),O112+1,"STOP")</f>
        <v>#VALUE!</v>
      </c>
      <c r="P113" s="194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7">
        <v>4</v>
      </c>
      <c r="B114" s="210" t="s">
        <v>132</v>
      </c>
      <c r="C114" s="209" t="s">
        <v>132</v>
      </c>
      <c r="D114" s="208" t="s">
        <v>132</v>
      </c>
      <c r="E114" s="203"/>
      <c r="F114" s="259"/>
      <c r="G114" s="218"/>
      <c r="H114" s="200"/>
      <c r="I114" s="201"/>
      <c r="J114" s="5"/>
      <c r="K114" s="180"/>
      <c r="L114" s="5"/>
      <c r="M114" s="5"/>
      <c r="N114" s="5"/>
      <c r="O114" s="204" t="e">
        <f>IF(O113+1&lt;=MIN('Données projet'!$E$9:$E$18),O113+1,"STOP")</f>
        <v>#VALUE!</v>
      </c>
      <c r="P114" s="194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7">
        <v>5</v>
      </c>
      <c r="B115" s="210" t="s">
        <v>132</v>
      </c>
      <c r="C115" s="209" t="s">
        <v>132</v>
      </c>
      <c r="D115" s="208" t="s">
        <v>132</v>
      </c>
      <c r="E115" s="203"/>
      <c r="F115" s="259"/>
      <c r="G115" s="219"/>
      <c r="H115" s="200"/>
      <c r="I115" s="201"/>
      <c r="J115" s="5"/>
      <c r="K115" s="180"/>
      <c r="L115" s="5"/>
      <c r="M115" s="5"/>
      <c r="N115" s="5"/>
      <c r="O115" s="204" t="e">
        <f>IF(O114+1&lt;=MIN('Données projet'!$E$9:$E$18),O114+1,"STOP")</f>
        <v>#VALUE!</v>
      </c>
      <c r="P115" s="194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89">
        <f>'Données projet'!A114</f>
        <v>5</v>
      </c>
      <c r="B116" s="190">
        <f>'Données projet'!D114</f>
        <v>0</v>
      </c>
      <c r="C116" s="201"/>
      <c r="D116" s="188">
        <f>B116*C116</f>
        <v>0</v>
      </c>
      <c r="E116" s="203"/>
      <c r="F116" s="260"/>
      <c r="G116" s="219"/>
      <c r="H116" s="200"/>
      <c r="I116" s="201"/>
      <c r="J116" s="5"/>
      <c r="K116" s="180"/>
      <c r="L116" s="5"/>
      <c r="M116" s="5"/>
      <c r="N116" s="5"/>
      <c r="O116" s="204" t="e">
        <f>IF(O115+1&lt;=MIN('Données projet'!$E$9:$E$18),O115+1,"STOP")</f>
        <v>#VALUE!</v>
      </c>
      <c r="P116" s="194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89">
        <f>'Données projet'!A115</f>
        <v>10</v>
      </c>
      <c r="B117" s="190">
        <f>'Données projet'!D115</f>
        <v>0</v>
      </c>
      <c r="C117" s="201"/>
      <c r="D117" s="188">
        <f t="shared" ref="D117:D135" si="8">B117*C117</f>
        <v>0</v>
      </c>
      <c r="E117" s="203"/>
      <c r="F117" s="260"/>
      <c r="G117" s="219"/>
      <c r="H117" s="200"/>
      <c r="I117" s="201"/>
      <c r="J117" s="5"/>
      <c r="K117" s="180"/>
      <c r="L117" s="5"/>
      <c r="M117" s="5"/>
      <c r="N117" s="5"/>
      <c r="O117" s="204" t="e">
        <f>IF(O116+1&lt;=MIN('Données projet'!$E$9:$E$18),O116+1,"STOP")</f>
        <v>#VALUE!</v>
      </c>
      <c r="P117" s="194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89">
        <f>'Données projet'!A116</f>
        <v>15</v>
      </c>
      <c r="B118" s="190">
        <f>'Données projet'!D116</f>
        <v>0</v>
      </c>
      <c r="C118" s="201"/>
      <c r="D118" s="188">
        <f t="shared" si="8"/>
        <v>0</v>
      </c>
      <c r="E118" s="203"/>
      <c r="F118" s="260"/>
      <c r="G118" s="219"/>
      <c r="H118" s="200"/>
      <c r="I118" s="201"/>
      <c r="J118" s="5"/>
      <c r="K118" s="180"/>
      <c r="L118" s="5"/>
      <c r="M118" s="5"/>
      <c r="N118" s="5"/>
      <c r="O118" s="204" t="e">
        <f>IF(O117+1&lt;=MIN('Données projet'!$E$9:$E$18),O117+1,"STOP")</f>
        <v>#VALUE!</v>
      </c>
      <c r="P118" s="194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89">
        <f>'Données projet'!A117</f>
        <v>20</v>
      </c>
      <c r="B119" s="190">
        <f>'Données projet'!D117</f>
        <v>56</v>
      </c>
      <c r="C119" s="201">
        <v>10</v>
      </c>
      <c r="D119" s="188">
        <f t="shared" si="8"/>
        <v>560</v>
      </c>
      <c r="E119" s="203"/>
      <c r="F119" s="260"/>
      <c r="G119" s="219"/>
      <c r="H119" s="200"/>
      <c r="I119" s="201"/>
      <c r="J119" s="5"/>
      <c r="K119" s="180"/>
      <c r="L119" s="5"/>
      <c r="M119" s="5"/>
      <c r="N119" s="5"/>
      <c r="O119" s="204" t="e">
        <f>IF(O118+1&lt;=MIN('Données projet'!$E$9:$E$18),O118+1,"STOP")</f>
        <v>#VALUE!</v>
      </c>
      <c r="P119" s="194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89">
        <f>'Données projet'!A118</f>
        <v>25</v>
      </c>
      <c r="B120" s="190">
        <f>'Données projet'!D118</f>
        <v>0</v>
      </c>
      <c r="C120" s="201"/>
      <c r="D120" s="188">
        <f t="shared" si="8"/>
        <v>0</v>
      </c>
      <c r="E120" s="203"/>
      <c r="F120" s="260"/>
      <c r="G120" s="219"/>
      <c r="H120" s="200"/>
      <c r="I120" s="201"/>
      <c r="J120" s="5"/>
      <c r="K120" s="180"/>
      <c r="L120" s="5"/>
      <c r="M120" s="5"/>
      <c r="N120" s="5"/>
      <c r="O120" s="204" t="e">
        <f>IF(O119+1&lt;=MIN('Données projet'!$E$9:$E$18),O119+1,"STOP")</f>
        <v>#VALUE!</v>
      </c>
      <c r="P120" s="194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89">
        <f>'Données projet'!A119</f>
        <v>30</v>
      </c>
      <c r="B121" s="190">
        <f>'Données projet'!D119</f>
        <v>20</v>
      </c>
      <c r="C121" s="201">
        <v>15</v>
      </c>
      <c r="D121" s="188">
        <f t="shared" si="8"/>
        <v>300</v>
      </c>
      <c r="E121" s="203"/>
      <c r="F121" s="260"/>
      <c r="G121" s="219"/>
      <c r="H121" s="200"/>
      <c r="I121" s="201"/>
      <c r="J121" s="5"/>
      <c r="K121" s="180"/>
      <c r="L121" s="5"/>
      <c r="M121" s="5"/>
      <c r="N121" s="5"/>
      <c r="O121" s="204" t="e">
        <f>IF(O120+1&lt;=MIN('Données projet'!$E$9:$E$18),O120+1,"STOP")</f>
        <v>#VALUE!</v>
      </c>
      <c r="P121" s="194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89">
        <f>'Données projet'!A120</f>
        <v>35</v>
      </c>
      <c r="B122" s="190">
        <f>'Données projet'!D120</f>
        <v>0</v>
      </c>
      <c r="C122" s="201"/>
      <c r="D122" s="188">
        <f t="shared" si="8"/>
        <v>0</v>
      </c>
      <c r="E122" s="203"/>
      <c r="F122" s="260"/>
      <c r="G122" s="220"/>
      <c r="H122" s="200"/>
      <c r="I122" s="201"/>
      <c r="J122" s="5"/>
      <c r="K122" s="180"/>
      <c r="L122" s="5"/>
      <c r="M122" s="5"/>
      <c r="N122" s="5"/>
      <c r="O122" s="204" t="e">
        <f>IF(O121+1&lt;=MIN('Données projet'!$E$9:$E$18),O121+1,"STOP")</f>
        <v>#VALUE!</v>
      </c>
      <c r="P122" s="194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89">
        <f>'Données projet'!A121</f>
        <v>40</v>
      </c>
      <c r="B123" s="190">
        <f>'Données projet'!D121</f>
        <v>0</v>
      </c>
      <c r="C123" s="201"/>
      <c r="D123" s="188">
        <f t="shared" si="8"/>
        <v>0</v>
      </c>
      <c r="E123" s="203"/>
      <c r="F123" s="260"/>
      <c r="G123" s="220"/>
      <c r="H123" s="200"/>
      <c r="I123" s="201"/>
      <c r="J123" s="5"/>
      <c r="K123" s="180"/>
      <c r="L123" s="5"/>
      <c r="M123" s="5"/>
      <c r="N123" s="5"/>
      <c r="O123" s="204" t="e">
        <f>IF(O122+1&lt;=MIN('Données projet'!$E$9:$E$18),O122+1,"STOP")</f>
        <v>#VALUE!</v>
      </c>
      <c r="P123" s="194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89">
        <f>'Données projet'!A122</f>
        <v>45</v>
      </c>
      <c r="B124" s="190">
        <f>'Données projet'!D122</f>
        <v>266</v>
      </c>
      <c r="C124" s="201">
        <v>40</v>
      </c>
      <c r="D124" s="188">
        <f t="shared" si="8"/>
        <v>10640</v>
      </c>
      <c r="E124" s="203"/>
      <c r="F124" s="260"/>
      <c r="G124" s="220"/>
      <c r="H124" s="200"/>
      <c r="I124" s="201"/>
      <c r="J124" s="5"/>
      <c r="K124" s="180"/>
      <c r="L124" s="5"/>
      <c r="M124" s="5"/>
      <c r="N124" s="5"/>
      <c r="O124" s="204" t="e">
        <f>IF(O123+1&lt;=MIN('Données projet'!$E$9:$E$18),O123+1,"STOP")</f>
        <v>#VALUE!</v>
      </c>
      <c r="P124" s="194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89">
        <f>'Données projet'!A123</f>
        <v>0</v>
      </c>
      <c r="B125" s="190">
        <f>'Données projet'!D123</f>
        <v>0</v>
      </c>
      <c r="C125" s="201"/>
      <c r="D125" s="188">
        <f t="shared" si="8"/>
        <v>0</v>
      </c>
      <c r="E125" s="203"/>
      <c r="F125" s="260"/>
      <c r="G125" s="220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89">
        <f>'Données projet'!A124</f>
        <v>0</v>
      </c>
      <c r="B126" s="190">
        <f>'Données projet'!D124</f>
        <v>0</v>
      </c>
      <c r="C126" s="201"/>
      <c r="D126" s="188">
        <f t="shared" si="8"/>
        <v>0</v>
      </c>
      <c r="E126" s="203"/>
      <c r="F126" s="260"/>
      <c r="G126" s="220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89">
        <f>'Données projet'!A125</f>
        <v>0</v>
      </c>
      <c r="B127" s="190">
        <f>'Données projet'!D125</f>
        <v>0</v>
      </c>
      <c r="C127" s="201"/>
      <c r="D127" s="188">
        <f t="shared" si="8"/>
        <v>0</v>
      </c>
      <c r="E127" s="203"/>
      <c r="F127" s="260"/>
      <c r="G127" s="220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89">
        <f>'Données projet'!A126</f>
        <v>0</v>
      </c>
      <c r="B128" s="190">
        <f>'Données projet'!D126</f>
        <v>0</v>
      </c>
      <c r="C128" s="201"/>
      <c r="D128" s="188">
        <f t="shared" si="8"/>
        <v>0</v>
      </c>
      <c r="E128" s="203"/>
      <c r="F128" s="260"/>
      <c r="G128" s="220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89">
        <f>'Données projet'!A127</f>
        <v>0</v>
      </c>
      <c r="B129" s="190">
        <f>'Données projet'!D127</f>
        <v>0</v>
      </c>
      <c r="C129" s="201"/>
      <c r="D129" s="188">
        <f t="shared" si="8"/>
        <v>0</v>
      </c>
      <c r="E129" s="203"/>
      <c r="F129" s="260"/>
      <c r="G129" s="220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89">
        <f>'Données projet'!A128</f>
        <v>0</v>
      </c>
      <c r="B130" s="190">
        <f>'Données projet'!D128</f>
        <v>0</v>
      </c>
      <c r="C130" s="201"/>
      <c r="D130" s="188">
        <f t="shared" si="8"/>
        <v>0</v>
      </c>
      <c r="E130" s="203"/>
      <c r="F130" s="260"/>
      <c r="G130" s="220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89">
        <f>'Données projet'!A129</f>
        <v>0</v>
      </c>
      <c r="B131" s="190">
        <f>'Données projet'!D129</f>
        <v>0</v>
      </c>
      <c r="C131" s="203"/>
      <c r="D131" s="188">
        <f t="shared" si="8"/>
        <v>0</v>
      </c>
      <c r="E131" s="203"/>
      <c r="F131" s="260"/>
      <c r="G131" s="220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89">
        <f>'Données projet'!A130</f>
        <v>0</v>
      </c>
      <c r="B132" s="190">
        <f>'Données projet'!D130</f>
        <v>0</v>
      </c>
      <c r="C132" s="203"/>
      <c r="D132" s="188">
        <f t="shared" si="8"/>
        <v>0</v>
      </c>
      <c r="E132" s="203"/>
      <c r="F132" s="260"/>
      <c r="G132" s="220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89">
        <f>'Données projet'!A131</f>
        <v>0</v>
      </c>
      <c r="B133" s="190">
        <f>'Données projet'!D131</f>
        <v>0</v>
      </c>
      <c r="C133" s="203"/>
      <c r="D133" s="188">
        <f t="shared" si="8"/>
        <v>0</v>
      </c>
      <c r="E133" s="203"/>
      <c r="F133" s="260"/>
      <c r="G133" s="220"/>
      <c r="H133" s="200"/>
      <c r="I133" s="201"/>
      <c r="J133" s="5"/>
      <c r="K133" s="180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89">
        <f>'Données projet'!A132</f>
        <v>0</v>
      </c>
      <c r="B134" s="190">
        <f>'Données projet'!D132</f>
        <v>0</v>
      </c>
      <c r="C134" s="203"/>
      <c r="D134" s="188">
        <f t="shared" si="8"/>
        <v>0</v>
      </c>
      <c r="E134" s="203"/>
      <c r="F134" s="260"/>
      <c r="G134" s="220"/>
      <c r="H134" s="200"/>
      <c r="I134" s="201"/>
      <c r="J134" s="5"/>
      <c r="K134" s="180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89">
        <f>'Données projet'!A133</f>
        <v>0</v>
      </c>
      <c r="B135" s="190">
        <f>'Données projet'!D133</f>
        <v>0</v>
      </c>
      <c r="C135" s="203"/>
      <c r="D135" s="188">
        <f t="shared" si="8"/>
        <v>0</v>
      </c>
      <c r="E135" s="203"/>
      <c r="F135" s="260"/>
      <c r="G135" s="220"/>
      <c r="H135" s="200"/>
      <c r="I135" s="201"/>
      <c r="J135" s="5"/>
      <c r="K135" s="180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8"/>
      <c r="G136" s="220"/>
      <c r="H136" s="200"/>
      <c r="I136" s="201"/>
      <c r="J136" s="5"/>
      <c r="K136" s="180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8"/>
      <c r="G137" s="220"/>
      <c r="H137" s="200"/>
      <c r="I137" s="201"/>
      <c r="J137" s="5"/>
      <c r="K137" s="180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3" t="str">
        <f>IF('Données projet'!B13="","",'Données projet'!B13)</f>
        <v/>
      </c>
      <c r="C138" s="5"/>
      <c r="D138" s="5"/>
      <c r="E138" s="5"/>
      <c r="F138" s="258"/>
      <c r="G138" s="220"/>
      <c r="H138" s="200"/>
      <c r="I138" s="201"/>
      <c r="J138" s="5"/>
      <c r="K138" s="180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8"/>
      <c r="G139" s="220"/>
      <c r="H139" s="200"/>
      <c r="I139" s="201"/>
      <c r="J139" s="5"/>
      <c r="K139" s="180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0"/>
      <c r="I140" s="201"/>
      <c r="J140" s="5"/>
      <c r="K140" s="180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7">
        <v>0</v>
      </c>
      <c r="B141" s="210" t="s">
        <v>132</v>
      </c>
      <c r="C141" s="209" t="s">
        <v>132</v>
      </c>
      <c r="D141" s="208" t="s">
        <v>132</v>
      </c>
      <c r="E141" s="203"/>
      <c r="F141" s="259"/>
      <c r="G141" s="220"/>
      <c r="H141" s="200"/>
      <c r="I141" s="201"/>
      <c r="J141" s="5"/>
      <c r="K141" s="180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7">
        <v>1</v>
      </c>
      <c r="B142" s="210" t="s">
        <v>132</v>
      </c>
      <c r="C142" s="209" t="s">
        <v>132</v>
      </c>
      <c r="D142" s="208" t="s">
        <v>132</v>
      </c>
      <c r="E142" s="203"/>
      <c r="F142" s="259"/>
      <c r="G142" s="218"/>
      <c r="H142" s="200"/>
      <c r="I142" s="201"/>
      <c r="J142" s="5"/>
      <c r="K142" s="180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7">
        <v>2</v>
      </c>
      <c r="B143" s="210" t="s">
        <v>132</v>
      </c>
      <c r="C143" s="209" t="s">
        <v>132</v>
      </c>
      <c r="D143" s="208" t="s">
        <v>132</v>
      </c>
      <c r="E143" s="203"/>
      <c r="F143" s="259"/>
      <c r="G143" s="218"/>
      <c r="H143" s="200"/>
      <c r="I143" s="201"/>
      <c r="J143" s="5"/>
      <c r="K143" s="180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7">
        <v>3</v>
      </c>
      <c r="B144" s="210" t="s">
        <v>132</v>
      </c>
      <c r="C144" s="209" t="s">
        <v>132</v>
      </c>
      <c r="D144" s="208" t="s">
        <v>132</v>
      </c>
      <c r="E144" s="203"/>
      <c r="F144" s="259"/>
      <c r="G144" s="218"/>
      <c r="H144" s="200"/>
      <c r="I144" s="201"/>
      <c r="J144" s="5"/>
      <c r="K144" s="180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7">
        <v>4</v>
      </c>
      <c r="B145" s="210" t="s">
        <v>132</v>
      </c>
      <c r="C145" s="209" t="s">
        <v>132</v>
      </c>
      <c r="D145" s="208" t="s">
        <v>132</v>
      </c>
      <c r="E145" s="203"/>
      <c r="F145" s="259"/>
      <c r="G145" s="218"/>
      <c r="H145" s="200"/>
      <c r="I145" s="201"/>
      <c r="J145" s="5"/>
      <c r="K145" s="180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7">
        <v>5</v>
      </c>
      <c r="B146" s="210" t="s">
        <v>132</v>
      </c>
      <c r="C146" s="209" t="s">
        <v>132</v>
      </c>
      <c r="D146" s="208" t="s">
        <v>132</v>
      </c>
      <c r="E146" s="203"/>
      <c r="F146" s="259"/>
      <c r="G146" s="219"/>
      <c r="H146" s="200"/>
      <c r="I146" s="201"/>
      <c r="J146" s="5"/>
      <c r="K146" s="180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4">
        <f>'Données projet'!D140</f>
        <v>0</v>
      </c>
      <c r="C147" s="201"/>
      <c r="D147" s="191">
        <f>B147*C147</f>
        <v>0</v>
      </c>
      <c r="E147" s="203"/>
      <c r="F147" s="261"/>
      <c r="G147" s="219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4">
        <f>'Données projet'!D141</f>
        <v>0</v>
      </c>
      <c r="C148" s="201"/>
      <c r="D148" s="191">
        <f t="shared" ref="D148:D166" si="10">B148*C148</f>
        <v>0</v>
      </c>
      <c r="E148" s="203"/>
      <c r="F148" s="261"/>
      <c r="G148" s="219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4">
        <f>'Données projet'!D142</f>
        <v>0</v>
      </c>
      <c r="C149" s="201"/>
      <c r="D149" s="191">
        <f t="shared" si="10"/>
        <v>0</v>
      </c>
      <c r="E149" s="203"/>
      <c r="F149" s="261"/>
      <c r="G149" s="219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4">
        <f>'Données projet'!D143</f>
        <v>0</v>
      </c>
      <c r="C150" s="201"/>
      <c r="D150" s="191">
        <f t="shared" si="10"/>
        <v>0</v>
      </c>
      <c r="E150" s="203"/>
      <c r="F150" s="261"/>
      <c r="G150" s="219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4">
        <f>'Données projet'!D144</f>
        <v>0</v>
      </c>
      <c r="C151" s="201"/>
      <c r="D151" s="191">
        <f t="shared" si="10"/>
        <v>0</v>
      </c>
      <c r="E151" s="203"/>
      <c r="F151" s="261"/>
      <c r="G151" s="219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4">
        <f>'Données projet'!D145</f>
        <v>0</v>
      </c>
      <c r="C152" s="201"/>
      <c r="D152" s="191">
        <f t="shared" si="10"/>
        <v>0</v>
      </c>
      <c r="E152" s="203"/>
      <c r="F152" s="261"/>
      <c r="G152" s="219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4">
        <f>'Données projet'!D146</f>
        <v>0</v>
      </c>
      <c r="C153" s="201"/>
      <c r="D153" s="191">
        <f t="shared" si="10"/>
        <v>0</v>
      </c>
      <c r="E153" s="203"/>
      <c r="F153" s="261"/>
      <c r="G153" s="215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4">
        <f>'Données projet'!D147</f>
        <v>0</v>
      </c>
      <c r="C154" s="201"/>
      <c r="D154" s="191">
        <f t="shared" si="10"/>
        <v>0</v>
      </c>
      <c r="E154" s="203"/>
      <c r="F154" s="261"/>
      <c r="G154" s="215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4">
        <f>'Données projet'!D148</f>
        <v>0</v>
      </c>
      <c r="C155" s="201"/>
      <c r="D155" s="191">
        <f t="shared" si="10"/>
        <v>0</v>
      </c>
      <c r="E155" s="203"/>
      <c r="F155" s="261"/>
      <c r="G155" s="215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4">
        <f>'Données projet'!D149</f>
        <v>0</v>
      </c>
      <c r="C156" s="201"/>
      <c r="D156" s="191">
        <f t="shared" si="10"/>
        <v>0</v>
      </c>
      <c r="E156" s="203"/>
      <c r="F156" s="261"/>
      <c r="G156" s="215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4">
        <f>'Données projet'!D150</f>
        <v>0</v>
      </c>
      <c r="C157" s="201"/>
      <c r="D157" s="191">
        <f t="shared" si="10"/>
        <v>0</v>
      </c>
      <c r="E157" s="203"/>
      <c r="F157" s="261"/>
      <c r="G157" s="215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4">
        <f>'Données projet'!D151</f>
        <v>0</v>
      </c>
      <c r="C158" s="201"/>
      <c r="D158" s="191">
        <f t="shared" si="10"/>
        <v>0</v>
      </c>
      <c r="E158" s="203"/>
      <c r="F158" s="261"/>
      <c r="G158" s="215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4">
        <f>'Données projet'!D152</f>
        <v>0</v>
      </c>
      <c r="C159" s="201"/>
      <c r="D159" s="191">
        <f t="shared" si="10"/>
        <v>0</v>
      </c>
      <c r="E159" s="203"/>
      <c r="F159" s="261"/>
      <c r="G159" s="215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4">
        <f>'Données projet'!D153</f>
        <v>0</v>
      </c>
      <c r="C160" s="201"/>
      <c r="D160" s="191">
        <f t="shared" si="10"/>
        <v>0</v>
      </c>
      <c r="E160" s="203"/>
      <c r="F160" s="261"/>
      <c r="G160" s="215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4">
        <f>'Données projet'!D154</f>
        <v>0</v>
      </c>
      <c r="C161" s="203"/>
      <c r="D161" s="191">
        <f t="shared" si="10"/>
        <v>0</v>
      </c>
      <c r="E161" s="203"/>
      <c r="F161" s="261"/>
      <c r="G161" s="215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4">
        <f>'Données projet'!D155</f>
        <v>0</v>
      </c>
      <c r="C162" s="201"/>
      <c r="D162" s="191">
        <f t="shared" si="10"/>
        <v>0</v>
      </c>
      <c r="E162" s="203"/>
      <c r="F162" s="261"/>
      <c r="G162" s="215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4">
        <f>'Données projet'!D156</f>
        <v>0</v>
      </c>
      <c r="C163" s="201"/>
      <c r="D163" s="191">
        <f t="shared" si="10"/>
        <v>0</v>
      </c>
      <c r="E163" s="203"/>
      <c r="F163" s="261"/>
      <c r="G163" s="215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4">
        <f>'Données projet'!D157</f>
        <v>0</v>
      </c>
      <c r="C164" s="201"/>
      <c r="D164" s="191">
        <f t="shared" si="10"/>
        <v>0</v>
      </c>
      <c r="E164" s="203"/>
      <c r="F164" s="261"/>
      <c r="G164" s="215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4">
        <f>'Données projet'!D158</f>
        <v>0</v>
      </c>
      <c r="C165" s="201"/>
      <c r="D165" s="191">
        <f t="shared" si="10"/>
        <v>0</v>
      </c>
      <c r="E165" s="203"/>
      <c r="F165" s="261"/>
      <c r="G165" s="215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4">
        <f>'Données projet'!D159</f>
        <v>0</v>
      </c>
      <c r="C166" s="201"/>
      <c r="D166" s="191">
        <f t="shared" si="10"/>
        <v>0</v>
      </c>
      <c r="E166" s="203"/>
      <c r="F166" s="261"/>
      <c r="G166" s="215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8"/>
      <c r="G167" s="215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8"/>
      <c r="G168" s="215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3" t="str">
        <f>IF('Données projet'!B14="","",'Données projet'!B14)</f>
        <v/>
      </c>
      <c r="C169" s="5"/>
      <c r="D169" s="5"/>
      <c r="E169" s="5"/>
      <c r="F169" s="258"/>
      <c r="G169" s="215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8"/>
      <c r="G170" s="215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7">
        <v>0</v>
      </c>
      <c r="B172" s="210" t="s">
        <v>132</v>
      </c>
      <c r="C172" s="209" t="s">
        <v>132</v>
      </c>
      <c r="D172" s="208" t="s">
        <v>132</v>
      </c>
      <c r="E172" s="203"/>
      <c r="F172" s="259"/>
      <c r="G172" s="215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7">
        <v>1</v>
      </c>
      <c r="B173" s="210" t="s">
        <v>132</v>
      </c>
      <c r="C173" s="209" t="s">
        <v>132</v>
      </c>
      <c r="D173" s="208" t="s">
        <v>132</v>
      </c>
      <c r="E173" s="203"/>
      <c r="F173" s="259"/>
      <c r="G173" s="218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7">
        <v>2</v>
      </c>
      <c r="B174" s="210" t="s">
        <v>132</v>
      </c>
      <c r="C174" s="209" t="s">
        <v>132</v>
      </c>
      <c r="D174" s="208" t="s">
        <v>132</v>
      </c>
      <c r="E174" s="203"/>
      <c r="F174" s="259"/>
      <c r="G174" s="218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7">
        <v>3</v>
      </c>
      <c r="B175" s="210" t="s">
        <v>132</v>
      </c>
      <c r="C175" s="209" t="s">
        <v>132</v>
      </c>
      <c r="D175" s="208" t="s">
        <v>132</v>
      </c>
      <c r="E175" s="203"/>
      <c r="F175" s="259"/>
      <c r="G175" s="218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7">
        <v>4</v>
      </c>
      <c r="B176" s="210" t="s">
        <v>132</v>
      </c>
      <c r="C176" s="209" t="s">
        <v>132</v>
      </c>
      <c r="D176" s="208" t="s">
        <v>132</v>
      </c>
      <c r="E176" s="203"/>
      <c r="F176" s="259"/>
      <c r="G176" s="218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7">
        <v>5</v>
      </c>
      <c r="B177" s="210" t="s">
        <v>132</v>
      </c>
      <c r="C177" s="209" t="s">
        <v>132</v>
      </c>
      <c r="D177" s="208" t="s">
        <v>132</v>
      </c>
      <c r="E177" s="203"/>
      <c r="F177" s="259"/>
      <c r="G177" s="219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89">
        <f>'Données projet'!A166</f>
        <v>0</v>
      </c>
      <c r="B178" s="190">
        <f>'Données projet'!D166</f>
        <v>0</v>
      </c>
      <c r="C178" s="203"/>
      <c r="D178" s="188">
        <f>B178*C178</f>
        <v>0</v>
      </c>
      <c r="E178" s="203"/>
      <c r="F178" s="260"/>
      <c r="G178" s="219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89">
        <f>'Données projet'!A167</f>
        <v>0</v>
      </c>
      <c r="B179" s="190">
        <f>'Données projet'!D167</f>
        <v>0</v>
      </c>
      <c r="C179" s="201"/>
      <c r="D179" s="188">
        <f t="shared" ref="D179:D197" si="11">B179*C179</f>
        <v>0</v>
      </c>
      <c r="E179" s="203"/>
      <c r="F179" s="260"/>
      <c r="G179" s="219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89">
        <f>'Données projet'!A168</f>
        <v>0</v>
      </c>
      <c r="B180" s="190">
        <f>'Données projet'!D168</f>
        <v>0</v>
      </c>
      <c r="C180" s="201"/>
      <c r="D180" s="188">
        <f t="shared" si="11"/>
        <v>0</v>
      </c>
      <c r="E180" s="203"/>
      <c r="F180" s="260"/>
      <c r="G180" s="219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89">
        <f>'Données projet'!A169</f>
        <v>0</v>
      </c>
      <c r="B181" s="190">
        <f>'Données projet'!D169</f>
        <v>0</v>
      </c>
      <c r="C181" s="201"/>
      <c r="D181" s="188">
        <f t="shared" si="11"/>
        <v>0</v>
      </c>
      <c r="E181" s="203"/>
      <c r="F181" s="260"/>
      <c r="G181" s="219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89">
        <f>'Données projet'!A170</f>
        <v>0</v>
      </c>
      <c r="B182" s="190">
        <f>'Données projet'!D170</f>
        <v>0</v>
      </c>
      <c r="C182" s="201"/>
      <c r="D182" s="188">
        <f t="shared" si="11"/>
        <v>0</v>
      </c>
      <c r="E182" s="203"/>
      <c r="F182" s="260"/>
      <c r="G182" s="219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89">
        <f>'Données projet'!A171</f>
        <v>0</v>
      </c>
      <c r="B183" s="190">
        <f>'Données projet'!D171</f>
        <v>0</v>
      </c>
      <c r="C183" s="201"/>
      <c r="D183" s="188">
        <f t="shared" si="11"/>
        <v>0</v>
      </c>
      <c r="E183" s="203"/>
      <c r="F183" s="260"/>
      <c r="G183" s="219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89">
        <f>'Données projet'!A172</f>
        <v>0</v>
      </c>
      <c r="B184" s="190">
        <f>'Données projet'!D172</f>
        <v>0</v>
      </c>
      <c r="C184" s="201"/>
      <c r="D184" s="188">
        <f t="shared" si="11"/>
        <v>0</v>
      </c>
      <c r="E184" s="203"/>
      <c r="F184" s="260"/>
      <c r="G184" s="220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89">
        <f>'Données projet'!A173</f>
        <v>0</v>
      </c>
      <c r="B185" s="190">
        <f>'Données projet'!D173</f>
        <v>0</v>
      </c>
      <c r="C185" s="201"/>
      <c r="D185" s="188">
        <f t="shared" si="11"/>
        <v>0</v>
      </c>
      <c r="E185" s="203"/>
      <c r="F185" s="260"/>
      <c r="G185" s="220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89">
        <f>'Données projet'!A174</f>
        <v>0</v>
      </c>
      <c r="B186" s="190">
        <f>'Données projet'!D174</f>
        <v>0</v>
      </c>
      <c r="C186" s="201"/>
      <c r="D186" s="188">
        <f t="shared" si="11"/>
        <v>0</v>
      </c>
      <c r="E186" s="203"/>
      <c r="F186" s="260"/>
      <c r="G186" s="220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89">
        <f>'Données projet'!A175</f>
        <v>0</v>
      </c>
      <c r="B187" s="190">
        <f>'Données projet'!D175</f>
        <v>0</v>
      </c>
      <c r="C187" s="201"/>
      <c r="D187" s="188">
        <f t="shared" si="11"/>
        <v>0</v>
      </c>
      <c r="E187" s="203"/>
      <c r="F187" s="260"/>
      <c r="G187" s="220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89">
        <f>'Données projet'!A176</f>
        <v>0</v>
      </c>
      <c r="B188" s="190">
        <f>'Données projet'!D176</f>
        <v>0</v>
      </c>
      <c r="C188" s="201"/>
      <c r="D188" s="188">
        <f t="shared" si="11"/>
        <v>0</v>
      </c>
      <c r="E188" s="203"/>
      <c r="F188" s="260"/>
      <c r="G188" s="220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89">
        <f>'Données projet'!A177</f>
        <v>0</v>
      </c>
      <c r="B189" s="190">
        <f>'Données projet'!D177</f>
        <v>0</v>
      </c>
      <c r="C189" s="201"/>
      <c r="D189" s="188">
        <f t="shared" si="11"/>
        <v>0</v>
      </c>
      <c r="E189" s="203"/>
      <c r="F189" s="260"/>
      <c r="G189" s="220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89">
        <f>'Données projet'!A178</f>
        <v>0</v>
      </c>
      <c r="B190" s="190">
        <f>'Données projet'!D178</f>
        <v>0</v>
      </c>
      <c r="C190" s="201"/>
      <c r="D190" s="188">
        <f t="shared" si="11"/>
        <v>0</v>
      </c>
      <c r="E190" s="203"/>
      <c r="F190" s="260"/>
      <c r="G190" s="220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89">
        <f>'Données projet'!A179</f>
        <v>0</v>
      </c>
      <c r="B191" s="190">
        <f>'Données projet'!D179</f>
        <v>0</v>
      </c>
      <c r="C191" s="201"/>
      <c r="D191" s="188">
        <f t="shared" si="11"/>
        <v>0</v>
      </c>
      <c r="E191" s="203"/>
      <c r="F191" s="260"/>
      <c r="G191" s="220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89">
        <f>'Données projet'!A180</f>
        <v>0</v>
      </c>
      <c r="B192" s="190">
        <f>'Données projet'!D180</f>
        <v>0</v>
      </c>
      <c r="C192" s="203"/>
      <c r="D192" s="188">
        <f t="shared" si="11"/>
        <v>0</v>
      </c>
      <c r="E192" s="203"/>
      <c r="F192" s="260"/>
      <c r="G192" s="220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89">
        <f>'Données projet'!A181</f>
        <v>0</v>
      </c>
      <c r="B193" s="190">
        <f>'Données projet'!D181</f>
        <v>0</v>
      </c>
      <c r="C193" s="201"/>
      <c r="D193" s="188">
        <f t="shared" si="11"/>
        <v>0</v>
      </c>
      <c r="E193" s="203"/>
      <c r="F193" s="260"/>
      <c r="G193" s="220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89">
        <f>'Données projet'!A182</f>
        <v>0</v>
      </c>
      <c r="B194" s="190">
        <f>'Données projet'!D182</f>
        <v>0</v>
      </c>
      <c r="C194" s="201"/>
      <c r="D194" s="188">
        <f t="shared" si="11"/>
        <v>0</v>
      </c>
      <c r="E194" s="203"/>
      <c r="F194" s="260"/>
      <c r="G194" s="220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89">
        <f>'Données projet'!A183</f>
        <v>0</v>
      </c>
      <c r="B195" s="190">
        <f>'Données projet'!D183</f>
        <v>0</v>
      </c>
      <c r="C195" s="201"/>
      <c r="D195" s="188">
        <f t="shared" si="11"/>
        <v>0</v>
      </c>
      <c r="E195" s="203"/>
      <c r="F195" s="260"/>
      <c r="G195" s="220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89">
        <f>'Données projet'!A184</f>
        <v>0</v>
      </c>
      <c r="B196" s="190">
        <f>'Données projet'!D184</f>
        <v>0</v>
      </c>
      <c r="C196" s="201"/>
      <c r="D196" s="188">
        <f t="shared" si="11"/>
        <v>0</v>
      </c>
      <c r="E196" s="203"/>
      <c r="F196" s="260"/>
      <c r="G196" s="220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89">
        <f>'Données projet'!A185</f>
        <v>0</v>
      </c>
      <c r="B197" s="190">
        <f>'Données projet'!D185</f>
        <v>0</v>
      </c>
      <c r="C197" s="201"/>
      <c r="D197" s="188">
        <f t="shared" si="11"/>
        <v>0</v>
      </c>
      <c r="E197" s="203"/>
      <c r="F197" s="260"/>
      <c r="G197" s="220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8"/>
      <c r="G198" s="220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8"/>
      <c r="G199" s="220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3" t="str">
        <f>IF('Données projet'!$B$15="","",'Données projet'!$B$15)</f>
        <v/>
      </c>
      <c r="C200" s="5"/>
      <c r="D200" s="5"/>
      <c r="E200" s="5"/>
      <c r="F200" s="258"/>
      <c r="G200" s="220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8"/>
      <c r="G201" s="220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7">
        <v>0</v>
      </c>
      <c r="B203" s="210" t="s">
        <v>132</v>
      </c>
      <c r="C203" s="209" t="s">
        <v>132</v>
      </c>
      <c r="D203" s="208" t="s">
        <v>132</v>
      </c>
      <c r="E203" s="203"/>
      <c r="F203" s="259"/>
      <c r="G203" s="220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7">
        <v>1</v>
      </c>
      <c r="B204" s="210" t="s">
        <v>132</v>
      </c>
      <c r="C204" s="209" t="s">
        <v>132</v>
      </c>
      <c r="D204" s="208" t="s">
        <v>132</v>
      </c>
      <c r="E204" s="203"/>
      <c r="F204" s="259"/>
      <c r="G204" s="218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7">
        <v>2</v>
      </c>
      <c r="B205" s="210" t="s">
        <v>132</v>
      </c>
      <c r="C205" s="209" t="s">
        <v>132</v>
      </c>
      <c r="D205" s="208" t="s">
        <v>132</v>
      </c>
      <c r="E205" s="203"/>
      <c r="F205" s="259"/>
      <c r="G205" s="218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7">
        <v>3</v>
      </c>
      <c r="B206" s="210" t="s">
        <v>132</v>
      </c>
      <c r="C206" s="209" t="s">
        <v>132</v>
      </c>
      <c r="D206" s="208" t="s">
        <v>132</v>
      </c>
      <c r="E206" s="203"/>
      <c r="F206" s="259"/>
      <c r="G206" s="218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7">
        <v>4</v>
      </c>
      <c r="B207" s="210" t="s">
        <v>132</v>
      </c>
      <c r="C207" s="209" t="s">
        <v>132</v>
      </c>
      <c r="D207" s="208" t="s">
        <v>132</v>
      </c>
      <c r="E207" s="203"/>
      <c r="F207" s="259"/>
      <c r="G207" s="218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7">
        <v>5</v>
      </c>
      <c r="B208" s="210" t="s">
        <v>132</v>
      </c>
      <c r="C208" s="209" t="s">
        <v>132</v>
      </c>
      <c r="D208" s="208" t="s">
        <v>132</v>
      </c>
      <c r="E208" s="203"/>
      <c r="F208" s="259"/>
      <c r="G208" s="219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89">
        <f>'Données projet'!A192</f>
        <v>0</v>
      </c>
      <c r="B209" s="190">
        <f>'Données projet'!D192</f>
        <v>0</v>
      </c>
      <c r="C209" s="201"/>
      <c r="D209" s="188">
        <f>B209*C209</f>
        <v>0</v>
      </c>
      <c r="E209" s="203"/>
      <c r="F209" s="260"/>
      <c r="G209" s="219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89">
        <f>'Données projet'!A193</f>
        <v>0</v>
      </c>
      <c r="B210" s="190">
        <f>'Données projet'!D193</f>
        <v>0</v>
      </c>
      <c r="C210" s="201"/>
      <c r="D210" s="188">
        <f t="shared" ref="D210:D228" si="12">B210*C210</f>
        <v>0</v>
      </c>
      <c r="E210" s="203"/>
      <c r="F210" s="260"/>
      <c r="G210" s="219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89">
        <f>'Données projet'!A194</f>
        <v>0</v>
      </c>
      <c r="B211" s="190">
        <f>'Données projet'!D194</f>
        <v>0</v>
      </c>
      <c r="C211" s="201"/>
      <c r="D211" s="188">
        <f t="shared" si="12"/>
        <v>0</v>
      </c>
      <c r="E211" s="203"/>
      <c r="F211" s="260"/>
      <c r="G211" s="219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89">
        <f>'Données projet'!A195</f>
        <v>0</v>
      </c>
      <c r="B212" s="190">
        <f>'Données projet'!D195</f>
        <v>0</v>
      </c>
      <c r="C212" s="201"/>
      <c r="D212" s="188">
        <f t="shared" si="12"/>
        <v>0</v>
      </c>
      <c r="E212" s="203"/>
      <c r="F212" s="260"/>
      <c r="G212" s="219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89">
        <f>'Données projet'!A196</f>
        <v>0</v>
      </c>
      <c r="B213" s="190">
        <f>'Données projet'!D196</f>
        <v>0</v>
      </c>
      <c r="C213" s="201"/>
      <c r="D213" s="188">
        <f t="shared" si="12"/>
        <v>0</v>
      </c>
      <c r="E213" s="203"/>
      <c r="F213" s="260"/>
      <c r="G213" s="219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89">
        <f>'Données projet'!A197</f>
        <v>0</v>
      </c>
      <c r="B214" s="190">
        <f>'Données projet'!D197</f>
        <v>0</v>
      </c>
      <c r="C214" s="201"/>
      <c r="D214" s="188">
        <f t="shared" si="12"/>
        <v>0</v>
      </c>
      <c r="E214" s="203"/>
      <c r="F214" s="260"/>
      <c r="G214" s="219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89">
        <f>'Données projet'!A198</f>
        <v>0</v>
      </c>
      <c r="B215" s="190">
        <f>'Données projet'!D198</f>
        <v>0</v>
      </c>
      <c r="C215" s="201"/>
      <c r="D215" s="188">
        <f t="shared" si="12"/>
        <v>0</v>
      </c>
      <c r="E215" s="203"/>
      <c r="F215" s="260"/>
      <c r="G215" s="220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89">
        <f>'Données projet'!A199</f>
        <v>0</v>
      </c>
      <c r="B216" s="190">
        <f>'Données projet'!D199</f>
        <v>0</v>
      </c>
      <c r="C216" s="201"/>
      <c r="D216" s="188">
        <f t="shared" si="12"/>
        <v>0</v>
      </c>
      <c r="E216" s="203"/>
      <c r="F216" s="260"/>
      <c r="G216" s="220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89">
        <f>'Données projet'!A200</f>
        <v>0</v>
      </c>
      <c r="B217" s="190">
        <f>'Données projet'!D200</f>
        <v>0</v>
      </c>
      <c r="C217" s="201"/>
      <c r="D217" s="188">
        <f t="shared" si="12"/>
        <v>0</v>
      </c>
      <c r="E217" s="203"/>
      <c r="F217" s="260"/>
      <c r="G217" s="220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89">
        <f>'Données projet'!A201</f>
        <v>0</v>
      </c>
      <c r="B218" s="190">
        <f>'Données projet'!D201</f>
        <v>0</v>
      </c>
      <c r="C218" s="201"/>
      <c r="D218" s="188">
        <f t="shared" si="12"/>
        <v>0</v>
      </c>
      <c r="E218" s="203"/>
      <c r="F218" s="260"/>
      <c r="G218" s="220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89">
        <f>'Données projet'!A202</f>
        <v>0</v>
      </c>
      <c r="B219" s="190">
        <f>'Données projet'!D202</f>
        <v>0</v>
      </c>
      <c r="C219" s="201"/>
      <c r="D219" s="188">
        <f t="shared" si="12"/>
        <v>0</v>
      </c>
      <c r="E219" s="203"/>
      <c r="F219" s="260"/>
      <c r="G219" s="220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89">
        <f>'Données projet'!A203</f>
        <v>0</v>
      </c>
      <c r="B220" s="190">
        <f>'Données projet'!D203</f>
        <v>0</v>
      </c>
      <c r="C220" s="201"/>
      <c r="D220" s="188">
        <f t="shared" si="12"/>
        <v>0</v>
      </c>
      <c r="E220" s="203"/>
      <c r="F220" s="260"/>
      <c r="G220" s="220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89">
        <f>'Données projet'!A204</f>
        <v>0</v>
      </c>
      <c r="B221" s="190">
        <f>'Données projet'!D204</f>
        <v>0</v>
      </c>
      <c r="C221" s="201"/>
      <c r="D221" s="188">
        <f t="shared" si="12"/>
        <v>0</v>
      </c>
      <c r="E221" s="203"/>
      <c r="F221" s="260"/>
      <c r="G221" s="220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89">
        <f>'Données projet'!A205</f>
        <v>0</v>
      </c>
      <c r="B222" s="190">
        <f>'Données projet'!D205</f>
        <v>0</v>
      </c>
      <c r="C222" s="203"/>
      <c r="D222" s="188">
        <f t="shared" si="12"/>
        <v>0</v>
      </c>
      <c r="E222" s="203"/>
      <c r="F222" s="260"/>
      <c r="G222" s="220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89">
        <f>'Données projet'!A206</f>
        <v>0</v>
      </c>
      <c r="B223" s="190">
        <f>'Données projet'!D206</f>
        <v>0</v>
      </c>
      <c r="C223" s="203"/>
      <c r="D223" s="188">
        <f t="shared" si="12"/>
        <v>0</v>
      </c>
      <c r="E223" s="203"/>
      <c r="F223" s="260"/>
      <c r="G223" s="220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89">
        <f>'Données projet'!A207</f>
        <v>0</v>
      </c>
      <c r="B224" s="190">
        <f>'Données projet'!D207</f>
        <v>0</v>
      </c>
      <c r="C224" s="203"/>
      <c r="D224" s="188">
        <f t="shared" si="12"/>
        <v>0</v>
      </c>
      <c r="E224" s="203"/>
      <c r="F224" s="260"/>
      <c r="G224" s="220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89">
        <f>'Données projet'!A208</f>
        <v>0</v>
      </c>
      <c r="B225" s="190">
        <f>'Données projet'!D208</f>
        <v>0</v>
      </c>
      <c r="C225" s="203"/>
      <c r="D225" s="188">
        <f t="shared" si="12"/>
        <v>0</v>
      </c>
      <c r="E225" s="203"/>
      <c r="F225" s="260"/>
      <c r="G225" s="220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89">
        <f>'Données projet'!A209</f>
        <v>0</v>
      </c>
      <c r="B226" s="190">
        <f>'Données projet'!D209</f>
        <v>0</v>
      </c>
      <c r="C226" s="203"/>
      <c r="D226" s="188">
        <f t="shared" si="12"/>
        <v>0</v>
      </c>
      <c r="E226" s="203"/>
      <c r="F226" s="260"/>
      <c r="G226" s="220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89">
        <f>'Données projet'!A210</f>
        <v>0</v>
      </c>
      <c r="B227" s="190">
        <f>'Données projet'!D210</f>
        <v>0</v>
      </c>
      <c r="C227" s="203"/>
      <c r="D227" s="188">
        <f t="shared" si="12"/>
        <v>0</v>
      </c>
      <c r="E227" s="203"/>
      <c r="F227" s="260"/>
      <c r="G227" s="220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89">
        <f>'Données projet'!A211</f>
        <v>0</v>
      </c>
      <c r="B228" s="190">
        <f>'Données projet'!D211</f>
        <v>0</v>
      </c>
      <c r="C228" s="203"/>
      <c r="D228" s="188">
        <f t="shared" si="12"/>
        <v>0</v>
      </c>
      <c r="E228" s="203"/>
      <c r="F228" s="260"/>
      <c r="G228" s="220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3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7">
        <v>0</v>
      </c>
      <c r="B234" s="210" t="s">
        <v>132</v>
      </c>
      <c r="C234" s="209" t="s">
        <v>132</v>
      </c>
      <c r="D234" s="208" t="s">
        <v>132</v>
      </c>
      <c r="E234" s="203"/>
      <c r="F234" s="259"/>
      <c r="G234" s="220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7">
        <v>1</v>
      </c>
      <c r="B235" s="210" t="s">
        <v>132</v>
      </c>
      <c r="C235" s="209" t="s">
        <v>132</v>
      </c>
      <c r="D235" s="208" t="s">
        <v>132</v>
      </c>
      <c r="E235" s="203"/>
      <c r="F235" s="259"/>
      <c r="G235" s="218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7">
        <v>2</v>
      </c>
      <c r="B236" s="210" t="s">
        <v>132</v>
      </c>
      <c r="C236" s="209" t="s">
        <v>132</v>
      </c>
      <c r="D236" s="208" t="s">
        <v>132</v>
      </c>
      <c r="E236" s="203"/>
      <c r="F236" s="259"/>
      <c r="G236" s="218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7">
        <v>3</v>
      </c>
      <c r="B237" s="210" t="s">
        <v>132</v>
      </c>
      <c r="C237" s="209" t="s">
        <v>132</v>
      </c>
      <c r="D237" s="208" t="s">
        <v>132</v>
      </c>
      <c r="E237" s="203"/>
      <c r="F237" s="259"/>
      <c r="G237" s="218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7">
        <v>4</v>
      </c>
      <c r="B238" s="210" t="s">
        <v>132</v>
      </c>
      <c r="C238" s="209" t="s">
        <v>132</v>
      </c>
      <c r="D238" s="208" t="s">
        <v>132</v>
      </c>
      <c r="E238" s="203"/>
      <c r="F238" s="259"/>
      <c r="G238" s="218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7">
        <v>5</v>
      </c>
      <c r="B239" s="210" t="s">
        <v>132</v>
      </c>
      <c r="C239" s="209" t="s">
        <v>132</v>
      </c>
      <c r="D239" s="208" t="s">
        <v>132</v>
      </c>
      <c r="E239" s="203"/>
      <c r="F239" s="259"/>
      <c r="G239" s="219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89">
        <f>'Données projet'!A218</f>
        <v>0</v>
      </c>
      <c r="B240" s="190">
        <f>'Données projet'!D218</f>
        <v>0</v>
      </c>
      <c r="C240" s="203"/>
      <c r="D240" s="188">
        <f>B240*C240</f>
        <v>0</v>
      </c>
      <c r="E240" s="203"/>
      <c r="F240" s="260"/>
      <c r="G240" s="219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89">
        <f>'Données projet'!A219</f>
        <v>0</v>
      </c>
      <c r="B241" s="190">
        <f>'Données projet'!D219</f>
        <v>0</v>
      </c>
      <c r="C241" s="203"/>
      <c r="D241" s="188">
        <f t="shared" ref="D241:D259" si="13">B241*C241</f>
        <v>0</v>
      </c>
      <c r="E241" s="203"/>
      <c r="F241" s="260"/>
      <c r="G241" s="219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89">
        <f>'Données projet'!A220</f>
        <v>0</v>
      </c>
      <c r="B242" s="190">
        <f>'Données projet'!D220</f>
        <v>0</v>
      </c>
      <c r="C242" s="203"/>
      <c r="D242" s="188">
        <f t="shared" si="13"/>
        <v>0</v>
      </c>
      <c r="E242" s="203"/>
      <c r="F242" s="260"/>
      <c r="G242" s="219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89">
        <f>'Données projet'!A221</f>
        <v>0</v>
      </c>
      <c r="B243" s="190">
        <f>'Données projet'!D221</f>
        <v>0</v>
      </c>
      <c r="C243" s="203"/>
      <c r="D243" s="188">
        <f t="shared" si="13"/>
        <v>0</v>
      </c>
      <c r="E243" s="203"/>
      <c r="F243" s="260"/>
      <c r="G243" s="219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89">
        <f>'Données projet'!A222</f>
        <v>0</v>
      </c>
      <c r="B244" s="190">
        <f>'Données projet'!D222</f>
        <v>0</v>
      </c>
      <c r="C244" s="203"/>
      <c r="D244" s="188">
        <f t="shared" si="13"/>
        <v>0</v>
      </c>
      <c r="E244" s="203"/>
      <c r="F244" s="260"/>
      <c r="G244" s="219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89">
        <f>'Données projet'!A223</f>
        <v>0</v>
      </c>
      <c r="B245" s="190">
        <f>'Données projet'!D223</f>
        <v>0</v>
      </c>
      <c r="C245" s="203"/>
      <c r="D245" s="188">
        <f t="shared" si="13"/>
        <v>0</v>
      </c>
      <c r="E245" s="203"/>
      <c r="F245" s="260"/>
      <c r="G245" s="219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89">
        <f>'Données projet'!A224</f>
        <v>0</v>
      </c>
      <c r="B246" s="190">
        <f>'Données projet'!D224</f>
        <v>0</v>
      </c>
      <c r="C246" s="203"/>
      <c r="D246" s="188">
        <f t="shared" si="13"/>
        <v>0</v>
      </c>
      <c r="E246" s="203"/>
      <c r="F246" s="260"/>
      <c r="G246" s="220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89">
        <f>'Données projet'!A225</f>
        <v>0</v>
      </c>
      <c r="B247" s="190">
        <f>'Données projet'!D225</f>
        <v>0</v>
      </c>
      <c r="C247" s="203"/>
      <c r="D247" s="188">
        <f t="shared" si="13"/>
        <v>0</v>
      </c>
      <c r="E247" s="203"/>
      <c r="F247" s="260"/>
      <c r="G247" s="220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89">
        <f>'Données projet'!A226</f>
        <v>0</v>
      </c>
      <c r="B248" s="190">
        <f>'Données projet'!D226</f>
        <v>0</v>
      </c>
      <c r="C248" s="203"/>
      <c r="D248" s="188">
        <f t="shared" si="13"/>
        <v>0</v>
      </c>
      <c r="E248" s="203"/>
      <c r="F248" s="260"/>
      <c r="G248" s="220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89">
        <f>'Données projet'!A227</f>
        <v>0</v>
      </c>
      <c r="B249" s="190">
        <f>'Données projet'!D227</f>
        <v>0</v>
      </c>
      <c r="C249" s="203"/>
      <c r="D249" s="188">
        <f t="shared" si="13"/>
        <v>0</v>
      </c>
      <c r="E249" s="203"/>
      <c r="F249" s="260"/>
      <c r="G249" s="220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89">
        <f>'Données projet'!A228</f>
        <v>0</v>
      </c>
      <c r="B250" s="190">
        <f>'Données projet'!D228</f>
        <v>0</v>
      </c>
      <c r="C250" s="203"/>
      <c r="D250" s="188">
        <f t="shared" si="13"/>
        <v>0</v>
      </c>
      <c r="E250" s="203"/>
      <c r="F250" s="260"/>
      <c r="G250" s="220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89">
        <f>'Données projet'!A229</f>
        <v>0</v>
      </c>
      <c r="B251" s="190">
        <f>'Données projet'!D229</f>
        <v>0</v>
      </c>
      <c r="C251" s="203"/>
      <c r="D251" s="188">
        <f t="shared" si="13"/>
        <v>0</v>
      </c>
      <c r="E251" s="203"/>
      <c r="F251" s="260"/>
      <c r="G251" s="220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89">
        <f>'Données projet'!A230</f>
        <v>0</v>
      </c>
      <c r="B252" s="190">
        <f>'Données projet'!D230</f>
        <v>0</v>
      </c>
      <c r="C252" s="203"/>
      <c r="D252" s="188">
        <f t="shared" si="13"/>
        <v>0</v>
      </c>
      <c r="E252" s="203"/>
      <c r="F252" s="260"/>
      <c r="G252" s="220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89">
        <f>'Données projet'!A231</f>
        <v>0</v>
      </c>
      <c r="B253" s="190">
        <f>'Données projet'!D231</f>
        <v>0</v>
      </c>
      <c r="C253" s="203"/>
      <c r="D253" s="188">
        <f t="shared" si="13"/>
        <v>0</v>
      </c>
      <c r="E253" s="203"/>
      <c r="F253" s="260"/>
      <c r="G253" s="220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89">
        <f>'Données projet'!A232</f>
        <v>0</v>
      </c>
      <c r="B254" s="190">
        <f>'Données projet'!D232</f>
        <v>0</v>
      </c>
      <c r="C254" s="203"/>
      <c r="D254" s="188">
        <f t="shared" si="13"/>
        <v>0</v>
      </c>
      <c r="E254" s="203"/>
      <c r="F254" s="260"/>
      <c r="G254" s="220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89">
        <f>'Données projet'!A233</f>
        <v>0</v>
      </c>
      <c r="B255" s="190">
        <f>'Données projet'!D233</f>
        <v>0</v>
      </c>
      <c r="C255" s="203"/>
      <c r="D255" s="188">
        <f t="shared" si="13"/>
        <v>0</v>
      </c>
      <c r="E255" s="203"/>
      <c r="F255" s="260"/>
      <c r="G255" s="220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89">
        <f>'Données projet'!A234</f>
        <v>0</v>
      </c>
      <c r="B256" s="190">
        <f>'Données projet'!D234</f>
        <v>0</v>
      </c>
      <c r="C256" s="203"/>
      <c r="D256" s="188">
        <f t="shared" si="13"/>
        <v>0</v>
      </c>
      <c r="E256" s="203"/>
      <c r="F256" s="260"/>
      <c r="G256" s="220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89">
        <f>'Données projet'!A235</f>
        <v>0</v>
      </c>
      <c r="B257" s="190">
        <f>'Données projet'!D235</f>
        <v>0</v>
      </c>
      <c r="C257" s="203"/>
      <c r="D257" s="188">
        <f t="shared" si="13"/>
        <v>0</v>
      </c>
      <c r="E257" s="203"/>
      <c r="F257" s="260"/>
      <c r="G257" s="220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89">
        <f>'Données projet'!A236</f>
        <v>0</v>
      </c>
      <c r="B258" s="190">
        <f>'Données projet'!D236</f>
        <v>0</v>
      </c>
      <c r="C258" s="203"/>
      <c r="D258" s="188">
        <f t="shared" si="13"/>
        <v>0</v>
      </c>
      <c r="E258" s="203"/>
      <c r="F258" s="260"/>
      <c r="G258" s="220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89">
        <f>'Données projet'!A237</f>
        <v>0</v>
      </c>
      <c r="B259" s="190">
        <f>'Données projet'!D237</f>
        <v>0</v>
      </c>
      <c r="C259" s="203"/>
      <c r="D259" s="188">
        <f t="shared" si="13"/>
        <v>0</v>
      </c>
      <c r="E259" s="203"/>
      <c r="F259" s="260"/>
      <c r="G259" s="220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3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7">
        <v>0</v>
      </c>
      <c r="B265" s="210" t="s">
        <v>132</v>
      </c>
      <c r="C265" s="209" t="s">
        <v>132</v>
      </c>
      <c r="D265" s="208" t="s">
        <v>132</v>
      </c>
      <c r="E265" s="203"/>
      <c r="F265" s="259"/>
      <c r="G265" s="220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7">
        <v>1</v>
      </c>
      <c r="B266" s="210" t="s">
        <v>132</v>
      </c>
      <c r="C266" s="209" t="s">
        <v>132</v>
      </c>
      <c r="D266" s="208" t="s">
        <v>132</v>
      </c>
      <c r="E266" s="203"/>
      <c r="F266" s="259"/>
      <c r="G266" s="218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7">
        <v>2</v>
      </c>
      <c r="B267" s="210" t="s">
        <v>132</v>
      </c>
      <c r="C267" s="209" t="s">
        <v>132</v>
      </c>
      <c r="D267" s="208" t="s">
        <v>132</v>
      </c>
      <c r="E267" s="203"/>
      <c r="F267" s="259"/>
      <c r="G267" s="218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7">
        <v>3</v>
      </c>
      <c r="B268" s="210" t="s">
        <v>132</v>
      </c>
      <c r="C268" s="209" t="s">
        <v>132</v>
      </c>
      <c r="D268" s="208" t="s">
        <v>132</v>
      </c>
      <c r="E268" s="203"/>
      <c r="F268" s="259"/>
      <c r="G268" s="218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7">
        <v>4</v>
      </c>
      <c r="B269" s="210" t="s">
        <v>132</v>
      </c>
      <c r="C269" s="209" t="s">
        <v>132</v>
      </c>
      <c r="D269" s="208" t="s">
        <v>132</v>
      </c>
      <c r="E269" s="203"/>
      <c r="F269" s="259"/>
      <c r="G269" s="218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7">
        <v>5</v>
      </c>
      <c r="B270" s="210" t="s">
        <v>132</v>
      </c>
      <c r="C270" s="209" t="s">
        <v>132</v>
      </c>
      <c r="D270" s="208" t="s">
        <v>132</v>
      </c>
      <c r="E270" s="203"/>
      <c r="F270" s="259"/>
      <c r="G270" s="219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89">
        <f>'Données projet'!A244</f>
        <v>0</v>
      </c>
      <c r="B271" s="190">
        <f>'Données projet'!D244</f>
        <v>0</v>
      </c>
      <c r="C271" s="203"/>
      <c r="D271" s="188">
        <f>B271*C271</f>
        <v>0</v>
      </c>
      <c r="E271" s="203"/>
      <c r="F271" s="260"/>
      <c r="G271" s="219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89">
        <f>'Données projet'!A245</f>
        <v>0</v>
      </c>
      <c r="B272" s="190">
        <f>'Données projet'!D245</f>
        <v>0</v>
      </c>
      <c r="C272" s="203"/>
      <c r="D272" s="188">
        <f t="shared" ref="D272:D290" si="14">B272*C272</f>
        <v>0</v>
      </c>
      <c r="E272" s="203"/>
      <c r="F272" s="260"/>
      <c r="G272" s="219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89">
        <f>'Données projet'!A246</f>
        <v>0</v>
      </c>
      <c r="B273" s="190">
        <f>'Données projet'!D246</f>
        <v>0</v>
      </c>
      <c r="C273" s="201">
        <v>10</v>
      </c>
      <c r="D273" s="188">
        <f t="shared" si="14"/>
        <v>0</v>
      </c>
      <c r="E273" s="203"/>
      <c r="F273" s="260"/>
      <c r="G273" s="219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89">
        <f>'Données projet'!A247</f>
        <v>0</v>
      </c>
      <c r="B274" s="190">
        <f>'Données projet'!D247</f>
        <v>0</v>
      </c>
      <c r="C274" s="201"/>
      <c r="D274" s="188">
        <f t="shared" si="14"/>
        <v>0</v>
      </c>
      <c r="E274" s="203"/>
      <c r="F274" s="260"/>
      <c r="G274" s="219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89">
        <f>'Données projet'!A248</f>
        <v>0</v>
      </c>
      <c r="B275" s="190">
        <f>'Données projet'!D248</f>
        <v>0</v>
      </c>
      <c r="C275" s="201">
        <v>10</v>
      </c>
      <c r="D275" s="188">
        <f t="shared" si="14"/>
        <v>0</v>
      </c>
      <c r="E275" s="203"/>
      <c r="F275" s="260"/>
      <c r="G275" s="219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89">
        <f>'Données projet'!A249</f>
        <v>0</v>
      </c>
      <c r="B276" s="190">
        <f>'Données projet'!D249</f>
        <v>0</v>
      </c>
      <c r="C276" s="201"/>
      <c r="D276" s="188">
        <f t="shared" si="14"/>
        <v>0</v>
      </c>
      <c r="E276" s="203"/>
      <c r="F276" s="260"/>
      <c r="G276" s="219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89">
        <f>'Données projet'!A250</f>
        <v>0</v>
      </c>
      <c r="B277" s="190">
        <f>'Données projet'!D250</f>
        <v>0</v>
      </c>
      <c r="C277" s="201">
        <v>10</v>
      </c>
      <c r="D277" s="188">
        <f t="shared" si="14"/>
        <v>0</v>
      </c>
      <c r="E277" s="203"/>
      <c r="F277" s="260"/>
      <c r="G277" s="220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89">
        <f>'Données projet'!A251</f>
        <v>0</v>
      </c>
      <c r="B278" s="190">
        <f>'Données projet'!D251</f>
        <v>0</v>
      </c>
      <c r="C278" s="201"/>
      <c r="D278" s="188">
        <f t="shared" si="14"/>
        <v>0</v>
      </c>
      <c r="E278" s="203"/>
      <c r="F278" s="260"/>
      <c r="G278" s="220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89">
        <f>'Données projet'!A252</f>
        <v>0</v>
      </c>
      <c r="B279" s="190">
        <f>'Données projet'!D252</f>
        <v>0</v>
      </c>
      <c r="C279" s="201">
        <v>15</v>
      </c>
      <c r="D279" s="188">
        <f t="shared" si="14"/>
        <v>0</v>
      </c>
      <c r="E279" s="203"/>
      <c r="F279" s="260"/>
      <c r="G279" s="220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89">
        <f>'Données projet'!A253</f>
        <v>0</v>
      </c>
      <c r="B280" s="190">
        <f>'Données projet'!D253</f>
        <v>0</v>
      </c>
      <c r="C280" s="201"/>
      <c r="D280" s="188">
        <f t="shared" si="14"/>
        <v>0</v>
      </c>
      <c r="E280" s="203"/>
      <c r="F280" s="260"/>
      <c r="G280" s="220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89">
        <f>'Données projet'!A254</f>
        <v>0</v>
      </c>
      <c r="B281" s="190">
        <f>'Données projet'!D254</f>
        <v>0</v>
      </c>
      <c r="C281" s="201">
        <v>20</v>
      </c>
      <c r="D281" s="188">
        <f t="shared" si="14"/>
        <v>0</v>
      </c>
      <c r="E281" s="203"/>
      <c r="F281" s="260"/>
      <c r="G281" s="220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89">
        <f>'Données projet'!A255</f>
        <v>0</v>
      </c>
      <c r="B282" s="190">
        <f>'Données projet'!D255</f>
        <v>0</v>
      </c>
      <c r="C282" s="201"/>
      <c r="D282" s="188">
        <f t="shared" si="14"/>
        <v>0</v>
      </c>
      <c r="E282" s="203"/>
      <c r="F282" s="260"/>
      <c r="G282" s="220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89">
        <f>'Données projet'!A256</f>
        <v>0</v>
      </c>
      <c r="B283" s="190">
        <f>'Données projet'!D256</f>
        <v>0</v>
      </c>
      <c r="C283" s="201">
        <v>30</v>
      </c>
      <c r="D283" s="188">
        <f t="shared" si="14"/>
        <v>0</v>
      </c>
      <c r="E283" s="203"/>
      <c r="F283" s="260"/>
      <c r="G283" s="220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89">
        <f>'Données projet'!A257</f>
        <v>0</v>
      </c>
      <c r="B284" s="190">
        <f>'Données projet'!D257</f>
        <v>0</v>
      </c>
      <c r="C284" s="201"/>
      <c r="D284" s="188">
        <f t="shared" si="14"/>
        <v>0</v>
      </c>
      <c r="E284" s="203"/>
      <c r="F284" s="260"/>
      <c r="G284" s="220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89">
        <f>'Données projet'!A258</f>
        <v>0</v>
      </c>
      <c r="B285" s="190">
        <f>'Données projet'!D258</f>
        <v>0</v>
      </c>
      <c r="C285" s="201">
        <v>30</v>
      </c>
      <c r="D285" s="188">
        <f t="shared" si="14"/>
        <v>0</v>
      </c>
      <c r="E285" s="203"/>
      <c r="F285" s="260"/>
      <c r="G285" s="220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89">
        <f>'Données projet'!A259</f>
        <v>0</v>
      </c>
      <c r="B286" s="190">
        <f>'Données projet'!D259</f>
        <v>0</v>
      </c>
      <c r="C286" s="201"/>
      <c r="D286" s="188">
        <f t="shared" si="14"/>
        <v>0</v>
      </c>
      <c r="E286" s="203"/>
      <c r="F286" s="260"/>
      <c r="G286" s="220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89">
        <f>'Données projet'!A260</f>
        <v>0</v>
      </c>
      <c r="B287" s="190">
        <f>'Données projet'!D260</f>
        <v>0</v>
      </c>
      <c r="C287" s="201">
        <v>40</v>
      </c>
      <c r="D287" s="188">
        <f t="shared" si="14"/>
        <v>0</v>
      </c>
      <c r="E287" s="203"/>
      <c r="F287" s="260"/>
      <c r="G287" s="220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89">
        <f>'Données projet'!A261</f>
        <v>0</v>
      </c>
      <c r="B288" s="190">
        <f>'Données projet'!D261</f>
        <v>0</v>
      </c>
      <c r="C288" s="201"/>
      <c r="D288" s="188">
        <f t="shared" si="14"/>
        <v>0</v>
      </c>
      <c r="E288" s="203"/>
      <c r="F288" s="260"/>
      <c r="G288" s="220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89">
        <f>'Données projet'!A262</f>
        <v>0</v>
      </c>
      <c r="B289" s="190">
        <f>'Données projet'!D262</f>
        <v>0</v>
      </c>
      <c r="C289" s="201">
        <v>40</v>
      </c>
      <c r="D289" s="188">
        <f t="shared" si="14"/>
        <v>0</v>
      </c>
      <c r="E289" s="203"/>
      <c r="F289" s="260"/>
      <c r="G289" s="220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89">
        <f>'Données projet'!A263</f>
        <v>0</v>
      </c>
      <c r="B290" s="190">
        <f>'Données projet'!D263</f>
        <v>0</v>
      </c>
      <c r="C290" s="201">
        <v>60</v>
      </c>
      <c r="D290" s="188">
        <f t="shared" si="14"/>
        <v>0</v>
      </c>
      <c r="E290" s="203"/>
      <c r="F290" s="260"/>
      <c r="G290" s="220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7">
        <v>0</v>
      </c>
      <c r="B296" s="210" t="s">
        <v>132</v>
      </c>
      <c r="C296" s="209" t="s">
        <v>132</v>
      </c>
      <c r="D296" s="208" t="s">
        <v>132</v>
      </c>
      <c r="E296" s="203"/>
      <c r="F296" s="259"/>
      <c r="G296" s="220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7">
        <v>1</v>
      </c>
      <c r="B297" s="210" t="s">
        <v>132</v>
      </c>
      <c r="C297" s="209" t="s">
        <v>132</v>
      </c>
      <c r="D297" s="208" t="s">
        <v>132</v>
      </c>
      <c r="E297" s="203"/>
      <c r="F297" s="259"/>
      <c r="G297" s="218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7">
        <v>2</v>
      </c>
      <c r="B298" s="210" t="s">
        <v>132</v>
      </c>
      <c r="C298" s="209" t="s">
        <v>132</v>
      </c>
      <c r="D298" s="208" t="s">
        <v>132</v>
      </c>
      <c r="E298" s="203"/>
      <c r="F298" s="259"/>
      <c r="G298" s="218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7">
        <v>3</v>
      </c>
      <c r="B299" s="210" t="s">
        <v>132</v>
      </c>
      <c r="C299" s="209" t="s">
        <v>132</v>
      </c>
      <c r="D299" s="208" t="s">
        <v>132</v>
      </c>
      <c r="E299" s="203"/>
      <c r="F299" s="259"/>
      <c r="G299" s="218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7">
        <v>4</v>
      </c>
      <c r="B300" s="210" t="s">
        <v>132</v>
      </c>
      <c r="C300" s="209" t="s">
        <v>132</v>
      </c>
      <c r="D300" s="208" t="s">
        <v>132</v>
      </c>
      <c r="E300" s="203"/>
      <c r="F300" s="259"/>
      <c r="G300" s="218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7">
        <v>5</v>
      </c>
      <c r="B301" s="210" t="s">
        <v>132</v>
      </c>
      <c r="C301" s="209" t="s">
        <v>132</v>
      </c>
      <c r="D301" s="208" t="s">
        <v>132</v>
      </c>
      <c r="E301" s="203"/>
      <c r="F301" s="259"/>
      <c r="G301" s="219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89">
        <f>'Données projet'!A270</f>
        <v>0</v>
      </c>
      <c r="B302" s="190">
        <f>'Données projet'!D270</f>
        <v>0</v>
      </c>
      <c r="C302" s="201"/>
      <c r="D302" s="191">
        <f>B302*C302</f>
        <v>0</v>
      </c>
      <c r="E302" s="203"/>
      <c r="F302" s="261"/>
      <c r="G302" s="219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89">
        <f>'Données projet'!A271</f>
        <v>0</v>
      </c>
      <c r="B303" s="190">
        <f>'Données projet'!D271</f>
        <v>0</v>
      </c>
      <c r="C303" s="201"/>
      <c r="D303" s="191">
        <f t="shared" ref="D303:D321" si="15">B303*C303</f>
        <v>0</v>
      </c>
      <c r="E303" s="203"/>
      <c r="F303" s="261"/>
      <c r="G303" s="219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89">
        <f>'Données projet'!A272</f>
        <v>0</v>
      </c>
      <c r="B304" s="190">
        <f>'Données projet'!D272</f>
        <v>0</v>
      </c>
      <c r="C304" s="201">
        <v>10</v>
      </c>
      <c r="D304" s="191">
        <f t="shared" si="15"/>
        <v>0</v>
      </c>
      <c r="E304" s="203"/>
      <c r="F304" s="261"/>
      <c r="G304" s="219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89">
        <f>'Données projet'!A273</f>
        <v>0</v>
      </c>
      <c r="B305" s="190">
        <f>'Données projet'!D273</f>
        <v>0</v>
      </c>
      <c r="C305" s="201"/>
      <c r="D305" s="191">
        <f t="shared" si="15"/>
        <v>0</v>
      </c>
      <c r="E305" s="203"/>
      <c r="F305" s="261"/>
      <c r="G305" s="219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89">
        <f>'Données projet'!A274</f>
        <v>0</v>
      </c>
      <c r="B306" s="190">
        <f>'Données projet'!D274</f>
        <v>0</v>
      </c>
      <c r="C306" s="201"/>
      <c r="D306" s="191">
        <f t="shared" si="15"/>
        <v>0</v>
      </c>
      <c r="E306" s="203"/>
      <c r="F306" s="261"/>
      <c r="G306" s="219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89">
        <f>'Données projet'!A275</f>
        <v>0</v>
      </c>
      <c r="B307" s="190">
        <f>'Données projet'!D275</f>
        <v>0</v>
      </c>
      <c r="C307" s="201">
        <v>10</v>
      </c>
      <c r="D307" s="191">
        <f t="shared" si="15"/>
        <v>0</v>
      </c>
      <c r="E307" s="203"/>
      <c r="F307" s="261"/>
      <c r="G307" s="219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89">
        <f>'Données projet'!A276</f>
        <v>0</v>
      </c>
      <c r="B308" s="190">
        <f>'Données projet'!D276</f>
        <v>0</v>
      </c>
      <c r="C308" s="201"/>
      <c r="D308" s="191">
        <f t="shared" si="15"/>
        <v>0</v>
      </c>
      <c r="E308" s="203"/>
      <c r="F308" s="261"/>
      <c r="G308" s="215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89">
        <f>'Données projet'!A277</f>
        <v>0</v>
      </c>
      <c r="B309" s="190">
        <f>'Données projet'!D277</f>
        <v>0</v>
      </c>
      <c r="C309" s="201"/>
      <c r="D309" s="191">
        <f t="shared" si="15"/>
        <v>0</v>
      </c>
      <c r="E309" s="203"/>
      <c r="F309" s="261"/>
      <c r="G309" s="215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89">
        <f>'Données projet'!A278</f>
        <v>0</v>
      </c>
      <c r="B310" s="190">
        <f>'Données projet'!D278</f>
        <v>0</v>
      </c>
      <c r="C310" s="201"/>
      <c r="D310" s="191">
        <f t="shared" si="15"/>
        <v>0</v>
      </c>
      <c r="E310" s="203"/>
      <c r="F310" s="261"/>
      <c r="G310" s="215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89">
        <f>'Données projet'!A279</f>
        <v>0</v>
      </c>
      <c r="B311" s="190">
        <f>'Données projet'!D279</f>
        <v>0</v>
      </c>
      <c r="C311" s="201"/>
      <c r="D311" s="191">
        <f t="shared" si="15"/>
        <v>0</v>
      </c>
      <c r="E311" s="203"/>
      <c r="F311" s="261"/>
      <c r="G311" s="215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89">
        <f>'Données projet'!A280</f>
        <v>0</v>
      </c>
      <c r="B312" s="190">
        <f>'Données projet'!D280</f>
        <v>0</v>
      </c>
      <c r="C312" s="201">
        <v>40</v>
      </c>
      <c r="D312" s="191">
        <f t="shared" si="15"/>
        <v>0</v>
      </c>
      <c r="E312" s="203"/>
      <c r="F312" s="261"/>
      <c r="G312" s="215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89">
        <f>'Données projet'!A281</f>
        <v>0</v>
      </c>
      <c r="B313" s="190">
        <f>'Données projet'!D281</f>
        <v>0</v>
      </c>
      <c r="C313" s="201"/>
      <c r="D313" s="191">
        <f t="shared" si="15"/>
        <v>0</v>
      </c>
      <c r="E313" s="203"/>
      <c r="F313" s="261"/>
      <c r="G313" s="215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89">
        <f>'Données projet'!A282</f>
        <v>0</v>
      </c>
      <c r="B314" s="190">
        <f>'Données projet'!D282</f>
        <v>0</v>
      </c>
      <c r="C314" s="201"/>
      <c r="D314" s="191">
        <f t="shared" si="15"/>
        <v>0</v>
      </c>
      <c r="E314" s="203"/>
      <c r="F314" s="261"/>
      <c r="G314" s="215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89">
        <f>'Données projet'!A283</f>
        <v>0</v>
      </c>
      <c r="B315" s="190">
        <f>'Données projet'!D283</f>
        <v>0</v>
      </c>
      <c r="C315" s="201"/>
      <c r="D315" s="191">
        <f t="shared" si="15"/>
        <v>0</v>
      </c>
      <c r="E315" s="203"/>
      <c r="F315" s="261"/>
      <c r="G315" s="215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89">
        <f>'Données projet'!A284</f>
        <v>0</v>
      </c>
      <c r="B316" s="190">
        <f>'Données projet'!D284</f>
        <v>0</v>
      </c>
      <c r="C316" s="201"/>
      <c r="D316" s="191">
        <f t="shared" si="15"/>
        <v>0</v>
      </c>
      <c r="E316" s="203"/>
      <c r="F316" s="261"/>
      <c r="G316" s="215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89">
        <f>'Données projet'!A285</f>
        <v>0</v>
      </c>
      <c r="B317" s="190">
        <f>'Données projet'!D285</f>
        <v>0</v>
      </c>
      <c r="C317" s="201"/>
      <c r="D317" s="191">
        <f t="shared" si="15"/>
        <v>0</v>
      </c>
      <c r="E317" s="203"/>
      <c r="F317" s="261"/>
      <c r="G317" s="215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89">
        <f>'Données projet'!A286</f>
        <v>0</v>
      </c>
      <c r="B318" s="190">
        <f>'Données projet'!D286</f>
        <v>0</v>
      </c>
      <c r="C318" s="201"/>
      <c r="D318" s="191">
        <f t="shared" si="15"/>
        <v>0</v>
      </c>
      <c r="E318" s="203"/>
      <c r="F318" s="261"/>
      <c r="G318" s="215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89">
        <f>'Données projet'!A287</f>
        <v>0</v>
      </c>
      <c r="B319" s="190">
        <f>'Données projet'!D287</f>
        <v>0</v>
      </c>
      <c r="C319" s="201"/>
      <c r="D319" s="191">
        <f t="shared" si="15"/>
        <v>0</v>
      </c>
      <c r="E319" s="203"/>
      <c r="F319" s="261"/>
      <c r="G319" s="215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89">
        <f>'Données projet'!A288</f>
        <v>0</v>
      </c>
      <c r="B320" s="190">
        <f>'Données projet'!D288</f>
        <v>0</v>
      </c>
      <c r="C320" s="201"/>
      <c r="D320" s="191">
        <f t="shared" si="15"/>
        <v>0</v>
      </c>
      <c r="E320" s="203"/>
      <c r="F320" s="261"/>
      <c r="G320" s="215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89">
        <f>'Données projet'!A289</f>
        <v>0</v>
      </c>
      <c r="B321" s="190">
        <f>'Données projet'!D289</f>
        <v>0</v>
      </c>
      <c r="C321" s="206"/>
      <c r="D321" s="191">
        <f t="shared" si="15"/>
        <v>0</v>
      </c>
      <c r="E321" s="203"/>
      <c r="F321" s="261"/>
      <c r="G321" s="215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5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5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5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5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5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5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2024-05-24T15:36:03Z</dcterms:modified>
</cp:coreProperties>
</file>