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4_Auxerre\2024\Déposé\MONTVIANEIX\"/>
    </mc:Choice>
  </mc:AlternateContent>
  <xr:revisionPtr revIDLastSave="0" documentId="13_ncr:1_{35CB2C92-CAC4-4049-ACBD-5C341D109E27}" xr6:coauthVersionLast="47" xr6:coauthVersionMax="47" xr10:uidLastSave="{00000000-0000-0000-0000-000000000000}"/>
  <bookViews>
    <workbookView xWindow="-120" yWindow="-120" windowWidth="29040" windowHeight="15840" tabRatio="86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6" i="1" l="1"/>
  <c r="D96" i="1"/>
  <c r="B70" i="1"/>
  <c r="B69" i="1"/>
  <c r="B68" i="1"/>
  <c r="B67" i="1"/>
  <c r="B66" i="1"/>
  <c r="B65" i="1"/>
  <c r="B64" i="1"/>
  <c r="B63" i="1"/>
  <c r="B43" i="1"/>
  <c r="D43" i="1" s="1"/>
  <c r="D42" i="1"/>
  <c r="B42" i="1"/>
  <c r="D41" i="1"/>
  <c r="B41" i="1"/>
  <c r="D40" i="1"/>
  <c r="B40" i="1"/>
  <c r="D39" i="1"/>
  <c r="B39" i="1"/>
  <c r="D38" i="1"/>
  <c r="B38" i="1"/>
  <c r="D37" i="1"/>
  <c r="B37" i="1"/>
  <c r="I20" i="6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<sst xmlns="http://schemas.openxmlformats.org/spreadsheetml/2006/main" count="1177" uniqueCount="328">
  <si>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</si>
  <si>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</si>
  <si>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</si>
  <si>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</si>
  <si>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</si>
  <si>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</si>
  <si>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</si>
  <si>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</si>
  <si>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</si>
  <si>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</si>
  <si>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</si>
  <si>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</si>
  <si>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</si>
  <si>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</si>
  <si>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</si>
  <si>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</si>
  <si>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</si>
  <si>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</si>
  <si>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</si>
  <si>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</si>
  <si>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</si>
  <si>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</si>
  <si>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</si>
  <si>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</si>
  <si>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</si>
  <si>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</si>
  <si>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</si>
  <si>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</si>
  <si>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</si>
  <si>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</si>
  <si>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</si>
  <si>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</si>
  <si>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</si>
  <si>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</si>
  <si>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</si>
  <si>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</si>
  <si>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</si>
  <si>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</si>
  <si>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</si>
  <si>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</si>
  <si>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</si>
  <si>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</si>
  <si>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</si>
  <si>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</si>
  <si>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</si>
  <si>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</si>
  <si>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</si>
  <si>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</si>
  <si>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</si>
  <si>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</si>
  <si>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</si>
  <si>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</si>
  <si>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</si>
  <si>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</si>
  <si>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</si>
  <si>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</si>
  <si>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</si>
  <si>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</si>
  <si>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</si>
  <si>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</si>
  <si>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</si>
  <si>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</si>
  <si>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</si>
  <si>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</si>
  <si>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</si>
  <si>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</si>
  <si>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</si>
  <si>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</si>
  <si>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</si>
  <si>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</si>
  <si>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</si>
  <si>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</si>
  <si>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</si>
  <si>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</si>
  <si>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</si>
  <si>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</si>
  <si>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</si>
  <si>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</si>
  <si>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</si>
  <si>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</si>
  <si>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</si>
  <si>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</si>
  <si>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</si>
  <si>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</si>
  <si>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</si>
  <si>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</si>
  <si>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</si>
  <si>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</si>
  <si>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</si>
  <si>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</si>
  <si>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</si>
  <si>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</si>
  <si>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</si>
  <si>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</si>
  <si>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</si>
  <si>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</si>
  <si>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</si>
  <si>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</si>
  <si>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</si>
  <si>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</si>
  <si>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</si>
  <si>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</si>
  <si>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</si>
  <si>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</si>
  <si>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</si>
  <si>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</si>
  <si>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</si>
  <si>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</si>
  <si>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</si>
  <si>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</si>
  <si>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</si>
  <si>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</si>
  <si>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</si>
  <si>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</si>
  <si>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</si>
  <si>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</si>
  <si>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</si>
  <si>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</si>
  <si>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</si>
  <si>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</si>
  <si>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</si>
  <si>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</si>
  <si>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</si>
  <si>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</si>
  <si>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</si>
  <si>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</si>
  <si>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</si>
  <si>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</si>
  <si>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</si>
  <si>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</si>
  <si>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</si>
  <si>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</si>
  <si>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</si>
  <si>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</si>
  <si>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</si>
  <si>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</si>
  <si>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</si>
  <si>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</si>
  <si>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</si>
  <si>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</si>
  <si>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</si>
  <si>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</si>
  <si>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</si>
  <si>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</si>
  <si>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</si>
  <si>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</si>
  <si>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</si>
  <si>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</si>
  <si>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</si>
  <si>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</si>
  <si>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</si>
  <si>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</si>
  <si>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</si>
  <si>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</si>
  <si>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</si>
  <si>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</si>
  <si>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</si>
  <si>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</si>
  <si>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</si>
  <si>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</si>
  <si>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</si>
  <si>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</si>
  <si>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</si>
  <si>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</si>
  <si>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</si>
  <si>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</si>
  <si>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</si>
  <si>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</si>
  <si>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</si>
  <si>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</si>
  <si>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</si>
  <si>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</si>
  <si>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</si>
  <si>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</si>
  <si>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</si>
  <si>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</si>
  <si>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</si>
  <si>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</si>
  <si>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</si>
  <si>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</si>
  <si>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</si>
  <si>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</si>
  <si>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</si>
  <si>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</si>
  <si>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</si>
  <si>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</si>
  <si>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</si>
  <si>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</si>
  <si>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</si>
  <si>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</si>
  <si>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</si>
  <si>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</si>
  <si>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</si>
  <si>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</si>
  <si>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</si>
  <si>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</si>
  <si>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</si>
  <si>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</si>
  <si>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</si>
  <si>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</si>
  <si>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</si>
  <si>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</si>
  <si>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</si>
  <si>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</si>
  <si>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</si>
  <si>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</si>
  <si>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</si>
  <si>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</si>
  <si>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</si>
  <si>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</si>
  <si>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</si>
  <si>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</si>
  <si>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</si>
  <si>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</si>
  <si>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</si>
  <si>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</si>
  <si>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</si>
  <si>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</si>
  <si>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</si>
  <si>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</si>
  <si>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</si>
  <si>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</si>
  <si>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</si>
  <si>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</si>
  <si>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</si>
  <si>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</si>
  <si>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</si>
  <si>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</si>
  <si>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</si>
  <si>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</si>
  <si>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</si>
  <si>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</si>
  <si>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</si>
  <si>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</si>
  <si>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</si>
  <si>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</si>
  <si>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</si>
  <si>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</si>
  <si>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</si>
  <si>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</si>
  <si>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</si>
  <si>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</si>
  <si>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</si>
  <si>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</si>
  <si>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</si>
  <si>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</si>
  <si>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</si>
  <si>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</si>
  <si>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</si>
  <si>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</si>
  <si>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</si>
  <si>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</si>
  <si>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</si>
  <si>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</si>
  <si>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</si>
  <si>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</si>
  <si>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</si>
  <si>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</si>
  <si>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</si>
  <si>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</si>
  <si>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</si>
  <si>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</si>
  <si>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</si>
  <si>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</si>
  <si>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</si>
  <si>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</si>
  <si>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</si>
  <si>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</si>
  <si>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</si>
  <si>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</si>
  <si>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</si>
  <si>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</si>
  <si>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</si>
  <si>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</si>
  <si>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</si>
  <si>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</si>
  <si>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</si>
  <si>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</si>
  <si>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</si>
  <si>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</si>
  <si>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</si>
  <si>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</si>
  <si>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</si>
  <si>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</si>
  <si>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</si>
  <si>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</si>
  <si>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</si>
  <si>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</si>
  <si>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</si>
  <si>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</si>
  <si>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</si>
  <si>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</si>
  <si>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</si>
  <si>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</si>
  <si>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</si>
  <si>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</si>
  <si>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</si>
  <si>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</si>
  <si>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</si>
  <si>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</si>
  <si>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</si>
  <si>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</si>
  <si>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</si>
  <si>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</si>
  <si>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</si>
  <si>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</si>
  <si>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</si>
  <si>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</si>
  <si>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</si>
  <si>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</si>
  <si>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</si>
  <si>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</si>
  <si>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</si>
  <si>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</si>
  <si>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</si>
  <si>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</si>
  <si>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</si>
  <si>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</si>
  <si>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</si>
  <si>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</si>
  <si>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</si>
  <si>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</si>
  <si>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</si>
  <si>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</si>
  <si>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Page 38</t>
  </si>
  <si>
    <t>Page 29</t>
  </si>
  <si>
    <t>Page 7</t>
  </si>
  <si>
    <t>Page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</si>
</sst>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1.9960712331870976</c:v>
                </c:pt>
                <c:pt idx="2">
                  <c:v>2.7416990049638525</c:v>
                </c:pt>
                <c:pt idx="3">
                  <c:v>3.7670473110861704</c:v>
                </c:pt>
                <c:pt idx="4">
                  <c:v>5.1774741551981576</c:v>
                </c:pt>
                <c:pt idx="5">
                  <c:v>7.1181693875211574</c:v>
                </c:pt>
                <c:pt idx="6">
                  <c:v>9.7892655629651237</c:v>
                </c:pt>
                <c:pt idx="7">
                  <c:v>13.466699485205766</c:v>
                </c:pt>
                <c:pt idx="8">
                  <c:v>18.531019264339804</c:v>
                </c:pt>
                <c:pt idx="9">
                  <c:v>25.507171589561072</c:v>
                </c:pt>
                <c:pt idx="10">
                  <c:v>35.11946593524749</c:v>
                </c:pt>
                <c:pt idx="11">
                  <c:v>60.297639146616369</c:v>
                </c:pt>
                <c:pt idx="12">
                  <c:v>85.194768164020218</c:v>
                </c:pt>
                <c:pt idx="13">
                  <c:v>109.90665396759691</c:v>
                </c:pt>
                <c:pt idx="14">
                  <c:v>134.48126302738513</c:v>
                </c:pt>
                <c:pt idx="15">
                  <c:v>158.94734253479243</c:v>
                </c:pt>
                <c:pt idx="16">
                  <c:v>183.32399225800421</c:v>
                </c:pt>
                <c:pt idx="17">
                  <c:v>207.62479146984003</c:v>
                </c:pt>
                <c:pt idx="18">
                  <c:v>231.85987083514178</c:v>
                </c:pt>
                <c:pt idx="19">
                  <c:v>256.03706594115926</c:v>
                </c:pt>
                <c:pt idx="20">
                  <c:v>280.16260989796973</c:v>
                </c:pt>
                <c:pt idx="21">
                  <c:v>188.04464873361908</c:v>
                </c:pt>
                <c:pt idx="22">
                  <c:v>221.25703044371778</c:v>
                </c:pt>
                <c:pt idx="23">
                  <c:v>254.35482042421077</c:v>
                </c:pt>
                <c:pt idx="24">
                  <c:v>287.35503217179325</c:v>
                </c:pt>
                <c:pt idx="25">
                  <c:v>320.27044348252321</c:v>
                </c:pt>
                <c:pt idx="26">
                  <c:v>353.11098821334605</c:v>
                </c:pt>
                <c:pt idx="27">
                  <c:v>385.88460083872718</c:v>
                </c:pt>
                <c:pt idx="28">
                  <c:v>418.59775818754741</c:v>
                </c:pt>
                <c:pt idx="29">
                  <c:v>451.25584262505646</c:v>
                </c:pt>
                <c:pt idx="30">
                  <c:v>483.86339446304572</c:v>
                </c:pt>
                <c:pt idx="31">
                  <c:v>349.29312109132542</c:v>
                </c:pt>
                <c:pt idx="32">
                  <c:v>381.24052241560281</c:v>
                </c:pt>
                <c:pt idx="33">
                  <c:v>413.12970902158912</c:v>
                </c:pt>
                <c:pt idx="34">
                  <c:v>444.96580033395298</c:v>
                </c:pt>
                <c:pt idx="35">
                  <c:v>476.75312396624321</c:v>
                </c:pt>
                <c:pt idx="36">
                  <c:v>508.4953838956676</c:v>
                </c:pt>
                <c:pt idx="37">
                  <c:v>540.19578443936393</c:v>
                </c:pt>
                <c:pt idx="38">
                  <c:v>571.8571236111394</c:v>
                </c:pt>
                <c:pt idx="39">
                  <c:v>603.48186473059241</c:v>
                </c:pt>
                <c:pt idx="40">
                  <c:v>635.07219224690084</c:v>
                </c:pt>
                <c:pt idx="41">
                  <c:v>496.65631445060126</c:v>
                </c:pt>
                <c:pt idx="42">
                  <c:v>523.64091513728647</c:v>
                </c:pt>
                <c:pt idx="43">
                  <c:v>550.59622582737018</c:v>
                </c:pt>
                <c:pt idx="44">
                  <c:v>577.52388027951656</c:v>
                </c:pt>
                <c:pt idx="45">
                  <c:v>604.42534765809012</c:v>
                </c:pt>
                <c:pt idx="46">
                  <c:v>631.30195584847183</c:v>
                </c:pt>
                <c:pt idx="47">
                  <c:v>658.15491059834255</c:v>
                </c:pt>
                <c:pt idx="48">
                  <c:v>684.98531137525208</c:v>
                </c:pt>
                <c:pt idx="49">
                  <c:v>711.79416461281119</c:v>
                </c:pt>
                <c:pt idx="50">
                  <c:v>738.58239485956028</c:v>
                </c:pt>
                <c:pt idx="51">
                  <c:v>609.49604560795967</c:v>
                </c:pt>
                <c:pt idx="52">
                  <c:v>632.2445584894391</c:v>
                </c:pt>
                <c:pt idx="53">
                  <c:v>654.97615321685669</c:v>
                </c:pt>
                <c:pt idx="54">
                  <c:v>677.69149890374536</c:v>
                </c:pt>
                <c:pt idx="55">
                  <c:v>700.39121620344451</c:v>
                </c:pt>
                <c:pt idx="56">
                  <c:v>723.07588230699582</c:v>
                </c:pt>
                <c:pt idx="57">
                  <c:v>745.74603528189357</c:v>
                </c:pt>
                <c:pt idx="58">
                  <c:v>768.40217785639322</c:v>
                </c:pt>
                <c:pt idx="59">
                  <c:v>791.04478073480857</c:v>
                </c:pt>
                <c:pt idx="60">
                  <c:v>813.67428551393857</c:v>
                </c:pt>
                <c:pt idx="61">
                  <c:v>719.55073421012912</c:v>
                </c:pt>
                <c:pt idx="62">
                  <c:v>738.11259868718491</c:v>
                </c:pt>
                <c:pt idx="63">
                  <c:v>756.66496313732296</c:v>
                </c:pt>
                <c:pt idx="64">
                  <c:v>775.20809304811462</c:v>
                </c:pt>
                <c:pt idx="65">
                  <c:v>793.74224018427151</c:v>
                </c:pt>
                <c:pt idx="66">
                  <c:v>812.26764360731715</c:v>
                </c:pt>
                <c:pt idx="67">
                  <c:v>830.78453059749984</c:v>
                </c:pt>
                <c:pt idx="68">
                  <c:v>849.29311748933662</c:v>
                </c:pt>
                <c:pt idx="69">
                  <c:v>867.79361043061851</c:v>
                </c:pt>
                <c:pt idx="70">
                  <c:v>886.28620607340656</c:v>
                </c:pt>
                <c:pt idx="71">
                  <c:v>807.69571767022671</c:v>
                </c:pt>
                <c:pt idx="72">
                  <c:v>822.81626726121738</c:v>
                </c:pt>
                <c:pt idx="73">
                  <c:v>837.93122299822573</c:v>
                </c:pt>
                <c:pt idx="74">
                  <c:v>853.04069990631922</c:v>
                </c:pt>
                <c:pt idx="75">
                  <c:v>868.14480860757533</c:v>
                </c:pt>
                <c:pt idx="76">
                  <c:v>883.24365556486009</c:v>
                </c:pt>
                <c:pt idx="77">
                  <c:v>898.33734330808841</c:v>
                </c:pt>
                <c:pt idx="78">
                  <c:v>913.42597064450467</c:v>
                </c:pt>
                <c:pt idx="79">
                  <c:v>928.50963285436319</c:v>
                </c:pt>
                <c:pt idx="80">
                  <c:v>943.58842187324615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161.3963988836461</c:v>
                </c:pt>
                <c:pt idx="22">
                  <c:v>170.74399063136909</c:v>
                </c:pt>
                <c:pt idx="23">
                  <c:v>180.07953633511511</c:v>
                </c:pt>
                <c:pt idx="24">
                  <c:v>189.40374922883845</c:v>
                </c:pt>
                <c:pt idx="25">
                  <c:v>198.71726649156165</c:v>
                </c:pt>
                <c:pt idx="26">
                  <c:v>208.02066062067857</c:v>
                </c:pt>
                <c:pt idx="27">
                  <c:v>217.3144486608976</c:v>
                </c:pt>
                <c:pt idx="28">
                  <c:v>226.59909976948094</c:v>
                </c:pt>
                <c:pt idx="29">
                  <c:v>235.87504147501636</c:v>
                </c:pt>
                <c:pt idx="30">
                  <c:v>245.14266489892427</c:v>
                </c:pt>
                <c:pt idx="31">
                  <c:v>208.93025151398959</c:v>
                </c:pt>
                <c:pt idx="32">
                  <c:v>219.0307656524819</c:v>
                </c:pt>
                <c:pt idx="33">
                  <c:v>229.12058085809744</c:v>
                </c:pt>
                <c:pt idx="34">
                  <c:v>239.20023509293381</c:v>
                </c:pt>
                <c:pt idx="35">
                  <c:v>249.27021723566543</c:v>
                </c:pt>
                <c:pt idx="36">
                  <c:v>259.33097340507067</c:v>
                </c:pt>
                <c:pt idx="37">
                  <c:v>269.38291224993577</c:v>
                </c:pt>
                <c:pt idx="38">
                  <c:v>279.4264094073539</c:v>
                </c:pt>
                <c:pt idx="39">
                  <c:v>289.46181128597163</c:v>
                </c:pt>
                <c:pt idx="40">
                  <c:v>299.48943829674107</c:v>
                </c:pt>
                <c:pt idx="41">
                  <c:v>227.20431355624598</c:v>
                </c:pt>
                <c:pt idx="42">
                  <c:v>238.79723773455569</c:v>
                </c:pt>
                <c:pt idx="43">
                  <c:v>250.37734432120666</c:v>
                </c:pt>
                <c:pt idx="44">
                  <c:v>261.945310006184</c:v>
                </c:pt>
                <c:pt idx="45">
                  <c:v>273.50174679153514</c:v>
                </c:pt>
                <c:pt idx="46">
                  <c:v>285.04721070608576</c:v>
                </c:pt>
                <c:pt idx="47">
                  <c:v>296.58220903324576</c:v>
                </c:pt>
                <c:pt idx="48">
                  <c:v>308.10720635475906</c:v>
                </c:pt>
                <c:pt idx="49">
                  <c:v>319.62262964231485</c:v>
                </c:pt>
                <c:pt idx="50">
                  <c:v>331.12887257662896</c:v>
                </c:pt>
                <c:pt idx="51">
                  <c:v>261.04041434217822</c:v>
                </c:pt>
                <c:pt idx="52">
                  <c:v>274.60656174697795</c:v>
                </c:pt>
                <c:pt idx="53">
                  <c:v>288.15765529324972</c:v>
                </c:pt>
                <c:pt idx="54">
                  <c:v>301.69450278359409</c:v>
                </c:pt>
                <c:pt idx="55">
                  <c:v>315.21783358823507</c:v>
                </c:pt>
                <c:pt idx="56">
                  <c:v>328.72830936987799</c:v>
                </c:pt>
                <c:pt idx="57">
                  <c:v>342.2265329523762</c:v>
                </c:pt>
                <c:pt idx="58">
                  <c:v>355.71305571649367</c:v>
                </c:pt>
                <c:pt idx="59">
                  <c:v>369.18838381508658</c:v>
                </c:pt>
                <c:pt idx="60">
                  <c:v>382.65298343324525</c:v>
                </c:pt>
                <c:pt idx="61">
                  <c:v>314.81733022074968</c:v>
                </c:pt>
                <c:pt idx="62">
                  <c:v>330.32872765301551</c:v>
                </c:pt>
                <c:pt idx="63">
                  <c:v>345.82406144357361</c:v>
                </c:pt>
                <c:pt idx="64">
                  <c:v>361.30415262392557</c:v>
                </c:pt>
                <c:pt idx="65">
                  <c:v>376.76974613287081</c:v>
                </c:pt>
                <c:pt idx="66">
                  <c:v>392.22152076799466</c:v>
                </c:pt>
                <c:pt idx="67">
                  <c:v>407.66009748688685</c:v>
                </c:pt>
                <c:pt idx="68">
                  <c:v>423.08604638514606</c:v>
                </c:pt>
                <c:pt idx="69">
                  <c:v>438.49989260360843</c:v>
                </c:pt>
                <c:pt idx="70">
                  <c:v>453.90212136173136</c:v>
                </c:pt>
                <c:pt idx="71">
                  <c:v>387.83657804664409</c:v>
                </c:pt>
                <c:pt idx="72">
                  <c:v>404.77256638639187</c:v>
                </c:pt>
                <c:pt idx="73">
                  <c:v>421.69323961894656</c:v>
                </c:pt>
                <c:pt idx="74">
                  <c:v>438.59929855364607</c:v>
                </c:pt>
                <c:pt idx="75">
                  <c:v>455.49138558575515</c:v>
                </c:pt>
                <c:pt idx="76">
                  <c:v>472.37009159588234</c:v>
                </c:pt>
                <c:pt idx="77">
                  <c:v>489.23596181208933</c:v>
                </c:pt>
                <c:pt idx="78">
                  <c:v>506.08950082174573</c:v>
                </c:pt>
                <c:pt idx="79">
                  <c:v>522.93117688121504</c:v>
                </c:pt>
                <c:pt idx="80">
                  <c:v>539.76142564164627</c:v>
                </c:pt>
                <c:pt idx="81">
                  <c:v>474.45420688971325</c:v>
                </c:pt>
                <c:pt idx="82">
                  <c:v>491.8143485962089</c:v>
                </c:pt>
                <c:pt idx="83">
                  <c:v>509.16150115519235</c:v>
                </c:pt>
                <c:pt idx="84">
                  <c:v>526.49616916569187</c:v>
                </c:pt>
                <c:pt idx="85">
                  <c:v>543.81882130875795</c:v>
                </c:pt>
                <c:pt idx="86">
                  <c:v>561.12989399028811</c:v>
                </c:pt>
                <c:pt idx="87">
                  <c:v>578.42979451115264</c:v>
                </c:pt>
                <c:pt idx="88">
                  <c:v>595.7189038385352</c:v>
                </c:pt>
                <c:pt idx="89">
                  <c:v>612.99757903900297</c:v>
                </c:pt>
                <c:pt idx="90">
                  <c:v>630.26615542315449</c:v>
                </c:pt>
                <c:pt idx="91">
                  <c:v>566.1727153890298</c:v>
                </c:pt>
                <c:pt idx="92">
                  <c:v>584.45749051831808</c:v>
                </c:pt>
                <c:pt idx="93">
                  <c:v>602.73034768336277</c:v>
                </c:pt>
                <c:pt idx="94">
                  <c:v>620.99169878755254</c:v>
                </c:pt>
                <c:pt idx="95">
                  <c:v>639.24192955322633</c:v>
                </c:pt>
                <c:pt idx="96">
                  <c:v>657.48140190092874</c:v>
                </c:pt>
                <c:pt idx="97">
                  <c:v>675.71045605112249</c:v>
                </c:pt>
                <c:pt idx="98">
                  <c:v>693.92941238749461</c:v>
                </c:pt>
                <c:pt idx="99">
                  <c:v>712.13857311456889</c:v>
                </c:pt>
                <c:pt idx="100">
                  <c:v>730.33822373711973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2.2190492793459611</c:v>
                </c:pt>
                <c:pt idx="2">
                  <c:v>3.0482937535692103</c:v>
                </c:pt>
                <c:pt idx="3">
                  <c:v>4.1887417633090962</c:v>
                </c:pt>
                <c:pt idx="4">
                  <c:v>5.7576497681090046</c:v>
                </c:pt>
                <c:pt idx="5">
                  <c:v>7.9166185268507983</c:v>
                </c:pt>
                <c:pt idx="6">
                  <c:v>10.888420750176865</c:v>
                </c:pt>
                <c:pt idx="7">
                  <c:v>14.980234505522882</c:v>
                </c:pt>
                <c:pt idx="8">
                  <c:v>20.615727811275324</c:v>
                </c:pt>
                <c:pt idx="9">
                  <c:v>28.379375833853359</c:v>
                </c:pt>
                <c:pt idx="10">
                  <c:v>39.077687154299774</c:v>
                </c:pt>
                <c:pt idx="11">
                  <c:v>55.29954201934931</c:v>
                </c:pt>
                <c:pt idx="12">
                  <c:v>71.39510828792497</c:v>
                </c:pt>
                <c:pt idx="13">
                  <c:v>87.39720941194355</c:v>
                </c:pt>
                <c:pt idx="14">
                  <c:v>103.32547666349863</c:v>
                </c:pt>
                <c:pt idx="15">
                  <c:v>119.19293639396578</c:v>
                </c:pt>
                <c:pt idx="16">
                  <c:v>139.09165683234247</c:v>
                </c:pt>
                <c:pt idx="17">
                  <c:v>158.92191513566118</c:v>
                </c:pt>
                <c:pt idx="18">
                  <c:v>178.6934673176423</c:v>
                </c:pt>
                <c:pt idx="19">
                  <c:v>198.41372746166954</c:v>
                </c:pt>
                <c:pt idx="20">
                  <c:v>218.08851241049027</c:v>
                </c:pt>
                <c:pt idx="21">
                  <c:v>159.32874195250238</c:v>
                </c:pt>
                <c:pt idx="22">
                  <c:v>181.66813736078146</c:v>
                </c:pt>
                <c:pt idx="23">
                  <c:v>203.94321057745546</c:v>
                </c:pt>
                <c:pt idx="24">
                  <c:v>226.1619778999507</c:v>
                </c:pt>
                <c:pt idx="25">
                  <c:v>248.33074918569818</c:v>
                </c:pt>
                <c:pt idx="26">
                  <c:v>270.45461449361852</c:v>
                </c:pt>
                <c:pt idx="27">
                  <c:v>292.53776259751828</c:v>
                </c:pt>
                <c:pt idx="28">
                  <c:v>314.583698040076</c:v>
                </c:pt>
                <c:pt idx="29">
                  <c:v>336.59539404232532</c:v>
                </c:pt>
                <c:pt idx="30">
                  <c:v>358.57540326704753</c:v>
                </c:pt>
                <c:pt idx="31">
                  <c:v>266.56923588073727</c:v>
                </c:pt>
                <c:pt idx="32">
                  <c:v>286.78647711903716</c:v>
                </c:pt>
                <c:pt idx="33">
                  <c:v>306.97184146318881</c:v>
                </c:pt>
                <c:pt idx="34">
                  <c:v>327.1277190437109</c:v>
                </c:pt>
                <c:pt idx="35">
                  <c:v>347.25618143588719</c:v>
                </c:pt>
                <c:pt idx="36">
                  <c:v>367.3590405061089</c:v>
                </c:pt>
                <c:pt idx="37">
                  <c:v>387.43789369626415</c:v>
                </c:pt>
                <c:pt idx="38">
                  <c:v>407.49415942665138</c:v>
                </c:pt>
                <c:pt idx="39">
                  <c:v>427.5291051635549</c:v>
                </c:pt>
                <c:pt idx="40">
                  <c:v>447.54386995067108</c:v>
                </c:pt>
                <c:pt idx="41">
                  <c:v>355.11389600890448</c:v>
                </c:pt>
                <c:pt idx="42">
                  <c:v>371.6161159842477</c:v>
                </c:pt>
                <c:pt idx="43">
                  <c:v>388.10236266830719</c:v>
                </c:pt>
                <c:pt idx="44">
                  <c:v>404.57340992986133</c:v>
                </c:pt>
                <c:pt idx="45">
                  <c:v>421.02996350009448</c:v>
                </c:pt>
                <c:pt idx="46">
                  <c:v>437.47266945596533</c:v>
                </c:pt>
                <c:pt idx="47">
                  <c:v>453.90212136173136</c:v>
                </c:pt>
                <c:pt idx="48">
                  <c:v>470.31886632272807</c:v>
                </c:pt>
                <c:pt idx="49">
                  <c:v>486.72341015001916</c:v>
                </c:pt>
                <c:pt idx="50">
                  <c:v>503.11622179266834</c:v>
                </c:pt>
                <c:pt idx="51">
                  <c:v>426.33554561113533</c:v>
                </c:pt>
                <c:pt idx="52">
                  <c:v>439.59333149267508</c:v>
                </c:pt>
                <c:pt idx="53">
                  <c:v>452.84254581303099</c:v>
                </c:pt>
                <c:pt idx="54">
                  <c:v>466.08347466593301</c:v>
                </c:pt>
                <c:pt idx="55">
                  <c:v>479.31638656594276</c:v>
                </c:pt>
                <c:pt idx="56">
                  <c:v>492.54153399430987</c:v>
                </c:pt>
                <c:pt idx="57">
                  <c:v>505.75915477017423</c:v>
                </c:pt>
                <c:pt idx="58">
                  <c:v>518.96947327099519</c:v>
                </c:pt>
                <c:pt idx="59">
                  <c:v>532.17270152227172</c:v>
                </c:pt>
                <c:pt idx="60">
                  <c:v>545.36904017352083</c:v>
                </c:pt>
                <c:pt idx="61">
                  <c:v>483.02020001617831</c:v>
                </c:pt>
                <c:pt idx="62">
                  <c:v>493.33480119409711</c:v>
                </c:pt>
                <c:pt idx="63">
                  <c:v>503.64483183617267</c:v>
                </c:pt>
                <c:pt idx="64">
                  <c:v>513.9503987019458</c:v>
                </c:pt>
                <c:pt idx="65">
                  <c:v>524.2516039201148</c:v>
                </c:pt>
                <c:pt idx="66">
                  <c:v>534.54854527839552</c:v>
                </c:pt>
                <c:pt idx="67">
                  <c:v>544.84131648988216</c:v>
                </c:pt>
                <c:pt idx="68">
                  <c:v>555.13000743824</c:v>
                </c:pt>
                <c:pt idx="69">
                  <c:v>565.4147044037735</c:v>
                </c:pt>
                <c:pt idx="70">
                  <c:v>575.69549027219523</c:v>
                </c:pt>
                <c:pt idx="71">
                  <c:v>524.25160392011492</c:v>
                </c:pt>
                <c:pt idx="72">
                  <c:v>532.17270152227195</c:v>
                </c:pt>
                <c:pt idx="73">
                  <c:v>540.0913190698044</c:v>
                </c:pt>
                <c:pt idx="74">
                  <c:v>548.00749806060492</c:v>
                </c:pt>
                <c:pt idx="75">
                  <c:v>555.92127869561818</c:v>
                </c:pt>
                <c:pt idx="76">
                  <c:v>563.83269993765953</c:v>
                </c:pt>
                <c:pt idx="77">
                  <c:v>571.74179956676232</c:v>
                </c:pt>
                <c:pt idx="78">
                  <c:v>579.64861423230275</c:v>
                </c:pt>
                <c:pt idx="79">
                  <c:v>587.55317950213146</c:v>
                </c:pt>
                <c:pt idx="80">
                  <c:v>595.45552990892566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2.0460469017056964</c:v>
                </c:pt>
                <c:pt idx="2">
                  <c:v>2.6995991230950414</c:v>
                </c:pt>
                <c:pt idx="3">
                  <c:v>3.562771444498678</c:v>
                </c:pt>
                <c:pt idx="4">
                  <c:v>4.7030577575577004</c:v>
                </c:pt>
                <c:pt idx="5">
                  <c:v>6.2097621939282925</c:v>
                </c:pt>
                <c:pt idx="6">
                  <c:v>8.2010704976533066</c:v>
                </c:pt>
                <c:pt idx="7">
                  <c:v>10.833421128289144</c:v>
                </c:pt>
                <c:pt idx="8">
                  <c:v>14.313926101367471</c:v>
                </c:pt>
                <c:pt idx="9">
                  <c:v>18.916836793120535</c:v>
                </c:pt>
                <c:pt idx="10">
                  <c:v>25.00537551768484</c:v>
                </c:pt>
                <c:pt idx="11">
                  <c:v>33.060686016670395</c:v>
                </c:pt>
                <c:pt idx="12">
                  <c:v>43.720230154476248</c:v>
                </c:pt>
                <c:pt idx="13">
                  <c:v>57.828720702515874</c:v>
                </c:pt>
                <c:pt idx="14">
                  <c:v>76.505693084340137</c:v>
                </c:pt>
                <c:pt idx="15">
                  <c:v>101.2351647140362</c:v>
                </c:pt>
                <c:pt idx="16">
                  <c:v>121.42282776908787</c:v>
                </c:pt>
                <c:pt idx="17">
                  <c:v>141.52862557478466</c:v>
                </c:pt>
                <c:pt idx="18">
                  <c:v>161.5658510210931</c:v>
                </c:pt>
                <c:pt idx="19">
                  <c:v>181.54421568397308</c:v>
                </c:pt>
                <c:pt idx="20">
                  <c:v>201.47111266072739</c:v>
                </c:pt>
                <c:pt idx="21">
                  <c:v>170.78347729920506</c:v>
                </c:pt>
                <c:pt idx="22">
                  <c:v>194.4892275531848</c:v>
                </c:pt>
                <c:pt idx="23">
                  <c:v>218.12777482817637</c:v>
                </c:pt>
                <c:pt idx="24">
                  <c:v>241.70742778160749</c:v>
                </c:pt>
                <c:pt idx="25">
                  <c:v>265.23473910996836</c:v>
                </c:pt>
                <c:pt idx="26">
                  <c:v>288.71500303129221</c:v>
                </c:pt>
                <c:pt idx="27">
                  <c:v>312.15258192873364</c:v>
                </c:pt>
                <c:pt idx="28">
                  <c:v>335.55112952178632</c:v>
                </c:pt>
                <c:pt idx="29">
                  <c:v>358.91374842416138</c:v>
                </c:pt>
                <c:pt idx="30">
                  <c:v>382.24310448239476</c:v>
                </c:pt>
                <c:pt idx="31">
                  <c:v>281.0214556365425</c:v>
                </c:pt>
                <c:pt idx="32">
                  <c:v>305.11275800661684</c:v>
                </c:pt>
                <c:pt idx="33">
                  <c:v>329.1617729359433</c:v>
                </c:pt>
                <c:pt idx="34">
                  <c:v>353.17202231575834</c:v>
                </c:pt>
                <c:pt idx="35">
                  <c:v>377.14651019229785</c:v>
                </c:pt>
                <c:pt idx="36">
                  <c:v>401.08782767173875</c:v>
                </c:pt>
                <c:pt idx="37">
                  <c:v>424.99823145221518</c:v>
                </c:pt>
                <c:pt idx="38">
                  <c:v>448.87970375338136</c:v>
                </c:pt>
                <c:pt idx="39">
                  <c:v>472.73399882486802</c:v>
                </c:pt>
                <c:pt idx="40">
                  <c:v>496.56267957814447</c:v>
                </c:pt>
                <c:pt idx="41">
                  <c:v>393.83238721559246</c:v>
                </c:pt>
                <c:pt idx="42">
                  <c:v>415.59024663273141</c:v>
                </c:pt>
                <c:pt idx="43">
                  <c:v>437.32355211969843</c:v>
                </c:pt>
                <c:pt idx="44">
                  <c:v>459.03369461888519</c:v>
                </c:pt>
                <c:pt idx="45">
                  <c:v>480.72192286008544</c:v>
                </c:pt>
                <c:pt idx="46">
                  <c:v>502.3893637909328</c:v>
                </c:pt>
                <c:pt idx="47">
                  <c:v>524.03703930017934</c:v>
                </c:pt>
                <c:pt idx="48">
                  <c:v>545.66588003482593</c:v>
                </c:pt>
                <c:pt idx="49">
                  <c:v>567.2767369135463</c:v>
                </c:pt>
                <c:pt idx="50">
                  <c:v>588.87039079533213</c:v>
                </c:pt>
                <c:pt idx="51">
                  <c:v>488.20011850953728</c:v>
                </c:pt>
                <c:pt idx="52">
                  <c:v>506.44186491750833</c:v>
                </c:pt>
                <c:pt idx="53">
                  <c:v>524.66972453027984</c:v>
                </c:pt>
                <c:pt idx="54">
                  <c:v>542.88424739876098</c:v>
                </c:pt>
                <c:pt idx="55">
                  <c:v>561.08594367871262</c:v>
                </c:pt>
                <c:pt idx="56">
                  <c:v>579.27528775109101</c:v>
                </c:pt>
                <c:pt idx="57">
                  <c:v>597.4527217982378</c:v>
                </c:pt>
                <c:pt idx="58">
                  <c:v>615.61865892247363</c:v>
                </c:pt>
                <c:pt idx="59">
                  <c:v>633.77348587768927</c:v>
                </c:pt>
                <c:pt idx="60">
                  <c:v>651.91756547188425</c:v>
                </c:pt>
                <c:pt idx="61">
                  <c:v>577.25484549588498</c:v>
                </c:pt>
                <c:pt idx="62">
                  <c:v>592.15217566749891</c:v>
                </c:pt>
                <c:pt idx="63">
                  <c:v>607.04170727539702</c:v>
                </c:pt>
                <c:pt idx="64">
                  <c:v>621.92365844556696</c:v>
                </c:pt>
                <c:pt idx="65">
                  <c:v>636.79823601975852</c:v>
                </c:pt>
                <c:pt idx="66">
                  <c:v>651.66563639464164</c:v>
                </c:pt>
                <c:pt idx="67">
                  <c:v>666.52604628044833</c:v>
                </c:pt>
                <c:pt idx="68">
                  <c:v>681.37964338848485</c:v>
                </c:pt>
                <c:pt idx="69">
                  <c:v>696.22659705561784</c:v>
                </c:pt>
                <c:pt idx="70">
                  <c:v>711.06706881276114</c:v>
                </c:pt>
                <c:pt idx="71">
                  <c:v>653.6810128637851</c:v>
                </c:pt>
                <c:pt idx="72">
                  <c:v>665.51877810099154</c:v>
                </c:pt>
                <c:pt idx="73">
                  <c:v>677.35221272181798</c:v>
                </c:pt>
                <c:pt idx="74">
                  <c:v>689.18140301253072</c:v>
                </c:pt>
                <c:pt idx="75">
                  <c:v>701.00643205718552</c:v>
                </c:pt>
                <c:pt idx="76">
                  <c:v>712.82737990961004</c:v>
                </c:pt>
                <c:pt idx="77">
                  <c:v>724.64432375339163</c:v>
                </c:pt>
                <c:pt idx="78">
                  <c:v>736.45733805089333</c:v>
                </c:pt>
                <c:pt idx="79">
                  <c:v>748.2664946822191</c:v>
                </c:pt>
                <c:pt idx="80">
                  <c:v>760.07186307495249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abSelected="1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K114" sqref="K114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3.72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18</v>
      </c>
      <c r="C9" s="32">
        <v>0.35</v>
      </c>
      <c r="D9" s="33">
        <f t="shared" ref="D9:D18" si="0">C9*$C$5</f>
        <v>1.302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164</v>
      </c>
      <c r="C10" s="32">
        <v>0.26</v>
      </c>
      <c r="D10" s="33">
        <f t="shared" si="0"/>
        <v>0.96720000000000006</v>
      </c>
      <c r="E10" s="34">
        <v>100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27</v>
      </c>
      <c r="C11" s="32">
        <v>0.18</v>
      </c>
      <c r="D11" s="33">
        <f t="shared" si="0"/>
        <v>0.66959999999999997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35</v>
      </c>
      <c r="C12" s="32">
        <v>0.19</v>
      </c>
      <c r="D12" s="33">
        <f t="shared" si="0"/>
        <v>0.70680000000000009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0.98</v>
      </c>
      <c r="D19" s="38">
        <f>SUM(D9:D18)</f>
        <v>3.6456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Douglas</v>
      </c>
      <c r="D32" s="229" t="s">
        <v>307</v>
      </c>
      <c r="I32" s="23" t="s">
        <v>324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10</v>
      </c>
      <c r="B36" s="60">
        <v>27</v>
      </c>
      <c r="C36" s="60"/>
      <c r="D36" s="60">
        <v>0</v>
      </c>
      <c r="E36" s="51"/>
      <c r="F36" s="51"/>
      <c r="G36" s="51"/>
      <c r="H36" s="51"/>
      <c r="I36" s="49">
        <f>IFERROR(B36/A36,"")</f>
        <v>2.7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20</v>
      </c>
      <c r="B37" s="60">
        <f>124+D37</f>
        <v>228</v>
      </c>
      <c r="C37" s="60">
        <v>1</v>
      </c>
      <c r="D37" s="60">
        <f>34+70</f>
        <v>104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20.100000000000001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30</v>
      </c>
      <c r="B38" s="60">
        <f>259+D38</f>
        <v>399</v>
      </c>
      <c r="C38" s="60">
        <v>2</v>
      </c>
      <c r="D38" s="60">
        <f>70+70</f>
        <v>140</v>
      </c>
      <c r="E38" s="51">
        <v>0.2</v>
      </c>
      <c r="F38" s="51">
        <v>0.4</v>
      </c>
      <c r="G38" s="51">
        <v>0.4</v>
      </c>
      <c r="H38" s="51"/>
      <c r="I38" s="53">
        <f t="shared" si="1"/>
        <v>27.5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40</v>
      </c>
      <c r="B39" s="60">
        <f>387+D39</f>
        <v>527</v>
      </c>
      <c r="C39" s="60">
        <v>3</v>
      </c>
      <c r="D39" s="60">
        <f>70+70</f>
        <v>140</v>
      </c>
      <c r="E39" s="51"/>
      <c r="F39" s="51"/>
      <c r="G39" s="51"/>
      <c r="H39" s="51"/>
      <c r="I39" s="49">
        <f t="shared" si="1"/>
        <v>26.8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50</v>
      </c>
      <c r="B40" s="60">
        <f>486+D40</f>
        <v>615</v>
      </c>
      <c r="C40" s="60">
        <v>4</v>
      </c>
      <c r="D40" s="60">
        <f>70+59</f>
        <v>129</v>
      </c>
      <c r="E40" s="51"/>
      <c r="F40" s="51"/>
      <c r="G40" s="51"/>
      <c r="H40" s="51"/>
      <c r="I40" s="49">
        <f t="shared" si="1"/>
        <v>22.8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60</v>
      </c>
      <c r="B41" s="60">
        <f>583+D41</f>
        <v>679</v>
      </c>
      <c r="C41" s="60">
        <v>5</v>
      </c>
      <c r="D41" s="60">
        <f>51+45</f>
        <v>96</v>
      </c>
      <c r="E41" s="51"/>
      <c r="F41" s="51"/>
      <c r="G41" s="51"/>
      <c r="H41" s="51"/>
      <c r="I41" s="53">
        <f t="shared" si="1"/>
        <v>19.3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70</v>
      </c>
      <c r="B42" s="60">
        <f>661+D42</f>
        <v>741</v>
      </c>
      <c r="C42" s="60">
        <v>6</v>
      </c>
      <c r="D42" s="60">
        <f>41+39</f>
        <v>80</v>
      </c>
      <c r="E42" s="51"/>
      <c r="F42" s="51"/>
      <c r="G42" s="51"/>
      <c r="H42" s="51"/>
      <c r="I42" s="53">
        <f t="shared" si="1"/>
        <v>15.8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80</v>
      </c>
      <c r="B43" s="60">
        <f>719+35+36</f>
        <v>790</v>
      </c>
      <c r="C43" s="60">
        <v>7</v>
      </c>
      <c r="D43" s="60">
        <f>B43</f>
        <v>790</v>
      </c>
      <c r="E43" s="51"/>
      <c r="F43" s="51"/>
      <c r="G43" s="51"/>
      <c r="H43" s="51"/>
      <c r="I43" s="49">
        <f t="shared" si="1"/>
        <v>12.9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Cèdre de l'Atlas</v>
      </c>
      <c r="D58" s="229" t="s">
        <v>307</v>
      </c>
      <c r="I58" s="23" t="s">
        <v>327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158</v>
      </c>
      <c r="C62" s="60">
        <v>1</v>
      </c>
      <c r="D62" s="60">
        <v>12.5</v>
      </c>
      <c r="E62" s="51"/>
      <c r="F62" s="51">
        <v>0.5</v>
      </c>
      <c r="G62" s="51">
        <v>0.5</v>
      </c>
      <c r="H62" s="51"/>
      <c r="I62" s="53">
        <f>IFERROR(B62/A62,"")</f>
        <v>7.9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f>250-D62</f>
        <v>237.5</v>
      </c>
      <c r="C63" s="60">
        <v>2</v>
      </c>
      <c r="D63" s="60">
        <v>45.9</v>
      </c>
      <c r="E63" s="51">
        <v>0.2</v>
      </c>
      <c r="F63" s="51">
        <v>0.4</v>
      </c>
      <c r="G63" s="51">
        <v>0.4</v>
      </c>
      <c r="H63" s="51"/>
      <c r="I63" s="49">
        <f>IF(A63&lt;&gt;0,(B63-(B62-D62))/(A63-A62),"")</f>
        <v>9.1999999999999993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60">
        <f>350-SUM(D62:D63)</f>
        <v>291.60000000000002</v>
      </c>
      <c r="C64" s="60">
        <v>3</v>
      </c>
      <c r="D64" s="60">
        <v>83.4</v>
      </c>
      <c r="E64" s="51"/>
      <c r="F64" s="51"/>
      <c r="G64" s="51"/>
      <c r="H64" s="51"/>
      <c r="I64" s="49">
        <f>IF(A64&lt;&gt;0,(B64-(B63-D63))/(A64-A63),"")</f>
        <v>10.000000000000004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f>465-SUM(D62:D64)</f>
        <v>323.2</v>
      </c>
      <c r="C65" s="60">
        <v>4</v>
      </c>
      <c r="D65" s="60">
        <v>83.4</v>
      </c>
      <c r="E65" s="51"/>
      <c r="F65" s="51"/>
      <c r="G65" s="51"/>
      <c r="H65" s="51"/>
      <c r="I65" s="49">
        <f>IF(A65&lt;&gt;0,(B65-(B64-D64))/(A65-A64),"")</f>
        <v>11.499999999999996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60">
        <f>600-SUM(D62:D65)</f>
        <v>374.79999999999995</v>
      </c>
      <c r="C66" s="60">
        <v>5</v>
      </c>
      <c r="D66" s="60">
        <v>83.4</v>
      </c>
      <c r="E66" s="51"/>
      <c r="F66" s="51"/>
      <c r="G66" s="51"/>
      <c r="H66" s="51"/>
      <c r="I66" s="49">
        <f t="shared" ref="I66:I81" si="2">IF(A66&lt;&gt;0,(B66-(B65-D65))/(A66-A65),"")</f>
        <v>13.499999999999996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f>755-SUM(D62:D66)</f>
        <v>446.4</v>
      </c>
      <c r="C67" s="60">
        <v>6</v>
      </c>
      <c r="D67" s="60">
        <v>83.4</v>
      </c>
      <c r="E67" s="51"/>
      <c r="F67" s="51"/>
      <c r="G67" s="51"/>
      <c r="H67" s="51"/>
      <c r="I67" s="49">
        <f t="shared" si="2"/>
        <v>15.5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60">
        <f>925-SUM(D62:D67)</f>
        <v>533</v>
      </c>
      <c r="C68" s="60">
        <v>7</v>
      </c>
      <c r="D68" s="60">
        <v>83.4</v>
      </c>
      <c r="E68" s="51"/>
      <c r="F68" s="51"/>
      <c r="G68" s="51"/>
      <c r="H68" s="51"/>
      <c r="I68" s="49">
        <f t="shared" si="2"/>
        <v>17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90</v>
      </c>
      <c r="B69" s="50">
        <f>1100-SUM(D62:D68)</f>
        <v>624.6</v>
      </c>
      <c r="C69" s="50">
        <v>8</v>
      </c>
      <c r="D69" s="50">
        <v>83.4</v>
      </c>
      <c r="E69" s="51"/>
      <c r="F69" s="51"/>
      <c r="G69" s="51"/>
      <c r="H69" s="51"/>
      <c r="I69" s="49">
        <f t="shared" si="2"/>
        <v>17.5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100</v>
      </c>
      <c r="B70" s="50">
        <f>1285-SUM(D62:D69)</f>
        <v>726.2</v>
      </c>
      <c r="C70" s="50">
        <v>9</v>
      </c>
      <c r="D70" s="50">
        <v>726.2</v>
      </c>
      <c r="E70" s="51"/>
      <c r="F70" s="51"/>
      <c r="G70" s="51"/>
      <c r="H70" s="51"/>
      <c r="I70" s="49">
        <f t="shared" si="2"/>
        <v>18.5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Mélèze d'Europe</v>
      </c>
      <c r="D84" s="229" t="s">
        <v>307</v>
      </c>
      <c r="I84" s="23" t="s">
        <v>325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10</v>
      </c>
      <c r="B88" s="60">
        <v>27</v>
      </c>
      <c r="C88" s="60">
        <v>0</v>
      </c>
      <c r="D88" s="60">
        <v>0</v>
      </c>
      <c r="E88" s="51"/>
      <c r="F88" s="51"/>
      <c r="G88" s="51"/>
      <c r="H88" s="87"/>
      <c r="I88" s="53">
        <f>IFERROR(B88/A88,"")</f>
        <v>2.7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15</v>
      </c>
      <c r="B89" s="60">
        <v>85</v>
      </c>
      <c r="C89" s="60">
        <v>0</v>
      </c>
      <c r="D89" s="60">
        <v>0</v>
      </c>
      <c r="E89" s="51"/>
      <c r="F89" s="51"/>
      <c r="G89" s="51"/>
      <c r="H89" s="87"/>
      <c r="I89" s="53">
        <f t="shared" ref="I89:I107" si="3">IF(A89&lt;&gt;0,(B89-(B88-D88))/(A89-A88),"")</f>
        <v>11.6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20</v>
      </c>
      <c r="B90" s="60">
        <v>158</v>
      </c>
      <c r="C90" s="60">
        <v>1</v>
      </c>
      <c r="D90" s="60">
        <v>60</v>
      </c>
      <c r="E90" s="87"/>
      <c r="F90" s="87">
        <v>0.5</v>
      </c>
      <c r="G90" s="87">
        <v>0.5</v>
      </c>
      <c r="H90" s="87"/>
      <c r="I90" s="53">
        <f t="shared" si="3"/>
        <v>14.6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30</v>
      </c>
      <c r="B91" s="60">
        <v>263</v>
      </c>
      <c r="C91" s="60">
        <v>2</v>
      </c>
      <c r="D91" s="60">
        <v>84</v>
      </c>
      <c r="E91" s="87">
        <v>0.2</v>
      </c>
      <c r="F91" s="87">
        <v>0.4</v>
      </c>
      <c r="G91" s="87">
        <v>0.4</v>
      </c>
      <c r="H91" s="87"/>
      <c r="I91" s="53">
        <f t="shared" si="3"/>
        <v>16.5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40</v>
      </c>
      <c r="B92" s="60">
        <v>330</v>
      </c>
      <c r="C92" s="60">
        <v>3</v>
      </c>
      <c r="D92" s="60">
        <v>82</v>
      </c>
      <c r="E92" s="87"/>
      <c r="F92" s="87"/>
      <c r="G92" s="87"/>
      <c r="H92" s="87"/>
      <c r="I92" s="53">
        <f t="shared" si="3"/>
        <v>15.1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50</v>
      </c>
      <c r="B93" s="60">
        <v>372</v>
      </c>
      <c r="C93" s="60">
        <v>4</v>
      </c>
      <c r="D93" s="60">
        <v>68</v>
      </c>
      <c r="E93" s="87"/>
      <c r="F93" s="87"/>
      <c r="G93" s="87"/>
      <c r="H93" s="87"/>
      <c r="I93" s="53">
        <f t="shared" si="3"/>
        <v>12.4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60</v>
      </c>
      <c r="B94" s="60">
        <v>404</v>
      </c>
      <c r="C94" s="60">
        <v>5</v>
      </c>
      <c r="D94" s="60">
        <v>55</v>
      </c>
      <c r="E94" s="87"/>
      <c r="F94" s="87"/>
      <c r="G94" s="87"/>
      <c r="H94" s="87"/>
      <c r="I94" s="53">
        <f t="shared" si="3"/>
        <v>10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70</v>
      </c>
      <c r="B95" s="60">
        <v>427</v>
      </c>
      <c r="C95" s="60">
        <v>6</v>
      </c>
      <c r="D95" s="60">
        <v>45</v>
      </c>
      <c r="E95" s="87"/>
      <c r="F95" s="87"/>
      <c r="G95" s="87"/>
      <c r="H95" s="87"/>
      <c r="I95" s="53">
        <f t="shared" si="3"/>
        <v>7.8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80</v>
      </c>
      <c r="B96" s="60">
        <f>406+36</f>
        <v>442</v>
      </c>
      <c r="C96" s="60">
        <v>7</v>
      </c>
      <c r="D96" s="60">
        <f>B96</f>
        <v>442</v>
      </c>
      <c r="E96" s="87"/>
      <c r="F96" s="87"/>
      <c r="G96" s="87"/>
      <c r="H96" s="87"/>
      <c r="I96" s="53">
        <f t="shared" si="3"/>
        <v>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Pin laricio</v>
      </c>
      <c r="D110" s="229" t="s">
        <v>307</v>
      </c>
      <c r="I110" s="23" t="s">
        <v>326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15</v>
      </c>
      <c r="B114" s="60">
        <v>75</v>
      </c>
      <c r="C114" s="50">
        <v>0</v>
      </c>
      <c r="D114" s="60">
        <v>0</v>
      </c>
      <c r="E114" s="51"/>
      <c r="F114" s="51"/>
      <c r="G114" s="51"/>
      <c r="H114" s="51"/>
      <c r="I114" s="53">
        <f>IFERROR(B114/A114,"")</f>
        <v>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20</v>
      </c>
      <c r="B115" s="60">
        <v>152</v>
      </c>
      <c r="C115" s="50">
        <v>1</v>
      </c>
      <c r="D115" s="60">
        <v>42</v>
      </c>
      <c r="E115" s="51"/>
      <c r="F115" s="51">
        <v>0.5</v>
      </c>
      <c r="G115" s="51">
        <v>0.5</v>
      </c>
      <c r="H115" s="51"/>
      <c r="I115" s="53">
        <f t="shared" ref="I115:I133" si="4">IF(A115&lt;&gt;0,(B115-(B114-D114))/(A115-A114),"")</f>
        <v>15.4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30</v>
      </c>
      <c r="B116" s="60">
        <v>293</v>
      </c>
      <c r="C116" s="50">
        <v>2</v>
      </c>
      <c r="D116" s="60">
        <v>98</v>
      </c>
      <c r="E116" s="51">
        <v>0.1</v>
      </c>
      <c r="F116" s="51">
        <v>0.45</v>
      </c>
      <c r="G116" s="51">
        <v>0.45</v>
      </c>
      <c r="H116" s="51"/>
      <c r="I116" s="53">
        <f t="shared" si="4"/>
        <v>18.3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40</v>
      </c>
      <c r="B117" s="60">
        <v>383</v>
      </c>
      <c r="C117" s="50">
        <v>3</v>
      </c>
      <c r="D117" s="60">
        <v>98</v>
      </c>
      <c r="E117" s="51"/>
      <c r="F117" s="51"/>
      <c r="G117" s="51"/>
      <c r="H117" s="51"/>
      <c r="I117" s="53">
        <f t="shared" si="4"/>
        <v>18.8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50</v>
      </c>
      <c r="B118" s="60">
        <v>456</v>
      </c>
      <c r="C118" s="50">
        <v>4</v>
      </c>
      <c r="D118" s="60">
        <v>94</v>
      </c>
      <c r="E118" s="51"/>
      <c r="F118" s="51"/>
      <c r="G118" s="51"/>
      <c r="H118" s="51"/>
      <c r="I118" s="53">
        <f t="shared" si="4"/>
        <v>17.100000000000001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60</v>
      </c>
      <c r="B119" s="60">
        <v>506</v>
      </c>
      <c r="C119" s="50">
        <v>5</v>
      </c>
      <c r="D119" s="60">
        <v>71</v>
      </c>
      <c r="E119" s="51"/>
      <c r="F119" s="51"/>
      <c r="G119" s="51"/>
      <c r="H119" s="51"/>
      <c r="I119" s="53">
        <f t="shared" si="4"/>
        <v>14.4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70</v>
      </c>
      <c r="B120" s="60">
        <v>553</v>
      </c>
      <c r="C120" s="60">
        <v>6</v>
      </c>
      <c r="D120" s="60">
        <v>55</v>
      </c>
      <c r="E120" s="87"/>
      <c r="F120" s="87"/>
      <c r="G120" s="87"/>
      <c r="H120" s="87"/>
      <c r="I120" s="53">
        <f t="shared" si="4"/>
        <v>11.8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80</v>
      </c>
      <c r="B121" s="60">
        <v>592</v>
      </c>
      <c r="C121" s="60">
        <v>7</v>
      </c>
      <c r="D121" s="60">
        <v>592</v>
      </c>
      <c r="E121" s="87"/>
      <c r="F121" s="87"/>
      <c r="G121" s="87"/>
      <c r="H121" s="87"/>
      <c r="I121" s="53">
        <f t="shared" si="4"/>
        <v>9.4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1" sqref="G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Cèdre de l'Atlas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Mélèze d'Europe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Pin laricio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415.91544298418842</v>
      </c>
      <c r="T3" s="59">
        <f>IF('Données projet'!E9&gt;30,$R$33-$H$33,LOOKUP('Données projet'!$E$9,$A$3:$A$203,R3:R203)-LOOKUP('Données projet'!$E$9,$A$3:$A$203,$H$3:$H$203))</f>
        <v>422.79312683312583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215.23235148064941</v>
      </c>
      <c r="AO3" s="59">
        <f>IF('Données projet'!E10&gt;30,$AM$33-$H$33,LOOKUP('Données projet'!$E$10,$A$3:$A$203,AM3:AM203)-LOOKUP('Données projet'!$E$10,$A$3:$A$203,$H$3:$H$203))</f>
        <v>184.07239726900434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261.27638267284169</v>
      </c>
      <c r="BJ3" s="59">
        <f>IF('Données projet'!E11&gt;30,$BH$33-$H$33,LOOKUP('Données projet'!$E$11,$A$3:$A$203,BH3:BH203)-LOOKUP('Données projet'!$E$11,$A$3:$A$203,$H$3:$H$203))</f>
        <v>297.50513563712764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314.69202393413491</v>
      </c>
      <c r="CE3" s="59">
        <f>IF('Données projet'!E12&gt;30,$CC$33-$H$33,LOOKUP('Données projet'!$E$12,$A$3:$A$203,CC3:CC203)-LOOKUP('Données projet'!$E$12,$A$3:$A$203,$H$3:$H$203))</f>
        <v>321.1728368524748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2.7</v>
      </c>
      <c r="N4" s="13">
        <f>IF('Données projet'!$A$36&gt;35,N3+M4-V3,IF(A4&lt;'Données projet'!$A$36,$K$205^A4,IF(A4='Données projet'!$A$36,'Données projet'!$B$36,N3+M4-V3)))</f>
        <v>1.3903891703159093</v>
      </c>
      <c r="O4" s="13">
        <f>N4*VLOOKUP('Données projet'!$B$9,Paramètres!$A$1:$I$89,3,0)*VLOOKUP('Données projet'!$B$9,Paramètres!$A$1:$I$89,5,0)</f>
        <v>0.77722754620659329</v>
      </c>
      <c r="P4" s="13">
        <f>EXP(-1.0587+0.8836*LN(O4)+0.284)</f>
        <v>0.36884206136494596</v>
      </c>
      <c r="Q4" s="20">
        <f t="shared" ref="Q4:Q34" si="2">(O4+P4)*0.475*44/12</f>
        <v>1.9960712331870976</v>
      </c>
      <c r="R4" s="59">
        <f t="shared" si="0"/>
        <v>295.3294045665204</v>
      </c>
      <c r="S4" s="59">
        <f ca="1">AVERAGE(OFFSET($R$3,0,0,'Données projet'!$E$9+1,1))-AVERAGE(OFFSET($H$3,0,0,'Données projet'!$E$9+1,1))</f>
        <v>415.91544298418842</v>
      </c>
      <c r="T4" s="59">
        <f>$T$3</f>
        <v>422.79312683312583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7.9</v>
      </c>
      <c r="AI4" s="13">
        <f>IF('Données projet'!$A$62&gt;35,AI3+AH4-AQ3,IF(A4&lt;'Données projet'!$A$62,$AF$205^A4,IF(A4='Données projet'!$A$62,'Données projet'!$B$62,AI3+AH4-AQ3)))</f>
        <v>1.2880503926580862</v>
      </c>
      <c r="AJ4" s="13">
        <f>AI4*VLOOKUP('Données projet'!$B$10,Paramètres!$A$1:$I$89,3,0)*VLOOKUP('Données projet'!$B$10,Paramètres!$A$1:$I$89,5,0)</f>
        <v>0.60280758376398436</v>
      </c>
      <c r="AK4" s="13">
        <f>EXP(-1.0587+0.8836*LN(AJ4)+0.284)</f>
        <v>0.29465781953181042</v>
      </c>
      <c r="AL4" s="20">
        <f t="shared" ref="AL4:AL67" si="4">(AJ4+AK4)*0.475*44/12</f>
        <v>1.5630855774068424</v>
      </c>
      <c r="AM4" s="59">
        <f t="shared" ref="AM4:AM67" si="5">AL4+(AD4+AE4)*44/12</f>
        <v>294.89641891074018</v>
      </c>
      <c r="AN4" s="59">
        <f ca="1">AVERAGE(OFFSET($AM$3,0,0,'Données projet'!$E$10+1,1))-AVERAGE(OFFSET($H$3,0,0,'Données projet'!$E$10+1,1))</f>
        <v>215.23235148064941</v>
      </c>
      <c r="AO4" s="59">
        <f>$AO$3</f>
        <v>184.07239726900434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2.7</v>
      </c>
      <c r="BD4" s="12">
        <f>IF('Données projet'!$A$88&gt;35,BD3+BC4-BL3,IF(A4&lt;'Données projet'!$A$88,$BA$205^A4,IF(A4='Données projet'!$A$88,'Données projet'!$B$88,BD3+BC4-BL3)))</f>
        <v>1.3903891703159093</v>
      </c>
      <c r="BE4" s="13">
        <f>BD4*VLOOKUP('Données projet'!$B$11,Paramètres!$A$1:$I$89,3,0)*VLOOKUP('Données projet'!$B$11,Paramètres!$A$1:$I$89,5,0)</f>
        <v>0.86760284227712736</v>
      </c>
      <c r="BF4" s="13">
        <f>EXP(-1.0587+0.8836*LN(BE4)+0.284)</f>
        <v>0.40649243773012311</v>
      </c>
      <c r="BG4" s="20">
        <f t="shared" ref="BG4:BG67" si="7">(BE4+BF4)*0.475*44/12</f>
        <v>2.2190492793459611</v>
      </c>
      <c r="BH4" s="59">
        <f t="shared" ref="BH4:BH67" si="8">BG4+(AY4+AZ4)*44/12</f>
        <v>295.55238261267925</v>
      </c>
      <c r="BI4" s="59">
        <f ca="1">AVERAGE(OFFSET($BH$3,0,0,'Données projet'!$E$11+1,1))-AVERAGE(OFFSET($H$3,0,0,'Données projet'!$E$11+1,1))</f>
        <v>261.27638267284169</v>
      </c>
      <c r="BJ4" s="59">
        <f>$BJ$3</f>
        <v>297.50513563712764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5</v>
      </c>
      <c r="BY4" s="12">
        <f>IF('Données projet'!$A$114&gt;35,BY3+BX4-CG3,IF(A4&lt;'Données projet'!$A$114,$BV$205^A4,IF(A4='Données projet'!$A$114,'Données projet'!$B$114,BY3+BX4-CG3)))</f>
        <v>1.3335339730287799</v>
      </c>
      <c r="BZ4" s="13">
        <f>BY4*VLOOKUP('Données projet'!$B$12,Paramètres!$A$1:$I$89,3,0)*VLOOKUP('Données projet'!$B$12,Paramètres!$A$1:$I$89,5,0)</f>
        <v>0.79745331587121038</v>
      </c>
      <c r="CA4" s="13">
        <f>EXP(-1.0587+0.8836*LN(BZ4)+0.284)</f>
        <v>0.37731045544306524</v>
      </c>
      <c r="CB4" s="20">
        <f t="shared" ref="CB4:CB67" si="10">(BZ4+CA4)*0.475*44/12</f>
        <v>2.0460469017056964</v>
      </c>
      <c r="CC4" s="59">
        <f t="shared" ref="CC4:CC67" si="11">CB4+(BT4+BU4)*44/12</f>
        <v>295.37938023503904</v>
      </c>
      <c r="CD4" s="59">
        <f ca="1">AVERAGE(OFFSET($CC$3,0,0,'Données projet'!$E$12+1,1))-AVERAGE(OFFSET($H$3,0,0,'Données projet'!$E$12+1,1))</f>
        <v>314.69202393413491</v>
      </c>
      <c r="CE4" s="59">
        <f>$CE$3</f>
        <v>321.1728368524748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2.7</v>
      </c>
      <c r="N5" s="13">
        <f>IF('Données projet'!$A$36&gt;35,N4+M5-V4,IF(A5&lt;'Données projet'!$A$36,$K$205^A5,IF(A5='Données projet'!$A$36,'Données projet'!$B$36,N4+M5-V4)))</f>
        <v>1.9331820449317625</v>
      </c>
      <c r="O5" s="13">
        <f>N5*VLOOKUP('Données projet'!$B$9,Paramètres!$A$1:$I$89,3,0)*VLOOKUP('Données projet'!$B$9,Paramètres!$A$1:$I$89,5,0)</f>
        <v>1.0806487631168553</v>
      </c>
      <c r="P5" s="13">
        <f t="shared" ref="P5:P68" si="33">EXP(-1.0587+0.8836*LN(O5)+0.284)</f>
        <v>0.49353248375234221</v>
      </c>
      <c r="Q5" s="20">
        <f t="shared" si="2"/>
        <v>2.7416990049638525</v>
      </c>
      <c r="R5" s="59">
        <f t="shared" si="0"/>
        <v>296.07503233829715</v>
      </c>
      <c r="S5" s="59">
        <f ca="1">AVERAGE(OFFSET($R$3,0,0,'Données projet'!$E$9+1,1))-AVERAGE(OFFSET($H$3,0,0,'Données projet'!$E$9+1,1))</f>
        <v>415.91544298418842</v>
      </c>
      <c r="T5" s="59">
        <f t="shared" ref="T5:T68" si="34">$T$3</f>
        <v>422.79312683312583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7.9</v>
      </c>
      <c r="AI5" s="13">
        <f>IF('Données projet'!$A$62&gt;35,AI4+AH5-AQ4,IF(A5&lt;'Données projet'!$A$62,$AF$205^A5,IF(A5='Données projet'!$A$62,'Données projet'!$B$62,AI4+AH5-AQ4)))</f>
        <v>1.6590738140266501</v>
      </c>
      <c r="AJ5" s="13">
        <f>AI5*VLOOKUP('Données projet'!$B$10,Paramètres!$A$1:$I$89,3,0)*VLOOKUP('Données projet'!$B$10,Paramètres!$A$1:$I$89,5,0)</f>
        <v>0.77644654496447219</v>
      </c>
      <c r="AK5" s="13">
        <f t="shared" ref="AK5:AK68" si="35">EXP(-1.0587+0.8836*LN(AJ5)+0.284)</f>
        <v>0.36851455096495994</v>
      </c>
      <c r="AL5" s="20">
        <f t="shared" si="4"/>
        <v>1.9941405754104276</v>
      </c>
      <c r="AM5" s="59">
        <f t="shared" si="5"/>
        <v>295.32747390874374</v>
      </c>
      <c r="AN5" s="59">
        <f ca="1">AVERAGE(OFFSET($AM$3,0,0,'Données projet'!$E$10+1,1))-AVERAGE(OFFSET($H$3,0,0,'Données projet'!$E$10+1,1))</f>
        <v>215.23235148064941</v>
      </c>
      <c r="AO5" s="59">
        <f t="shared" ref="AO5:AO68" si="36">$AO$3</f>
        <v>184.07239726900434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2.7</v>
      </c>
      <c r="BD5" s="12">
        <f>IF('Données projet'!$A$88&gt;35,BD4+BC5-BL4,IF(A5&lt;'Données projet'!$A$88,$BA$205^A5,IF(A5='Données projet'!$A$88,'Données projet'!$B$88,BD4+BC5-BL4)))</f>
        <v>1.9331820449317625</v>
      </c>
      <c r="BE5" s="13">
        <f>BD5*VLOOKUP('Données projet'!$B$11,Paramètres!$A$1:$I$89,3,0)*VLOOKUP('Données projet'!$B$11,Paramètres!$A$1:$I$89,5,0)</f>
        <v>1.2063055960374198</v>
      </c>
      <c r="BF5" s="13">
        <f t="shared" ref="BF5:BF68" si="37">EXP(-1.0587+0.8836*LN(BE5)+0.284)</f>
        <v>0.54391091318892137</v>
      </c>
      <c r="BG5" s="20">
        <f t="shared" si="7"/>
        <v>3.0482937535692103</v>
      </c>
      <c r="BH5" s="59">
        <f t="shared" si="8"/>
        <v>296.38162708690254</v>
      </c>
      <c r="BI5" s="59">
        <f ca="1">AVERAGE(OFFSET($BH$3,0,0,'Données projet'!$E$11+1,1))-AVERAGE(OFFSET($H$3,0,0,'Données projet'!$E$11+1,1))</f>
        <v>261.27638267284169</v>
      </c>
      <c r="BJ5" s="59">
        <f t="shared" ref="BJ5:BJ68" si="38">$BJ$3</f>
        <v>297.50513563712764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5</v>
      </c>
      <c r="BY5" s="12">
        <f>IF('Données projet'!$A$114&gt;35,BY4+BX5-CG4,IF(A5&lt;'Données projet'!$A$114,$BV$205^A5,IF(A5='Données projet'!$A$114,'Données projet'!$B$114,BY4+BX5-CG4)))</f>
        <v>1.7783128572219224</v>
      </c>
      <c r="BZ5" s="13">
        <f>BY5*VLOOKUP('Données projet'!$B$12,Paramètres!$A$1:$I$89,3,0)*VLOOKUP('Données projet'!$B$12,Paramètres!$A$1:$I$89,5,0)</f>
        <v>1.0634310886187097</v>
      </c>
      <c r="CA5" s="13">
        <f t="shared" ref="CA5:CA68" si="39">EXP(-1.0587+0.8836*LN(BZ5)+0.284)</f>
        <v>0.48657797727318047</v>
      </c>
      <c r="CB5" s="20">
        <f t="shared" si="10"/>
        <v>2.6995991230950414</v>
      </c>
      <c r="CC5" s="59">
        <f t="shared" si="11"/>
        <v>296.03293245642834</v>
      </c>
      <c r="CD5" s="59">
        <f ca="1">AVERAGE(OFFSET($CC$3,0,0,'Données projet'!$E$12+1,1))-AVERAGE(OFFSET($H$3,0,0,'Données projet'!$E$12+1,1))</f>
        <v>314.69202393413491</v>
      </c>
      <c r="CE5" s="59">
        <f t="shared" ref="CE5:CE68" si="40">$CE$3</f>
        <v>321.1728368524748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2.7</v>
      </c>
      <c r="N6" s="13">
        <f>IF('Données projet'!$A$36&gt;35,N5+M6-V5,IF(A6&lt;'Données projet'!$A$36,$K$205^A6,IF(A6='Données projet'!$A$36,'Données projet'!$B$36,N5+M6-V5)))</f>
        <v>2.6878753795222861</v>
      </c>
      <c r="O6" s="13">
        <f>N6*VLOOKUP('Données projet'!$B$9,Paramètres!$A$1:$I$89,3,0)*VLOOKUP('Données projet'!$B$9,Paramètres!$A$1:$I$89,5,0)</f>
        <v>1.5025223371529579</v>
      </c>
      <c r="P6" s="13">
        <f t="shared" si="33"/>
        <v>0.66037564050417386</v>
      </c>
      <c r="Q6" s="20">
        <f t="shared" si="2"/>
        <v>3.7670473110861704</v>
      </c>
      <c r="R6" s="59">
        <f t="shared" si="0"/>
        <v>297.10038064441949</v>
      </c>
      <c r="S6" s="59">
        <f ca="1">AVERAGE(OFFSET($R$3,0,0,'Données projet'!$E$9+1,1))-AVERAGE(OFFSET($H$3,0,0,'Données projet'!$E$9+1,1))</f>
        <v>415.91544298418842</v>
      </c>
      <c r="T6" s="59">
        <f t="shared" si="34"/>
        <v>422.79312683312583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7.9</v>
      </c>
      <c r="AI6" s="13">
        <f>IF('Données projet'!$A$62&gt;35,AI5+AH6-AQ5,IF(A6&lt;'Données projet'!$A$62,$AF$205^A6,IF(A6='Données projet'!$A$62,'Données projet'!$B$62,AI5+AH6-AQ5)))</f>
        <v>2.1369706776057753</v>
      </c>
      <c r="AJ6" s="13">
        <f>AI6*VLOOKUP('Données projet'!$B$10,Paramètres!$A$1:$I$89,3,0)*VLOOKUP('Données projet'!$B$10,Paramètres!$A$1:$I$89,5,0)</f>
        <v>1.0001022771195029</v>
      </c>
      <c r="AK6" s="13">
        <f t="shared" si="35"/>
        <v>0.46088365986243646</v>
      </c>
      <c r="AL6" s="20">
        <f t="shared" si="4"/>
        <v>2.5445505069102112</v>
      </c>
      <c r="AM6" s="59">
        <f t="shared" si="5"/>
        <v>295.8778838402435</v>
      </c>
      <c r="AN6" s="59">
        <f ca="1">AVERAGE(OFFSET($AM$3,0,0,'Données projet'!$E$10+1,1))-AVERAGE(OFFSET($H$3,0,0,'Données projet'!$E$10+1,1))</f>
        <v>215.23235148064941</v>
      </c>
      <c r="AO6" s="59">
        <f t="shared" si="36"/>
        <v>184.07239726900434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2.7</v>
      </c>
      <c r="BD6" s="12">
        <f>IF('Données projet'!$A$88&gt;35,BD5+BC6-BL5,IF(A6&lt;'Données projet'!$A$88,$BA$205^A6,IF(A6='Données projet'!$A$88,'Données projet'!$B$88,BD5+BC6-BL5)))</f>
        <v>2.6878753795222861</v>
      </c>
      <c r="BE6" s="13">
        <f>BD6*VLOOKUP('Données projet'!$B$11,Paramètres!$A$1:$I$89,3,0)*VLOOKUP('Données projet'!$B$11,Paramètres!$A$1:$I$89,5,0)</f>
        <v>1.6772342368219066</v>
      </c>
      <c r="BF6" s="13">
        <f t="shared" si="37"/>
        <v>0.72778495742255067</v>
      </c>
      <c r="BG6" s="20">
        <f t="shared" si="7"/>
        <v>4.1887417633090962</v>
      </c>
      <c r="BH6" s="59">
        <f t="shared" si="8"/>
        <v>297.52207509664242</v>
      </c>
      <c r="BI6" s="59">
        <f ca="1">AVERAGE(OFFSET($BH$3,0,0,'Données projet'!$E$11+1,1))-AVERAGE(OFFSET($H$3,0,0,'Données projet'!$E$11+1,1))</f>
        <v>261.27638267284169</v>
      </c>
      <c r="BJ6" s="59">
        <f t="shared" si="38"/>
        <v>297.50513563712764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5</v>
      </c>
      <c r="BY6" s="12">
        <f>IF('Données projet'!$A$114&gt;35,BY5+BX6-CG5,IF(A6&lt;'Données projet'!$A$114,$BV$205^A6,IF(A6='Données projet'!$A$114,'Données projet'!$B$114,BY5+BX6-CG5)))</f>
        <v>2.3714406097793117</v>
      </c>
      <c r="BZ6" s="13">
        <f>BY6*VLOOKUP('Données projet'!$B$12,Paramètres!$A$1:$I$89,3,0)*VLOOKUP('Données projet'!$B$12,Paramètres!$A$1:$I$89,5,0)</f>
        <v>1.4181214846480283</v>
      </c>
      <c r="CA6" s="13">
        <f t="shared" si="39"/>
        <v>0.62748891410719376</v>
      </c>
      <c r="CB6" s="20">
        <f t="shared" si="10"/>
        <v>3.562771444498678</v>
      </c>
      <c r="CC6" s="59">
        <f t="shared" si="11"/>
        <v>296.89610477783197</v>
      </c>
      <c r="CD6" s="59">
        <f ca="1">AVERAGE(OFFSET($CC$3,0,0,'Données projet'!$E$12+1,1))-AVERAGE(OFFSET($H$3,0,0,'Données projet'!$E$12+1,1))</f>
        <v>314.69202393413491</v>
      </c>
      <c r="CE6" s="59">
        <f t="shared" si="40"/>
        <v>321.1728368524748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2.7</v>
      </c>
      <c r="N7" s="13">
        <f>IF('Données projet'!$A$36&gt;35,N6+M7-V6,IF(A7&lt;'Données projet'!$A$36,$K$205^A7,IF(A7='Données projet'!$A$36,'Données projet'!$B$36,N6+M7-V6)))</f>
        <v>3.7371928188465509</v>
      </c>
      <c r="O7" s="13">
        <f>N7*VLOOKUP('Données projet'!$B$9,Paramètres!$A$1:$I$89,3,0)*VLOOKUP('Données projet'!$B$9,Paramètres!$A$1:$I$89,5,0)</f>
        <v>2.0890907857352219</v>
      </c>
      <c r="P7" s="13">
        <f t="shared" si="33"/>
        <v>0.88362164787137598</v>
      </c>
      <c r="Q7" s="20">
        <f t="shared" si="2"/>
        <v>5.1774741551981576</v>
      </c>
      <c r="R7" s="59">
        <f t="shared" si="0"/>
        <v>298.5108074885315</v>
      </c>
      <c r="S7" s="59">
        <f ca="1">AVERAGE(OFFSET($R$3,0,0,'Données projet'!$E$9+1,1))-AVERAGE(OFFSET($H$3,0,0,'Données projet'!$E$9+1,1))</f>
        <v>415.91544298418842</v>
      </c>
      <c r="T7" s="59">
        <f t="shared" si="34"/>
        <v>422.79312683312583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7.9</v>
      </c>
      <c r="AI7" s="13">
        <f>IF('Données projet'!$A$62&gt;35,AI6+AH7-AQ6,IF(A7&lt;'Données projet'!$A$62,$AF$205^A7,IF(A7='Données projet'!$A$62,'Données projet'!$B$62,AI6+AH7-AQ6)))</f>
        <v>2.7525259203889356</v>
      </c>
      <c r="AJ7" s="13">
        <f>AI7*VLOOKUP('Données projet'!$B$10,Paramètres!$A$1:$I$89,3,0)*VLOOKUP('Données projet'!$B$10,Paramètres!$A$1:$I$89,5,0)</f>
        <v>1.2881821307420218</v>
      </c>
      <c r="AK7" s="13">
        <f t="shared" si="35"/>
        <v>0.57640532069082717</v>
      </c>
      <c r="AL7" s="20">
        <f t="shared" si="4"/>
        <v>3.2474898112455457</v>
      </c>
      <c r="AM7" s="59">
        <f t="shared" si="5"/>
        <v>296.58082314457886</v>
      </c>
      <c r="AN7" s="59">
        <f ca="1">AVERAGE(OFFSET($AM$3,0,0,'Données projet'!$E$10+1,1))-AVERAGE(OFFSET($H$3,0,0,'Données projet'!$E$10+1,1))</f>
        <v>215.23235148064941</v>
      </c>
      <c r="AO7" s="59">
        <f t="shared" si="36"/>
        <v>184.07239726900434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2.7</v>
      </c>
      <c r="BD7" s="12">
        <f>IF('Données projet'!$A$88&gt;35,BD6+BC7-BL6,IF(A7&lt;'Données projet'!$A$88,$BA$205^A7,IF(A7='Données projet'!$A$88,'Données projet'!$B$88,BD6+BC7-BL6)))</f>
        <v>3.7371928188465509</v>
      </c>
      <c r="BE7" s="13">
        <f>BD7*VLOOKUP('Données projet'!$B$11,Paramètres!$A$1:$I$89,3,0)*VLOOKUP('Données projet'!$B$11,Paramètres!$A$1:$I$89,5,0)</f>
        <v>2.3320083189602476</v>
      </c>
      <c r="BF7" s="13">
        <f t="shared" si="37"/>
        <v>0.97381929909276987</v>
      </c>
      <c r="BG7" s="20">
        <f t="shared" si="7"/>
        <v>5.7576497681090046</v>
      </c>
      <c r="BH7" s="59">
        <f t="shared" si="8"/>
        <v>299.0909831014423</v>
      </c>
      <c r="BI7" s="59">
        <f ca="1">AVERAGE(OFFSET($BH$3,0,0,'Données projet'!$E$11+1,1))-AVERAGE(OFFSET($H$3,0,0,'Données projet'!$E$11+1,1))</f>
        <v>261.27638267284169</v>
      </c>
      <c r="BJ7" s="59">
        <f t="shared" si="38"/>
        <v>297.50513563712764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5</v>
      </c>
      <c r="BY7" s="12">
        <f>IF('Données projet'!$A$114&gt;35,BY6+BX7-CG6,IF(A7&lt;'Données projet'!$A$114,$BV$205^A7,IF(A7='Données projet'!$A$114,'Données projet'!$B$114,BY6+BX7-CG6)))</f>
        <v>3.1623966181607974</v>
      </c>
      <c r="BZ7" s="13">
        <f>BY7*VLOOKUP('Données projet'!$B$12,Paramètres!$A$1:$I$89,3,0)*VLOOKUP('Données projet'!$B$12,Paramètres!$A$1:$I$89,5,0)</f>
        <v>1.8911131776601571</v>
      </c>
      <c r="CA7" s="13">
        <f t="shared" si="39"/>
        <v>0.80920706591364211</v>
      </c>
      <c r="CB7" s="20">
        <f t="shared" si="10"/>
        <v>4.7030577575577004</v>
      </c>
      <c r="CC7" s="59">
        <f t="shared" si="11"/>
        <v>298.03639109089102</v>
      </c>
      <c r="CD7" s="59">
        <f ca="1">AVERAGE(OFFSET($CC$3,0,0,'Données projet'!$E$12+1,1))-AVERAGE(OFFSET($H$3,0,0,'Données projet'!$E$12+1,1))</f>
        <v>314.69202393413491</v>
      </c>
      <c r="CE7" s="59">
        <f t="shared" si="40"/>
        <v>321.1728368524748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2.7</v>
      </c>
      <c r="N8" s="13">
        <f>IF('Données projet'!$A$36&gt;35,N7+M8-V7,IF(A8&lt;'Données projet'!$A$36,$K$205^A8,IF(A8='Données projet'!$A$36,'Données projet'!$B$36,N7+M8-V7)))</f>
        <v>5.1961524227066302</v>
      </c>
      <c r="O8" s="13">
        <f>N8*VLOOKUP('Données projet'!$B$9,Paramètres!$A$1:$I$89,3,0)*VLOOKUP('Données projet'!$B$9,Paramètres!$A$1:$I$89,5,0)</f>
        <v>2.9046492042930061</v>
      </c>
      <c r="P8" s="13">
        <f t="shared" si="33"/>
        <v>1.1823380038531133</v>
      </c>
      <c r="Q8" s="20">
        <f t="shared" si="2"/>
        <v>7.1181693875211574</v>
      </c>
      <c r="R8" s="59">
        <f t="shared" si="0"/>
        <v>300.45150272085448</v>
      </c>
      <c r="S8" s="59">
        <f ca="1">AVERAGE(OFFSET($R$3,0,0,'Données projet'!$E$9+1,1))-AVERAGE(OFFSET($H$3,0,0,'Données projet'!$E$9+1,1))</f>
        <v>415.91544298418842</v>
      </c>
      <c r="T8" s="59">
        <f t="shared" si="34"/>
        <v>422.79312683312583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7.9</v>
      </c>
      <c r="AI8" s="13">
        <f>IF('Données projet'!$A$62&gt;35,AI7+AH8-AQ7,IF(A8&lt;'Données projet'!$A$62,$AF$205^A8,IF(A8='Données projet'!$A$62,'Données projet'!$B$62,AI7+AH8-AQ7)))</f>
        <v>3.5453920925585285</v>
      </c>
      <c r="AJ8" s="13">
        <f>AI8*VLOOKUP('Données projet'!$B$10,Paramètres!$A$1:$I$89,3,0)*VLOOKUP('Données projet'!$B$10,Paramètres!$A$1:$I$89,5,0)</f>
        <v>1.6592434993173915</v>
      </c>
      <c r="AK8" s="13">
        <f t="shared" si="35"/>
        <v>0.72088277944126433</v>
      </c>
      <c r="AL8" s="20">
        <f t="shared" si="4"/>
        <v>4.1453866021713255</v>
      </c>
      <c r="AM8" s="59">
        <f t="shared" si="5"/>
        <v>297.47871993550461</v>
      </c>
      <c r="AN8" s="59">
        <f ca="1">AVERAGE(OFFSET($AM$3,0,0,'Données projet'!$E$10+1,1))-AVERAGE(OFFSET($H$3,0,0,'Données projet'!$E$10+1,1))</f>
        <v>215.23235148064941</v>
      </c>
      <c r="AO8" s="59">
        <f t="shared" si="36"/>
        <v>184.07239726900434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2.7</v>
      </c>
      <c r="BD8" s="12">
        <f>IF('Données projet'!$A$88&gt;35,BD7+BC8-BL7,IF(A8&lt;'Données projet'!$A$88,$BA$205^A8,IF(A8='Données projet'!$A$88,'Données projet'!$B$88,BD7+BC8-BL7)))</f>
        <v>5.1961524227066302</v>
      </c>
      <c r="BE8" s="13">
        <f>BD8*VLOOKUP('Données projet'!$B$11,Paramètres!$A$1:$I$89,3,0)*VLOOKUP('Données projet'!$B$11,Paramètres!$A$1:$I$89,5,0)</f>
        <v>3.2423991117689375</v>
      </c>
      <c r="BF8" s="13">
        <f t="shared" si="37"/>
        <v>1.3030277935999417</v>
      </c>
      <c r="BG8" s="20">
        <f t="shared" si="7"/>
        <v>7.9166185268507983</v>
      </c>
      <c r="BH8" s="59">
        <f t="shared" si="8"/>
        <v>301.24995186018413</v>
      </c>
      <c r="BI8" s="59">
        <f ca="1">AVERAGE(OFFSET($BH$3,0,0,'Données projet'!$E$11+1,1))-AVERAGE(OFFSET($H$3,0,0,'Données projet'!$E$11+1,1))</f>
        <v>261.27638267284169</v>
      </c>
      <c r="BJ8" s="59">
        <f t="shared" si="38"/>
        <v>297.50513563712764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5</v>
      </c>
      <c r="BY8" s="12">
        <f>IF('Données projet'!$A$114&gt;35,BY7+BX8-CG7,IF(A8&lt;'Données projet'!$A$114,$BV$205^A8,IF(A8='Données projet'!$A$114,'Données projet'!$B$114,BY7+BX8-CG7)))</f>
        <v>4.2171633265087456</v>
      </c>
      <c r="BZ8" s="13">
        <f>BY8*VLOOKUP('Données projet'!$B$12,Paramètres!$A$1:$I$89,3,0)*VLOOKUP('Données projet'!$B$12,Paramètres!$A$1:$I$89,5,0)</f>
        <v>2.5218636692522298</v>
      </c>
      <c r="CA8" s="13">
        <f t="shared" si="39"/>
        <v>1.0435500306109049</v>
      </c>
      <c r="CB8" s="20">
        <f t="shared" si="10"/>
        <v>6.2097621939282925</v>
      </c>
      <c r="CC8" s="59">
        <f t="shared" si="11"/>
        <v>299.54309552726158</v>
      </c>
      <c r="CD8" s="59">
        <f ca="1">AVERAGE(OFFSET($CC$3,0,0,'Données projet'!$E$12+1,1))-AVERAGE(OFFSET($H$3,0,0,'Données projet'!$E$12+1,1))</f>
        <v>314.69202393413491</v>
      </c>
      <c r="CE8" s="59">
        <f t="shared" si="40"/>
        <v>321.1728368524748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2.7</v>
      </c>
      <c r="N9" s="13">
        <f>IF('Données projet'!$A$36&gt;35,N8+M9-V8,IF(A9&lt;'Données projet'!$A$36,$K$205^A9,IF(A9='Données projet'!$A$36,'Données projet'!$B$36,N8+M9-V8)))</f>
        <v>7.2246740558420726</v>
      </c>
      <c r="O9" s="13">
        <f>N9*VLOOKUP('Données projet'!$B$9,Paramètres!$A$1:$I$89,3,0)*VLOOKUP('Données projet'!$B$9,Paramètres!$A$1:$I$89,5,0)</f>
        <v>4.0385927972157187</v>
      </c>
      <c r="P9" s="13">
        <f t="shared" si="33"/>
        <v>1.5820381480274153</v>
      </c>
      <c r="Q9" s="20">
        <f t="shared" si="2"/>
        <v>9.7892655629651237</v>
      </c>
      <c r="R9" s="59">
        <f t="shared" si="0"/>
        <v>303.12259889629843</v>
      </c>
      <c r="S9" s="59">
        <f ca="1">AVERAGE(OFFSET($R$3,0,0,'Données projet'!$E$9+1,1))-AVERAGE(OFFSET($H$3,0,0,'Données projet'!$E$9+1,1))</f>
        <v>415.91544298418842</v>
      </c>
      <c r="T9" s="59">
        <f t="shared" si="34"/>
        <v>422.79312683312583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7.9</v>
      </c>
      <c r="AI9" s="13">
        <f>IF('Données projet'!$A$62&gt;35,AI8+AH9-AQ8,IF(A9&lt;'Données projet'!$A$62,$AF$205^A9,IF(A9='Données projet'!$A$62,'Données projet'!$B$62,AI8+AH9-AQ8)))</f>
        <v>4.566643676946887</v>
      </c>
      <c r="AJ9" s="13">
        <f>AI9*VLOOKUP('Données projet'!$B$10,Paramètres!$A$1:$I$89,3,0)*VLOOKUP('Données projet'!$B$10,Paramètres!$A$1:$I$89,5,0)</f>
        <v>2.1371892408111433</v>
      </c>
      <c r="AK9" s="13">
        <f t="shared" si="35"/>
        <v>0.9015738804633705</v>
      </c>
      <c r="AL9" s="20">
        <f t="shared" si="4"/>
        <v>5.292512436219778</v>
      </c>
      <c r="AM9" s="59">
        <f t="shared" si="5"/>
        <v>298.62584576955311</v>
      </c>
      <c r="AN9" s="59">
        <f ca="1">AVERAGE(OFFSET($AM$3,0,0,'Données projet'!$E$10+1,1))-AVERAGE(OFFSET($H$3,0,0,'Données projet'!$E$10+1,1))</f>
        <v>215.23235148064941</v>
      </c>
      <c r="AO9" s="59">
        <f t="shared" si="36"/>
        <v>184.07239726900434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2.7</v>
      </c>
      <c r="BD9" s="12">
        <f>IF('Données projet'!$A$88&gt;35,BD8+BC9-BL8,IF(A9&lt;'Données projet'!$A$88,$BA$205^A9,IF(A9='Données projet'!$A$88,'Données projet'!$B$88,BD8+BC9-BL8)))</f>
        <v>7.2246740558420726</v>
      </c>
      <c r="BE9" s="13">
        <f>BD9*VLOOKUP('Données projet'!$B$11,Paramètres!$A$1:$I$89,3,0)*VLOOKUP('Données projet'!$B$11,Paramètres!$A$1:$I$89,5,0)</f>
        <v>4.5081966108454532</v>
      </c>
      <c r="BF9" s="13">
        <f t="shared" si="37"/>
        <v>1.7435282217919823</v>
      </c>
      <c r="BG9" s="20">
        <f t="shared" si="7"/>
        <v>10.888420750176865</v>
      </c>
      <c r="BH9" s="59">
        <f t="shared" si="8"/>
        <v>304.22175408351018</v>
      </c>
      <c r="BI9" s="59">
        <f ca="1">AVERAGE(OFFSET($BH$3,0,0,'Données projet'!$E$11+1,1))-AVERAGE(OFFSET($H$3,0,0,'Données projet'!$E$11+1,1))</f>
        <v>261.27638267284169</v>
      </c>
      <c r="BJ9" s="59">
        <f t="shared" si="38"/>
        <v>297.50513563712764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5</v>
      </c>
      <c r="BY9" s="12">
        <f>IF('Données projet'!$A$114&gt;35,BY8+BX9-CG8,IF(A9&lt;'Données projet'!$A$114,$BV$205^A9,IF(A9='Données projet'!$A$114,'Données projet'!$B$114,BY8+BX9-CG8)))</f>
        <v>5.6237305657104724</v>
      </c>
      <c r="BZ9" s="13">
        <f>BY9*VLOOKUP('Données projet'!$B$12,Paramètres!$A$1:$I$89,3,0)*VLOOKUP('Données projet'!$B$12,Paramètres!$A$1:$I$89,5,0)</f>
        <v>3.3629908782948625</v>
      </c>
      <c r="CA9" s="13">
        <f t="shared" si="39"/>
        <v>1.3457577327979455</v>
      </c>
      <c r="CB9" s="20">
        <f t="shared" si="10"/>
        <v>8.2010704976533066</v>
      </c>
      <c r="CC9" s="59">
        <f t="shared" si="11"/>
        <v>301.53440383098661</v>
      </c>
      <c r="CD9" s="59">
        <f ca="1">AVERAGE(OFFSET($CC$3,0,0,'Données projet'!$E$12+1,1))-AVERAGE(OFFSET($H$3,0,0,'Données projet'!$E$12+1,1))</f>
        <v>314.69202393413491</v>
      </c>
      <c r="CE9" s="59">
        <f t="shared" si="40"/>
        <v>321.1728368524748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2.7</v>
      </c>
      <c r="N10" s="13">
        <f>IF('Données projet'!$A$36&gt;35,N9+M10-V9,IF(A10&lt;'Données projet'!$A$36,$K$205^A10,IF(A10='Données projet'!$A$36,'Données projet'!$B$36,N9+M10-V9)))</f>
        <v>10.045108566305135</v>
      </c>
      <c r="O10" s="13">
        <f>N10*VLOOKUP('Données projet'!$B$9,Paramètres!$A$1:$I$89,3,0)*VLOOKUP('Données projet'!$B$9,Paramètres!$A$1:$I$89,5,0)</f>
        <v>5.6152156885645708</v>
      </c>
      <c r="P10" s="13">
        <f t="shared" si="33"/>
        <v>2.1168605708837163</v>
      </c>
      <c r="Q10" s="20">
        <f t="shared" si="2"/>
        <v>13.466699485205766</v>
      </c>
      <c r="R10" s="59">
        <f t="shared" si="0"/>
        <v>306.80003281853908</v>
      </c>
      <c r="S10" s="59">
        <f ca="1">AVERAGE(OFFSET($R$3,0,0,'Données projet'!$E$9+1,1))-AVERAGE(OFFSET($H$3,0,0,'Données projet'!$E$9+1,1))</f>
        <v>415.91544298418842</v>
      </c>
      <c r="T10" s="59">
        <f t="shared" si="34"/>
        <v>422.79312683312583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7.9</v>
      </c>
      <c r="AI10" s="13">
        <f>IF('Données projet'!$A$62&gt;35,AI9+AH10-AQ9,IF(A10&lt;'Données projet'!$A$62,$AF$205^A10,IF(A10='Données projet'!$A$62,'Données projet'!$B$62,AI9+AH10-AQ9)))</f>
        <v>5.8820671812210037</v>
      </c>
      <c r="AJ10" s="13">
        <f>AI10*VLOOKUP('Données projet'!$B$10,Paramètres!$A$1:$I$89,3,0)*VLOOKUP('Données projet'!$B$10,Paramètres!$A$1:$I$89,5,0)</f>
        <v>2.7528074408114294</v>
      </c>
      <c r="AK10" s="13">
        <f t="shared" si="35"/>
        <v>1.1275556652411438</v>
      </c>
      <c r="AL10" s="20">
        <f t="shared" si="4"/>
        <v>6.7582990763748976</v>
      </c>
      <c r="AM10" s="59">
        <f t="shared" si="5"/>
        <v>300.09163240970821</v>
      </c>
      <c r="AN10" s="59">
        <f ca="1">AVERAGE(OFFSET($AM$3,0,0,'Données projet'!$E$10+1,1))-AVERAGE(OFFSET($H$3,0,0,'Données projet'!$E$10+1,1))</f>
        <v>215.23235148064941</v>
      </c>
      <c r="AO10" s="59">
        <f t="shared" si="36"/>
        <v>184.07239726900434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2.7</v>
      </c>
      <c r="BD10" s="12">
        <f>IF('Données projet'!$A$88&gt;35,BD9+BC10-BL9,IF(A10&lt;'Données projet'!$A$88,$BA$205^A10,IF(A10='Données projet'!$A$88,'Données projet'!$B$88,BD9+BC10-BL9)))</f>
        <v>10.045108566305135</v>
      </c>
      <c r="BE10" s="13">
        <f>BD10*VLOOKUP('Données projet'!$B$11,Paramètres!$A$1:$I$89,3,0)*VLOOKUP('Données projet'!$B$11,Paramètres!$A$1:$I$89,5,0)</f>
        <v>6.2681477453744048</v>
      </c>
      <c r="BF10" s="13">
        <f t="shared" si="37"/>
        <v>2.332943836743997</v>
      </c>
      <c r="BG10" s="20">
        <f t="shared" si="7"/>
        <v>14.980234505522882</v>
      </c>
      <c r="BH10" s="59">
        <f t="shared" si="8"/>
        <v>308.31356783885622</v>
      </c>
      <c r="BI10" s="59">
        <f ca="1">AVERAGE(OFFSET($BH$3,0,0,'Données projet'!$E$11+1,1))-AVERAGE(OFFSET($H$3,0,0,'Données projet'!$E$11+1,1))</f>
        <v>261.27638267284169</v>
      </c>
      <c r="BJ10" s="59">
        <f t="shared" si="38"/>
        <v>297.50513563712764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5</v>
      </c>
      <c r="BY10" s="12">
        <f>IF('Données projet'!$A$114&gt;35,BY9+BX10-CG9,IF(A10&lt;'Données projet'!$A$114,$BV$205^A10,IF(A10='Données projet'!$A$114,'Données projet'!$B$114,BY9+BX10-CG9)))</f>
        <v>7.4994357645352743</v>
      </c>
      <c r="BZ10" s="13">
        <f>BY10*VLOOKUP('Données projet'!$B$12,Paramètres!$A$1:$I$89,3,0)*VLOOKUP('Données projet'!$B$12,Paramètres!$A$1:$I$89,5,0)</f>
        <v>4.4846625871920942</v>
      </c>
      <c r="CA10" s="13">
        <f t="shared" si="39"/>
        <v>1.7354835151748795</v>
      </c>
      <c r="CB10" s="20">
        <f t="shared" si="10"/>
        <v>10.833421128289144</v>
      </c>
      <c r="CC10" s="59">
        <f t="shared" si="11"/>
        <v>304.16675446162247</v>
      </c>
      <c r="CD10" s="59">
        <f ca="1">AVERAGE(OFFSET($CC$3,0,0,'Données projet'!$E$12+1,1))-AVERAGE(OFFSET($H$3,0,0,'Données projet'!$E$12+1,1))</f>
        <v>314.69202393413491</v>
      </c>
      <c r="CE10" s="59">
        <f t="shared" si="40"/>
        <v>321.1728368524748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2.7</v>
      </c>
      <c r="N11" s="13">
        <f>IF('Données projet'!$A$36&gt;35,N10+M11-V10,IF(A11&lt;'Données projet'!$A$36,$K$205^A11,IF(A11='Données projet'!$A$36,'Données projet'!$B$36,N10+M11-V10)))</f>
        <v>13.96661016523823</v>
      </c>
      <c r="O11" s="13">
        <f>N11*VLOOKUP('Données projet'!$B$9,Paramètres!$A$1:$I$89,3,0)*VLOOKUP('Données projet'!$B$9,Paramètres!$A$1:$I$89,5,0)</f>
        <v>7.8073350823681702</v>
      </c>
      <c r="P11" s="13">
        <f t="shared" si="33"/>
        <v>2.8324845909369802</v>
      </c>
      <c r="Q11" s="20">
        <f t="shared" si="2"/>
        <v>18.531019264339804</v>
      </c>
      <c r="R11" s="59">
        <f t="shared" si="0"/>
        <v>311.86435259767313</v>
      </c>
      <c r="S11" s="59">
        <f ca="1">AVERAGE(OFFSET($R$3,0,0,'Données projet'!$E$9+1,1))-AVERAGE(OFFSET($H$3,0,0,'Données projet'!$E$9+1,1))</f>
        <v>415.91544298418842</v>
      </c>
      <c r="T11" s="59">
        <f t="shared" si="34"/>
        <v>422.79312683312583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7.9</v>
      </c>
      <c r="AI11" s="13">
        <f>IF('Données projet'!$A$62&gt;35,AI10+AH11-AQ10,IF(A11&lt;'Données projet'!$A$62,$AF$205^A11,IF(A11='Données projet'!$A$62,'Données projet'!$B$62,AI10+AH11-AQ10)))</f>
        <v>7.5763989424129567</v>
      </c>
      <c r="AJ11" s="13">
        <f>AI11*VLOOKUP('Données projet'!$B$10,Paramètres!$A$1:$I$89,3,0)*VLOOKUP('Données projet'!$B$10,Paramètres!$A$1:$I$89,5,0)</f>
        <v>3.5457547050492639</v>
      </c>
      <c r="AK11" s="13">
        <f t="shared" si="35"/>
        <v>1.4101803587787649</v>
      </c>
      <c r="AL11" s="20">
        <f t="shared" si="4"/>
        <v>8.631586902833817</v>
      </c>
      <c r="AM11" s="59">
        <f t="shared" si="5"/>
        <v>301.96492023616713</v>
      </c>
      <c r="AN11" s="59">
        <f ca="1">AVERAGE(OFFSET($AM$3,0,0,'Données projet'!$E$10+1,1))-AVERAGE(OFFSET($H$3,0,0,'Données projet'!$E$10+1,1))</f>
        <v>215.23235148064941</v>
      </c>
      <c r="AO11" s="59">
        <f t="shared" si="36"/>
        <v>184.07239726900434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2.7</v>
      </c>
      <c r="BD11" s="12">
        <f>IF('Données projet'!$A$88&gt;35,BD10+BC11-BL10,IF(A11&lt;'Données projet'!$A$88,$BA$205^A11,IF(A11='Données projet'!$A$88,'Données projet'!$B$88,BD10+BC11-BL10)))</f>
        <v>13.96661016523823</v>
      </c>
      <c r="BE11" s="13">
        <f>BD11*VLOOKUP('Données projet'!$B$11,Paramètres!$A$1:$I$89,3,0)*VLOOKUP('Données projet'!$B$11,Paramètres!$A$1:$I$89,5,0)</f>
        <v>8.7151647431086552</v>
      </c>
      <c r="BF11" s="13">
        <f t="shared" si="37"/>
        <v>3.1216167753269399</v>
      </c>
      <c r="BG11" s="20">
        <f t="shared" si="7"/>
        <v>20.615727811275324</v>
      </c>
      <c r="BH11" s="59">
        <f t="shared" si="8"/>
        <v>313.94906114460866</v>
      </c>
      <c r="BI11" s="59">
        <f ca="1">AVERAGE(OFFSET($BH$3,0,0,'Données projet'!$E$11+1,1))-AVERAGE(OFFSET($H$3,0,0,'Données projet'!$E$11+1,1))</f>
        <v>261.27638267284169</v>
      </c>
      <c r="BJ11" s="59">
        <f t="shared" si="38"/>
        <v>297.50513563712764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5</v>
      </c>
      <c r="BY11" s="12">
        <f>IF('Données projet'!$A$114&gt;35,BY10+BX11-CG10,IF(A11&lt;'Données projet'!$A$114,$BV$205^A11,IF(A11='Données projet'!$A$114,'Données projet'!$B$114,BY10+BX11-CG10)))</f>
        <v>10.000752370554848</v>
      </c>
      <c r="BZ11" s="13">
        <f>BY11*VLOOKUP('Données projet'!$B$12,Paramètres!$A$1:$I$89,3,0)*VLOOKUP('Données projet'!$B$12,Paramètres!$A$1:$I$89,5,0)</f>
        <v>5.9804499175917991</v>
      </c>
      <c r="CA11" s="13">
        <f t="shared" si="39"/>
        <v>2.238072245872778</v>
      </c>
      <c r="CB11" s="20">
        <f t="shared" si="10"/>
        <v>14.313926101367471</v>
      </c>
      <c r="CC11" s="59">
        <f t="shared" si="11"/>
        <v>307.6472594347008</v>
      </c>
      <c r="CD11" s="59">
        <f ca="1">AVERAGE(OFFSET($CC$3,0,0,'Données projet'!$E$12+1,1))-AVERAGE(OFFSET($H$3,0,0,'Données projet'!$E$12+1,1))</f>
        <v>314.69202393413491</v>
      </c>
      <c r="CE11" s="59">
        <f t="shared" si="40"/>
        <v>321.1728368524748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2.7</v>
      </c>
      <c r="N12" s="13">
        <f>IF('Données projet'!$A$36&gt;35,N11+M12-V11,IF(A12&lt;'Données projet'!$A$36,$K$205^A12,IF(A12='Données projet'!$A$36,'Données projet'!$B$36,N11+M12-V11)))</f>
        <v>19.419023519771326</v>
      </c>
      <c r="O12" s="13">
        <f>N12*VLOOKUP('Données projet'!$B$9,Paramètres!$A$1:$I$89,3,0)*VLOOKUP('Données projet'!$B$9,Paramètres!$A$1:$I$89,5,0)</f>
        <v>10.855234147552173</v>
      </c>
      <c r="P12" s="13">
        <f t="shared" si="33"/>
        <v>3.790031836884808</v>
      </c>
      <c r="Q12" s="20">
        <f t="shared" si="2"/>
        <v>25.507171589561072</v>
      </c>
      <c r="R12" s="59">
        <f t="shared" si="0"/>
        <v>318.84050492289441</v>
      </c>
      <c r="S12" s="59">
        <f ca="1">AVERAGE(OFFSET($R$3,0,0,'Données projet'!$E$9+1,1))-AVERAGE(OFFSET($H$3,0,0,'Données projet'!$E$9+1,1))</f>
        <v>415.91544298418842</v>
      </c>
      <c r="T12" s="59">
        <f t="shared" si="34"/>
        <v>422.79312683312583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7.9</v>
      </c>
      <c r="AI12" s="13">
        <f>IF('Données projet'!$A$62&gt;35,AI11+AH12-AQ11,IF(A12&lt;'Données projet'!$A$62,$AF$205^A12,IF(A12='Données projet'!$A$62,'Données projet'!$B$62,AI11+AH12-AQ11)))</f>
        <v>9.7587836327093171</v>
      </c>
      <c r="AJ12" s="13">
        <f>AI12*VLOOKUP('Données projet'!$B$10,Paramètres!$A$1:$I$89,3,0)*VLOOKUP('Données projet'!$B$10,Paramètres!$A$1:$I$89,5,0)</f>
        <v>4.5671107401079603</v>
      </c>
      <c r="AK12" s="13">
        <f t="shared" si="35"/>
        <v>1.763645650133036</v>
      </c>
      <c r="AL12" s="20">
        <f t="shared" si="4"/>
        <v>11.026067379669733</v>
      </c>
      <c r="AM12" s="59">
        <f t="shared" si="5"/>
        <v>304.35940071300303</v>
      </c>
      <c r="AN12" s="59">
        <f ca="1">AVERAGE(OFFSET($AM$3,0,0,'Données projet'!$E$10+1,1))-AVERAGE(OFFSET($H$3,0,0,'Données projet'!$E$10+1,1))</f>
        <v>215.23235148064941</v>
      </c>
      <c r="AO12" s="59">
        <f t="shared" si="36"/>
        <v>184.07239726900434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2.7</v>
      </c>
      <c r="BD12" s="12">
        <f>IF('Données projet'!$A$88&gt;35,BD11+BC12-BL11,IF(A12&lt;'Données projet'!$A$88,$BA$205^A12,IF(A12='Données projet'!$A$88,'Données projet'!$B$88,BD11+BC12-BL11)))</f>
        <v>19.419023519771326</v>
      </c>
      <c r="BE12" s="13">
        <f>BD12*VLOOKUP('Données projet'!$B$11,Paramètres!$A$1:$I$89,3,0)*VLOOKUP('Données projet'!$B$11,Paramètres!$A$1:$I$89,5,0)</f>
        <v>12.117470676337307</v>
      </c>
      <c r="BF12" s="13">
        <f t="shared" si="37"/>
        <v>4.1769077928607921</v>
      </c>
      <c r="BG12" s="20">
        <f t="shared" si="7"/>
        <v>28.379375833853359</v>
      </c>
      <c r="BH12" s="59">
        <f t="shared" si="8"/>
        <v>321.71270916718669</v>
      </c>
      <c r="BI12" s="59">
        <f ca="1">AVERAGE(OFFSET($BH$3,0,0,'Données projet'!$E$11+1,1))-AVERAGE(OFFSET($H$3,0,0,'Données projet'!$E$11+1,1))</f>
        <v>261.27638267284169</v>
      </c>
      <c r="BJ12" s="59">
        <f t="shared" si="38"/>
        <v>297.50513563712764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5</v>
      </c>
      <c r="BY12" s="12">
        <f>IF('Données projet'!$A$114&gt;35,BY11+BX12-CG11,IF(A12&lt;'Données projet'!$A$114,$BV$205^A12,IF(A12='Données projet'!$A$114,'Données projet'!$B$114,BY11+BX12-CG11)))</f>
        <v>13.336343041982994</v>
      </c>
      <c r="BZ12" s="13">
        <f>BY12*VLOOKUP('Données projet'!$B$12,Paramètres!$A$1:$I$89,3,0)*VLOOKUP('Données projet'!$B$12,Paramètres!$A$1:$I$89,5,0)</f>
        <v>7.9751331391058313</v>
      </c>
      <c r="CA12" s="13">
        <f t="shared" si="39"/>
        <v>2.8862085602935181</v>
      </c>
      <c r="CB12" s="20">
        <f t="shared" si="10"/>
        <v>18.916836793120535</v>
      </c>
      <c r="CC12" s="59">
        <f t="shared" si="11"/>
        <v>312.25017012645384</v>
      </c>
      <c r="CD12" s="59">
        <f ca="1">AVERAGE(OFFSET($CC$3,0,0,'Données projet'!$E$12+1,1))-AVERAGE(OFFSET($H$3,0,0,'Données projet'!$E$12+1,1))</f>
        <v>314.69202393413491</v>
      </c>
      <c r="CE12" s="59">
        <f t="shared" si="40"/>
        <v>321.1728368524748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>
        <f>VLOOKUP(A13,'Données projet'!$A$35:$I$55,2,0)</f>
        <v>27</v>
      </c>
      <c r="L13" s="12">
        <f>VLOOKUP(A13,'Données projet'!$A$35:$I$55,9,0)</f>
        <v>2.7</v>
      </c>
      <c r="M13" s="12">
        <f t="array" ref="M13">INDEX(L:L,MIN(IF(ISNUMBER(L13:L209),ROW(L13:L209),"")))</f>
        <v>2.7</v>
      </c>
      <c r="N13" s="13">
        <f>IF('Données projet'!$A$36&gt;35,N12+M13-V12,IF(A13&lt;'Données projet'!$A$36,$K$205^A13,IF(A13='Données projet'!$A$36,'Données projet'!$B$36,N12+M13-V12)))</f>
        <v>27</v>
      </c>
      <c r="O13" s="13">
        <f>N13*VLOOKUP('Données projet'!$B$9,Paramètres!$A$1:$I$89,3,0)*VLOOKUP('Données projet'!$B$9,Paramètres!$A$1:$I$89,5,0)</f>
        <v>15.093</v>
      </c>
      <c r="P13" s="13">
        <f t="shared" si="33"/>
        <v>5.0712866613861207</v>
      </c>
      <c r="Q13" s="20">
        <f t="shared" si="2"/>
        <v>35.11946593524749</v>
      </c>
      <c r="R13" s="59">
        <f t="shared" si="0"/>
        <v>328.4527992685808</v>
      </c>
      <c r="S13" s="59">
        <f ca="1">AVERAGE(OFFSET($R$3,0,0,'Données projet'!$E$9+1,1))-AVERAGE(OFFSET($H$3,0,0,'Données projet'!$E$9+1,1))</f>
        <v>415.91544298418842</v>
      </c>
      <c r="T13" s="59">
        <f t="shared" si="34"/>
        <v>422.79312683312583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7.9</v>
      </c>
      <c r="AI13" s="13">
        <f>IF('Données projet'!$A$62&gt;35,AI12+AH13-AQ12,IF(A13&lt;'Données projet'!$A$62,$AF$205^A13,IF(A13='Données projet'!$A$62,'Données projet'!$B$62,AI12+AH13-AQ12)))</f>
        <v>12.569805089976542</v>
      </c>
      <c r="AJ13" s="13">
        <f>AI13*VLOOKUP('Données projet'!$B$10,Paramètres!$A$1:$I$89,3,0)*VLOOKUP('Données projet'!$B$10,Paramètres!$A$1:$I$89,5,0)</f>
        <v>5.8826687821090227</v>
      </c>
      <c r="AK13" s="13">
        <f t="shared" si="35"/>
        <v>2.2057079152108381</v>
      </c>
      <c r="AL13" s="20">
        <f t="shared" si="4"/>
        <v>14.087256081165423</v>
      </c>
      <c r="AM13" s="59">
        <f t="shared" si="5"/>
        <v>307.42058941449875</v>
      </c>
      <c r="AN13" s="59">
        <f ca="1">AVERAGE(OFFSET($AM$3,0,0,'Données projet'!$E$10+1,1))-AVERAGE(OFFSET($H$3,0,0,'Données projet'!$E$10+1,1))</f>
        <v>215.23235148064941</v>
      </c>
      <c r="AO13" s="59">
        <f t="shared" si="36"/>
        <v>184.07239726900434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27</v>
      </c>
      <c r="BB13" s="12">
        <f>VLOOKUP(A13,'Données projet'!$A$87:$I$107,9,0)</f>
        <v>2.7</v>
      </c>
      <c r="BC13" s="12">
        <f t="array" ref="BC13">INDEX(BB:BB,MIN(IF(ISNUMBER(BB13:BB209),ROW(BB13:BB209),"")))</f>
        <v>2.7</v>
      </c>
      <c r="BD13" s="12">
        <f>IF('Données projet'!$A$88&gt;35,BD12+BC13-BL12,IF(A13&lt;'Données projet'!$A$88,$BA$205^A13,IF(A13='Données projet'!$A$88,'Données projet'!$B$88,BD12+BC13-BL12)))</f>
        <v>27</v>
      </c>
      <c r="BE13" s="13">
        <f>BD13*VLOOKUP('Données projet'!$B$11,Paramètres!$A$1:$I$89,3,0)*VLOOKUP('Données projet'!$B$11,Paramètres!$A$1:$I$89,5,0)</f>
        <v>16.847999999999999</v>
      </c>
      <c r="BF13" s="13">
        <f t="shared" si="37"/>
        <v>5.5889495622773833</v>
      </c>
      <c r="BG13" s="20">
        <f t="shared" si="7"/>
        <v>39.077687154299774</v>
      </c>
      <c r="BH13" s="59">
        <f t="shared" si="8"/>
        <v>332.4110204876331</v>
      </c>
      <c r="BI13" s="59">
        <f ca="1">AVERAGE(OFFSET($BH$3,0,0,'Données projet'!$E$11+1,1))-AVERAGE(OFFSET($H$3,0,0,'Données projet'!$E$11+1,1))</f>
        <v>261.27638267284169</v>
      </c>
      <c r="BJ13" s="59">
        <f t="shared" si="38"/>
        <v>297.50513563712764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5</v>
      </c>
      <c r="BY13" s="12">
        <f>IF('Données projet'!$A$114&gt;35,BY12+BX13-CG12,IF(A13&lt;'Données projet'!$A$114,$BV$205^A13,IF(A13='Données projet'!$A$114,'Données projet'!$B$114,BY12+BX13-CG12)))</f>
        <v>17.784466522450305</v>
      </c>
      <c r="BZ13" s="13">
        <f>BY13*VLOOKUP('Données projet'!$B$12,Paramètres!$A$1:$I$89,3,0)*VLOOKUP('Données projet'!$B$12,Paramètres!$A$1:$I$89,5,0)</f>
        <v>10.635110980425283</v>
      </c>
      <c r="CA13" s="13">
        <f t="shared" si="39"/>
        <v>3.7220424268578798</v>
      </c>
      <c r="CB13" s="20">
        <f t="shared" si="10"/>
        <v>25.00537551768484</v>
      </c>
      <c r="CC13" s="59">
        <f t="shared" si="11"/>
        <v>318.33870885101817</v>
      </c>
      <c r="CD13" s="59">
        <f ca="1">AVERAGE(OFFSET($CC$3,0,0,'Données projet'!$E$12+1,1))-AVERAGE(OFFSET($H$3,0,0,'Données projet'!$E$12+1,1))</f>
        <v>314.69202393413491</v>
      </c>
      <c r="CE13" s="59">
        <f t="shared" si="40"/>
        <v>321.1728368524748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20.100000000000001</v>
      </c>
      <c r="N14" s="13">
        <f>IF('Données projet'!$A$36&gt;35,N13+M14-V13,IF(A14&lt;'Données projet'!$A$36,$K$205^A14,IF(A14='Données projet'!$A$36,'Données projet'!$B$36,N13+M14-V13)))</f>
        <v>47.1</v>
      </c>
      <c r="O14" s="13">
        <f>N14*VLOOKUP('Données projet'!$B$9,Paramètres!$A$1:$I$89,3,0)*VLOOKUP('Données projet'!$B$9,Paramètres!$A$1:$I$89,5,0)</f>
        <v>26.328900000000001</v>
      </c>
      <c r="P14" s="13">
        <f t="shared" si="33"/>
        <v>8.2917540554735094</v>
      </c>
      <c r="Q14" s="20">
        <f t="shared" si="2"/>
        <v>60.297639146616369</v>
      </c>
      <c r="R14" s="59">
        <f t="shared" si="0"/>
        <v>353.63097247994966</v>
      </c>
      <c r="S14" s="59">
        <f ca="1">AVERAGE(OFFSET($R$3,0,0,'Données projet'!$E$9+1,1))-AVERAGE(OFFSET($H$3,0,0,'Données projet'!$E$9+1,1))</f>
        <v>415.91544298418842</v>
      </c>
      <c r="T14" s="59">
        <f t="shared" si="34"/>
        <v>422.79312683312583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7.9</v>
      </c>
      <c r="AI14" s="13">
        <f>IF('Données projet'!$A$62&gt;35,AI13+AH14-AQ13,IF(A14&lt;'Données projet'!$A$62,$AF$205^A14,IF(A14='Données projet'!$A$62,'Données projet'!$B$62,AI13+AH14-AQ13)))</f>
        <v>16.190542381779895</v>
      </c>
      <c r="AJ14" s="13">
        <f>AI14*VLOOKUP('Données projet'!$B$10,Paramètres!$A$1:$I$89,3,0)*VLOOKUP('Données projet'!$B$10,Paramètres!$A$1:$I$89,5,0)</f>
        <v>7.5771738346729904</v>
      </c>
      <c r="AK14" s="13">
        <f t="shared" si="35"/>
        <v>2.7585742106736397</v>
      </c>
      <c r="AL14" s="20">
        <f t="shared" si="4"/>
        <v>18.001427845645381</v>
      </c>
      <c r="AM14" s="59">
        <f t="shared" si="5"/>
        <v>311.33476117897868</v>
      </c>
      <c r="AN14" s="59">
        <f ca="1">AVERAGE(OFFSET($AM$3,0,0,'Données projet'!$E$10+1,1))-AVERAGE(OFFSET($H$3,0,0,'Données projet'!$E$10+1,1))</f>
        <v>215.23235148064941</v>
      </c>
      <c r="AO14" s="59">
        <f t="shared" si="36"/>
        <v>184.07239726900434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11.6</v>
      </c>
      <c r="BD14" s="12">
        <f>IF('Données projet'!$A$88&gt;35,BD13+BC14-BL13,IF(A14&lt;'Données projet'!$A$88,$BA$205^A14,IF(A14='Données projet'!$A$88,'Données projet'!$B$88,BD13+BC14-BL13)))</f>
        <v>38.6</v>
      </c>
      <c r="BE14" s="13">
        <f>BD14*VLOOKUP('Données projet'!$B$11,Paramètres!$A$1:$I$89,3,0)*VLOOKUP('Données projet'!$B$11,Paramètres!$A$1:$I$89,5,0)</f>
        <v>24.086399999999998</v>
      </c>
      <c r="BF14" s="13">
        <f t="shared" si="37"/>
        <v>7.6645332168512814</v>
      </c>
      <c r="BG14" s="20">
        <f t="shared" si="7"/>
        <v>55.29954201934931</v>
      </c>
      <c r="BH14" s="59">
        <f t="shared" si="8"/>
        <v>348.63287535268262</v>
      </c>
      <c r="BI14" s="59">
        <f ca="1">AVERAGE(OFFSET($BH$3,0,0,'Données projet'!$E$11+1,1))-AVERAGE(OFFSET($H$3,0,0,'Données projet'!$E$11+1,1))</f>
        <v>261.27638267284169</v>
      </c>
      <c r="BJ14" s="59">
        <f t="shared" si="38"/>
        <v>297.50513563712764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5</v>
      </c>
      <c r="BY14" s="12">
        <f>IF('Données projet'!$A$114&gt;35,BY13+BX14-CG13,IF(A14&lt;'Données projet'!$A$114,$BV$205^A14,IF(A14='Données projet'!$A$114,'Données projet'!$B$114,BY13+BX14-CG13)))</f>
        <v>23.716190299880484</v>
      </c>
      <c r="BZ14" s="13">
        <f>BY14*VLOOKUP('Données projet'!$B$12,Paramètres!$A$1:$I$89,3,0)*VLOOKUP('Données projet'!$B$12,Paramètres!$A$1:$I$89,5,0)</f>
        <v>14.182281799328532</v>
      </c>
      <c r="CA14" s="13">
        <f t="shared" si="39"/>
        <v>4.7999302676592546</v>
      </c>
      <c r="CB14" s="20">
        <f t="shared" si="10"/>
        <v>33.060686016670395</v>
      </c>
      <c r="CC14" s="59">
        <f t="shared" si="11"/>
        <v>326.3940193500037</v>
      </c>
      <c r="CD14" s="59">
        <f ca="1">AVERAGE(OFFSET($CC$3,0,0,'Données projet'!$E$12+1,1))-AVERAGE(OFFSET($H$3,0,0,'Données projet'!$E$12+1,1))</f>
        <v>314.69202393413491</v>
      </c>
      <c r="CE14" s="59">
        <f t="shared" si="40"/>
        <v>321.1728368524748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20.100000000000001</v>
      </c>
      <c r="N15" s="13">
        <f>IF('Données projet'!$A$36&gt;35,N14+M15-V14,IF(A15&lt;'Données projet'!$A$36,$K$205^A15,IF(A15='Données projet'!$A$36,'Données projet'!$B$36,N14+M15-V14)))</f>
        <v>67.2</v>
      </c>
      <c r="O15" s="13">
        <f>N15*VLOOKUP('Données projet'!$B$9,Paramètres!$A$1:$I$89,3,0)*VLOOKUP('Données projet'!$B$9,Paramètres!$A$1:$I$89,5,0)</f>
        <v>37.564800000000005</v>
      </c>
      <c r="P15" s="13">
        <f t="shared" si="33"/>
        <v>11.350856362116868</v>
      </c>
      <c r="Q15" s="20">
        <f t="shared" si="2"/>
        <v>85.194768164020218</v>
      </c>
      <c r="R15" s="59">
        <f t="shared" si="0"/>
        <v>378.52810149735353</v>
      </c>
      <c r="S15" s="59">
        <f ca="1">AVERAGE(OFFSET($R$3,0,0,'Données projet'!$E$9+1,1))-AVERAGE(OFFSET($H$3,0,0,'Données projet'!$E$9+1,1))</f>
        <v>415.91544298418842</v>
      </c>
      <c r="T15" s="59">
        <f t="shared" si="34"/>
        <v>422.79312683312583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7.9</v>
      </c>
      <c r="AI15" s="13">
        <f>IF('Données projet'!$A$62&gt;35,AI14+AH15-AQ14,IF(A15&lt;'Données projet'!$A$62,$AF$205^A15,IF(A15='Données projet'!$A$62,'Données projet'!$B$62,AI14+AH15-AQ14)))</f>
        <v>20.854234472198982</v>
      </c>
      <c r="AJ15" s="13">
        <f>AI15*VLOOKUP('Données projet'!$B$10,Paramètres!$A$1:$I$89,3,0)*VLOOKUP('Données projet'!$B$10,Paramètres!$A$1:$I$89,5,0)</f>
        <v>9.7597817329891239</v>
      </c>
      <c r="AK15" s="13">
        <f t="shared" si="35"/>
        <v>3.4500178483814818</v>
      </c>
      <c r="AL15" s="20">
        <f t="shared" si="4"/>
        <v>23.00706760422047</v>
      </c>
      <c r="AM15" s="59">
        <f t="shared" si="5"/>
        <v>316.3404009375538</v>
      </c>
      <c r="AN15" s="59">
        <f ca="1">AVERAGE(OFFSET($AM$3,0,0,'Données projet'!$E$10+1,1))-AVERAGE(OFFSET($H$3,0,0,'Données projet'!$E$10+1,1))</f>
        <v>215.23235148064941</v>
      </c>
      <c r="AO15" s="59">
        <f t="shared" si="36"/>
        <v>184.07239726900434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11.6</v>
      </c>
      <c r="BD15" s="12">
        <f>IF('Données projet'!$A$88&gt;35,BD14+BC15-BL14,IF(A15&lt;'Données projet'!$A$88,$BA$205^A15,IF(A15='Données projet'!$A$88,'Données projet'!$B$88,BD14+BC15-BL14)))</f>
        <v>50.2</v>
      </c>
      <c r="BE15" s="13">
        <f>BD15*VLOOKUP('Données projet'!$B$11,Paramètres!$A$1:$I$89,3,0)*VLOOKUP('Données projet'!$B$11,Paramètres!$A$1:$I$89,5,0)</f>
        <v>31.3248</v>
      </c>
      <c r="BF15" s="13">
        <f t="shared" si="37"/>
        <v>9.667606672492802</v>
      </c>
      <c r="BG15" s="20">
        <f t="shared" si="7"/>
        <v>71.39510828792497</v>
      </c>
      <c r="BH15" s="59">
        <f t="shared" si="8"/>
        <v>364.7284416212583</v>
      </c>
      <c r="BI15" s="59">
        <f ca="1">AVERAGE(OFFSET($BH$3,0,0,'Données projet'!$E$11+1,1))-AVERAGE(OFFSET($H$3,0,0,'Données projet'!$E$11+1,1))</f>
        <v>261.27638267284169</v>
      </c>
      <c r="BJ15" s="59">
        <f t="shared" si="38"/>
        <v>297.50513563712764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5</v>
      </c>
      <c r="BY15" s="12">
        <f>IF('Données projet'!$A$114&gt;35,BY14+BX15-CG14,IF(A15&lt;'Données projet'!$A$114,$BV$205^A15,IF(A15='Données projet'!$A$114,'Données projet'!$B$114,BY14+BX15-CG14)))</f>
        <v>31.626345475706227</v>
      </c>
      <c r="BZ15" s="13">
        <f>BY15*VLOOKUP('Données projet'!$B$12,Paramètres!$A$1:$I$89,3,0)*VLOOKUP('Données projet'!$B$12,Paramètres!$A$1:$I$89,5,0)</f>
        <v>18.912554594472326</v>
      </c>
      <c r="CA15" s="13">
        <f t="shared" si="39"/>
        <v>6.1899698961360441</v>
      </c>
      <c r="CB15" s="20">
        <f t="shared" si="10"/>
        <v>43.720230154476248</v>
      </c>
      <c r="CC15" s="59">
        <f t="shared" si="11"/>
        <v>337.05356348780958</v>
      </c>
      <c r="CD15" s="59">
        <f ca="1">AVERAGE(OFFSET($CC$3,0,0,'Données projet'!$E$12+1,1))-AVERAGE(OFFSET($H$3,0,0,'Données projet'!$E$12+1,1))</f>
        <v>314.69202393413491</v>
      </c>
      <c r="CE15" s="59">
        <f t="shared" si="40"/>
        <v>321.1728368524748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20.100000000000001</v>
      </c>
      <c r="N16" s="13">
        <f>IF('Données projet'!$A$36&gt;35,N15+M16-V15,IF(A16&lt;'Données projet'!$A$36,$K$205^A16,IF(A16='Données projet'!$A$36,'Données projet'!$B$36,N15+M16-V15)))</f>
        <v>87.300000000000011</v>
      </c>
      <c r="O16" s="13">
        <f>N16*VLOOKUP('Données projet'!$B$9,Paramètres!$A$1:$I$89,3,0)*VLOOKUP('Données projet'!$B$9,Paramètres!$A$1:$I$89,5,0)</f>
        <v>48.800700000000006</v>
      </c>
      <c r="P16" s="13">
        <f t="shared" si="33"/>
        <v>14.303598928763776</v>
      </c>
      <c r="Q16" s="20">
        <f t="shared" si="2"/>
        <v>109.90665396759691</v>
      </c>
      <c r="R16" s="59">
        <f t="shared" si="0"/>
        <v>403.23998730093024</v>
      </c>
      <c r="S16" s="59">
        <f ca="1">AVERAGE(OFFSET($R$3,0,0,'Données projet'!$E$9+1,1))-AVERAGE(OFFSET($H$3,0,0,'Données projet'!$E$9+1,1))</f>
        <v>415.91544298418842</v>
      </c>
      <c r="T16" s="59">
        <f t="shared" si="34"/>
        <v>422.79312683312583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7.9</v>
      </c>
      <c r="AI16" s="13">
        <f>IF('Données projet'!$A$62&gt;35,AI15+AH16-AQ15,IF(A16&lt;'Données projet'!$A$62,$AF$205^A16,IF(A16='Données projet'!$A$62,'Données projet'!$B$62,AI15+AH16-AQ15)))</f>
        <v>26.861304900499697</v>
      </c>
      <c r="AJ16" s="13">
        <f>AI16*VLOOKUP('Données projet'!$B$10,Paramètres!$A$1:$I$89,3,0)*VLOOKUP('Données projet'!$B$10,Paramètres!$A$1:$I$89,5,0)</f>
        <v>12.571090693433858</v>
      </c>
      <c r="AK16" s="13">
        <f t="shared" si="35"/>
        <v>4.3147735914069099</v>
      </c>
      <c r="AL16" s="20">
        <f t="shared" si="4"/>
        <v>29.409546962764335</v>
      </c>
      <c r="AM16" s="59">
        <f t="shared" si="5"/>
        <v>322.74288029609767</v>
      </c>
      <c r="AN16" s="59">
        <f ca="1">AVERAGE(OFFSET($AM$3,0,0,'Données projet'!$E$10+1,1))-AVERAGE(OFFSET($H$3,0,0,'Données projet'!$E$10+1,1))</f>
        <v>215.23235148064941</v>
      </c>
      <c r="AO16" s="59">
        <f t="shared" si="36"/>
        <v>184.07239726900434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11.6</v>
      </c>
      <c r="BD16" s="12">
        <f>IF('Données projet'!$A$88&gt;35,BD15+BC16-BL15,IF(A16&lt;'Données projet'!$A$88,$BA$205^A16,IF(A16='Données projet'!$A$88,'Données projet'!$B$88,BD15+BC16-BL15)))</f>
        <v>61.800000000000004</v>
      </c>
      <c r="BE16" s="13">
        <f>BD16*VLOOKUP('Données projet'!$B$11,Paramètres!$A$1:$I$89,3,0)*VLOOKUP('Données projet'!$B$11,Paramètres!$A$1:$I$89,5,0)</f>
        <v>38.563200000000002</v>
      </c>
      <c r="BF16" s="13">
        <f t="shared" si="37"/>
        <v>11.617015930302525</v>
      </c>
      <c r="BG16" s="20">
        <f t="shared" si="7"/>
        <v>87.39720941194355</v>
      </c>
      <c r="BH16" s="59">
        <f t="shared" si="8"/>
        <v>380.73054274527686</v>
      </c>
      <c r="BI16" s="59">
        <f ca="1">AVERAGE(OFFSET($BH$3,0,0,'Données projet'!$E$11+1,1))-AVERAGE(OFFSET($H$3,0,0,'Données projet'!$E$11+1,1))</f>
        <v>261.27638267284169</v>
      </c>
      <c r="BJ16" s="59">
        <f t="shared" si="38"/>
        <v>297.50513563712764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5</v>
      </c>
      <c r="BY16" s="12">
        <f>IF('Données projet'!$A$114&gt;35,BY15+BX16-CG15,IF(A16&lt;'Données projet'!$A$114,$BV$205^A16,IF(A16='Données projet'!$A$114,'Données projet'!$B$114,BY15+BX16-CG15)))</f>
        <v>42.174806134599301</v>
      </c>
      <c r="BZ16" s="13">
        <f>BY16*VLOOKUP('Données projet'!$B$12,Paramètres!$A$1:$I$89,3,0)*VLOOKUP('Données projet'!$B$12,Paramètres!$A$1:$I$89,5,0)</f>
        <v>25.22053406849038</v>
      </c>
      <c r="CA16" s="13">
        <f t="shared" si="39"/>
        <v>7.9825591578345199</v>
      </c>
      <c r="CB16" s="20">
        <f t="shared" si="10"/>
        <v>57.828720702515874</v>
      </c>
      <c r="CC16" s="59">
        <f t="shared" si="11"/>
        <v>351.16205403584917</v>
      </c>
      <c r="CD16" s="59">
        <f ca="1">AVERAGE(OFFSET($CC$3,0,0,'Données projet'!$E$12+1,1))-AVERAGE(OFFSET($H$3,0,0,'Données projet'!$E$12+1,1))</f>
        <v>314.69202393413491</v>
      </c>
      <c r="CE16" s="59">
        <f t="shared" si="40"/>
        <v>321.1728368524748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20.100000000000001</v>
      </c>
      <c r="N17" s="13">
        <f>IF('Données projet'!$A$36&gt;35,N16+M17-V16,IF(A17&lt;'Données projet'!$A$36,$K$205^A17,IF(A17='Données projet'!$A$36,'Données projet'!$B$36,N16+M17-V16)))</f>
        <v>107.4</v>
      </c>
      <c r="O17" s="13">
        <f>N17*VLOOKUP('Données projet'!$B$9,Paramètres!$A$1:$I$89,3,0)*VLOOKUP('Données projet'!$B$9,Paramètres!$A$1:$I$89,5,0)</f>
        <v>60.036600000000007</v>
      </c>
      <c r="P17" s="13">
        <f t="shared" si="33"/>
        <v>17.177522312374215</v>
      </c>
      <c r="Q17" s="20">
        <f t="shared" si="2"/>
        <v>134.48126302738513</v>
      </c>
      <c r="R17" s="59">
        <f t="shared" si="0"/>
        <v>427.81459636071844</v>
      </c>
      <c r="S17" s="59">
        <f ca="1">AVERAGE(OFFSET($R$3,0,0,'Données projet'!$E$9+1,1))-AVERAGE(OFFSET($H$3,0,0,'Données projet'!$E$9+1,1))</f>
        <v>415.91544298418842</v>
      </c>
      <c r="T17" s="59">
        <f t="shared" si="34"/>
        <v>422.79312683312583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7.9</v>
      </c>
      <c r="AI17" s="13">
        <f>IF('Données projet'!$A$62&gt;35,AI16+AH17-AQ16,IF(A17&lt;'Données projet'!$A$62,$AF$205^A17,IF(A17='Données projet'!$A$62,'Données projet'!$B$62,AI16+AH17-AQ16)))</f>
        <v>34.598714324397214</v>
      </c>
      <c r="AJ17" s="13">
        <f>AI17*VLOOKUP('Données projet'!$B$10,Paramètres!$A$1:$I$89,3,0)*VLOOKUP('Données projet'!$B$10,Paramètres!$A$1:$I$89,5,0)</f>
        <v>16.192198303817896</v>
      </c>
      <c r="AK17" s="13">
        <f t="shared" si="35"/>
        <v>5.3962825594761723</v>
      </c>
      <c r="AL17" s="20">
        <f t="shared" si="4"/>
        <v>37.599937503570509</v>
      </c>
      <c r="AM17" s="59">
        <f t="shared" si="5"/>
        <v>330.93327083690383</v>
      </c>
      <c r="AN17" s="59">
        <f ca="1">AVERAGE(OFFSET($AM$3,0,0,'Données projet'!$E$10+1,1))-AVERAGE(OFFSET($H$3,0,0,'Données projet'!$E$10+1,1))</f>
        <v>215.23235148064941</v>
      </c>
      <c r="AO17" s="59">
        <f t="shared" si="36"/>
        <v>184.07239726900434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11.6</v>
      </c>
      <c r="BD17" s="12">
        <f>IF('Données projet'!$A$88&gt;35,BD16+BC17-BL16,IF(A17&lt;'Données projet'!$A$88,$BA$205^A17,IF(A17='Données projet'!$A$88,'Données projet'!$B$88,BD16+BC17-BL16)))</f>
        <v>73.400000000000006</v>
      </c>
      <c r="BE17" s="13">
        <f>BD17*VLOOKUP('Données projet'!$B$11,Paramètres!$A$1:$I$89,3,0)*VLOOKUP('Données projet'!$B$11,Paramètres!$A$1:$I$89,5,0)</f>
        <v>45.801600000000001</v>
      </c>
      <c r="BF17" s="13">
        <f t="shared" si="37"/>
        <v>13.524032534066198</v>
      </c>
      <c r="BG17" s="20">
        <f t="shared" si="7"/>
        <v>103.32547666349863</v>
      </c>
      <c r="BH17" s="59">
        <f t="shared" si="8"/>
        <v>396.65880999683196</v>
      </c>
      <c r="BI17" s="59">
        <f ca="1">AVERAGE(OFFSET($BH$3,0,0,'Données projet'!$E$11+1,1))-AVERAGE(OFFSET($H$3,0,0,'Données projet'!$E$11+1,1))</f>
        <v>261.27638267284169</v>
      </c>
      <c r="BJ17" s="59">
        <f t="shared" si="38"/>
        <v>297.50513563712764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5</v>
      </c>
      <c r="BY17" s="12">
        <f>IF('Données projet'!$A$114&gt;35,BY16+BX17-CG16,IF(A17&lt;'Données projet'!$A$114,$BV$205^A17,IF(A17='Données projet'!$A$114,'Données projet'!$B$114,BY16+BX17-CG16)))</f>
        <v>56.24153678639076</v>
      </c>
      <c r="BZ17" s="13">
        <f>BY17*VLOOKUP('Données projet'!$B$12,Paramètres!$A$1:$I$89,3,0)*VLOOKUP('Données projet'!$B$12,Paramètres!$A$1:$I$89,5,0)</f>
        <v>33.632438998261676</v>
      </c>
      <c r="CA17" s="13">
        <f t="shared" si="39"/>
        <v>10.294274734373817</v>
      </c>
      <c r="CB17" s="20">
        <f t="shared" si="10"/>
        <v>76.505693084340137</v>
      </c>
      <c r="CC17" s="59">
        <f t="shared" si="11"/>
        <v>369.83902641767344</v>
      </c>
      <c r="CD17" s="59">
        <f ca="1">AVERAGE(OFFSET($CC$3,0,0,'Données projet'!$E$12+1,1))-AVERAGE(OFFSET($H$3,0,0,'Données projet'!$E$12+1,1))</f>
        <v>314.69202393413491</v>
      </c>
      <c r="CE17" s="59">
        <f t="shared" si="40"/>
        <v>321.1728368524748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20.100000000000001</v>
      </c>
      <c r="N18" s="13">
        <f>IF('Données projet'!$A$36&gt;35,N17+M18-V17,IF(A18&lt;'Données projet'!$A$36,$K$205^A18,IF(A18='Données projet'!$A$36,'Données projet'!$B$36,N17+M18-V17)))</f>
        <v>127.5</v>
      </c>
      <c r="O18" s="13">
        <f>N18*VLOOKUP('Données projet'!$B$9,Paramètres!$A$1:$I$89,3,0)*VLOOKUP('Données projet'!$B$9,Paramètres!$A$1:$I$89,5,0)</f>
        <v>71.272499999999994</v>
      </c>
      <c r="P18" s="13">
        <f t="shared" si="33"/>
        <v>19.989132077392792</v>
      </c>
      <c r="Q18" s="20">
        <f t="shared" si="2"/>
        <v>158.94734253479243</v>
      </c>
      <c r="R18" s="59">
        <f t="shared" si="0"/>
        <v>452.28067586812574</v>
      </c>
      <c r="S18" s="59">
        <f ca="1">AVERAGE(OFFSET($R$3,0,0,'Données projet'!$E$9+1,1))-AVERAGE(OFFSET($H$3,0,0,'Données projet'!$E$9+1,1))</f>
        <v>415.91544298418842</v>
      </c>
      <c r="T18" s="59">
        <f t="shared" si="34"/>
        <v>422.79312683312583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7.9</v>
      </c>
      <c r="AI18" s="13">
        <f>IF('Données projet'!$A$62&gt;35,AI17+AH18-AQ17,IF(A18&lt;'Données projet'!$A$62,$AF$205^A18,IF(A18='Données projet'!$A$62,'Données projet'!$B$62,AI17+AH18-AQ17)))</f>
        <v>44.564887571004775</v>
      </c>
      <c r="AJ18" s="13">
        <f>AI18*VLOOKUP('Données projet'!$B$10,Paramètres!$A$1:$I$89,3,0)*VLOOKUP('Données projet'!$B$10,Paramètres!$A$1:$I$89,5,0)</f>
        <v>20.856367383230236</v>
      </c>
      <c r="AK18" s="13">
        <f t="shared" si="35"/>
        <v>6.7488744993944465</v>
      </c>
      <c r="AL18" s="20">
        <f t="shared" si="4"/>
        <v>48.079129612237985</v>
      </c>
      <c r="AM18" s="59">
        <f t="shared" si="5"/>
        <v>341.41246294557129</v>
      </c>
      <c r="AN18" s="59">
        <f ca="1">AVERAGE(OFFSET($AM$3,0,0,'Données projet'!$E$10+1,1))-AVERAGE(OFFSET($H$3,0,0,'Données projet'!$E$10+1,1))</f>
        <v>215.23235148064941</v>
      </c>
      <c r="AO18" s="59">
        <f t="shared" si="36"/>
        <v>184.07239726900434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85</v>
      </c>
      <c r="BB18" s="12">
        <f>VLOOKUP(A18,'Données projet'!$A$87:$I$107,9,0)</f>
        <v>11.6</v>
      </c>
      <c r="BC18" s="12">
        <f t="array" ref="BC18">INDEX(BB:BB,MIN(IF(ISNUMBER(BB18:BB214),ROW(BB18:BB214),"")))</f>
        <v>11.6</v>
      </c>
      <c r="BD18" s="12">
        <f>IF('Données projet'!$A$88&gt;35,BD17+BC18-BL17,IF(A18&lt;'Données projet'!$A$88,$BA$205^A18,IF(A18='Données projet'!$A$88,'Données projet'!$B$88,BD17+BC18-BL17)))</f>
        <v>85</v>
      </c>
      <c r="BE18" s="13">
        <f>BD18*VLOOKUP('Données projet'!$B$11,Paramètres!$A$1:$I$89,3,0)*VLOOKUP('Données projet'!$B$11,Paramètres!$A$1:$I$89,5,0)</f>
        <v>53.04</v>
      </c>
      <c r="BF18" s="13">
        <f t="shared" si="37"/>
        <v>15.396135728592785</v>
      </c>
      <c r="BG18" s="20">
        <f t="shared" si="7"/>
        <v>119.19293639396578</v>
      </c>
      <c r="BH18" s="59">
        <f t="shared" si="8"/>
        <v>412.52626972729911</v>
      </c>
      <c r="BI18" s="59">
        <f ca="1">AVERAGE(OFFSET($BH$3,0,0,'Données projet'!$E$11+1,1))-AVERAGE(OFFSET($H$3,0,0,'Données projet'!$E$11+1,1))</f>
        <v>261.27638267284169</v>
      </c>
      <c r="BJ18" s="59">
        <f t="shared" si="38"/>
        <v>297.50513563712764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>
        <f>VLOOKUP(A18,'Données projet'!$A$113:$I$133,2,0)</f>
        <v>75</v>
      </c>
      <c r="BW18" s="12">
        <f>VLOOKUP(A18,'Données projet'!$A$113:$I$133,9,0)</f>
        <v>5</v>
      </c>
      <c r="BX18" s="12">
        <f t="array" ref="BX18">INDEX(BW:BW,MIN(IF(ISNUMBER(BW18:BW214),ROW(BW18:BW214),"")))</f>
        <v>5</v>
      </c>
      <c r="BY18" s="12">
        <f>IF('Données projet'!$A$114&gt;35,BY17+BX18-CG17,IF(A18&lt;'Données projet'!$A$114,$BV$205^A18,IF(A18='Données projet'!$A$114,'Données projet'!$B$114,BY17+BX18-CG17)))</f>
        <v>75</v>
      </c>
      <c r="BZ18" s="13">
        <f>BY18*VLOOKUP('Données projet'!$B$12,Paramètres!$A$1:$I$89,3,0)*VLOOKUP('Données projet'!$B$12,Paramètres!$A$1:$I$89,5,0)</f>
        <v>44.85</v>
      </c>
      <c r="CA18" s="13">
        <f t="shared" si="39"/>
        <v>13.275453424327006</v>
      </c>
      <c r="CB18" s="20">
        <f t="shared" si="10"/>
        <v>101.2351647140362</v>
      </c>
      <c r="CC18" s="59">
        <f t="shared" si="11"/>
        <v>394.56849804736953</v>
      </c>
      <c r="CD18" s="59">
        <f ca="1">AVERAGE(OFFSET($CC$3,0,0,'Données projet'!$E$12+1,1))-AVERAGE(OFFSET($H$3,0,0,'Données projet'!$E$12+1,1))</f>
        <v>314.69202393413491</v>
      </c>
      <c r="CE18" s="59">
        <f t="shared" si="40"/>
        <v>321.1728368524748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20.100000000000001</v>
      </c>
      <c r="N19" s="13">
        <f>IF('Données projet'!$A$36&gt;35,N18+M19-V18,IF(A19&lt;'Données projet'!$A$36,$K$205^A19,IF(A19='Données projet'!$A$36,'Données projet'!$B$36,N18+M19-V18)))</f>
        <v>147.6</v>
      </c>
      <c r="O19" s="13">
        <f>N19*VLOOKUP('Données projet'!$B$9,Paramètres!$A$1:$I$89,3,0)*VLOOKUP('Données projet'!$B$9,Paramètres!$A$1:$I$89,5,0)</f>
        <v>82.508399999999995</v>
      </c>
      <c r="P19" s="13">
        <f t="shared" si="33"/>
        <v>22.749394597897183</v>
      </c>
      <c r="Q19" s="20">
        <f t="shared" si="2"/>
        <v>183.32399225800421</v>
      </c>
      <c r="R19" s="59">
        <f t="shared" si="0"/>
        <v>476.65732559133755</v>
      </c>
      <c r="S19" s="59">
        <f ca="1">AVERAGE(OFFSET($R$3,0,0,'Données projet'!$E$9+1,1))-AVERAGE(OFFSET($H$3,0,0,'Données projet'!$E$9+1,1))</f>
        <v>415.91544298418842</v>
      </c>
      <c r="T19" s="59">
        <f t="shared" si="34"/>
        <v>422.79312683312583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7.9</v>
      </c>
      <c r="AI19" s="13">
        <f>IF('Données projet'!$A$62&gt;35,AI18+AH19-AQ18,IF(A19&lt;'Données projet'!$A$62,$AF$205^A19,IF(A19='Données projet'!$A$62,'Données projet'!$B$62,AI18+AH19-AQ18)))</f>
        <v>57.401820934596167</v>
      </c>
      <c r="AJ19" s="13">
        <f>AI19*VLOOKUP('Données projet'!$B$10,Paramètres!$A$1:$I$89,3,0)*VLOOKUP('Données projet'!$B$10,Paramètres!$A$1:$I$89,5,0)</f>
        <v>26.864052197391008</v>
      </c>
      <c r="AK19" s="13">
        <f t="shared" si="35"/>
        <v>8.4404970471001413</v>
      </c>
      <c r="AL19" s="20">
        <f t="shared" si="4"/>
        <v>61.488756600822086</v>
      </c>
      <c r="AM19" s="59">
        <f t="shared" si="5"/>
        <v>354.82208993415543</v>
      </c>
      <c r="AN19" s="59">
        <f ca="1">AVERAGE(OFFSET($AM$3,0,0,'Données projet'!$E$10+1,1))-AVERAGE(OFFSET($H$3,0,0,'Données projet'!$E$10+1,1))</f>
        <v>215.23235148064941</v>
      </c>
      <c r="AO19" s="59">
        <f t="shared" si="36"/>
        <v>184.07239726900434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14.6</v>
      </c>
      <c r="BD19" s="12">
        <f>IF('Données projet'!$A$88&gt;35,BD18+BC19-BL18,IF(A19&lt;'Données projet'!$A$88,$BA$205^A19,IF(A19='Données projet'!$A$88,'Données projet'!$B$88,BD18+BC19-BL18)))</f>
        <v>99.6</v>
      </c>
      <c r="BE19" s="13">
        <f>BD19*VLOOKUP('Données projet'!$B$11,Paramètres!$A$1:$I$89,3,0)*VLOOKUP('Données projet'!$B$11,Paramètres!$A$1:$I$89,5,0)</f>
        <v>62.150399999999991</v>
      </c>
      <c r="BF19" s="13">
        <f t="shared" si="37"/>
        <v>17.710838372636829</v>
      </c>
      <c r="BG19" s="20">
        <f t="shared" si="7"/>
        <v>139.09165683234247</v>
      </c>
      <c r="BH19" s="59">
        <f t="shared" si="8"/>
        <v>432.42499016567581</v>
      </c>
      <c r="BI19" s="59">
        <f ca="1">AVERAGE(OFFSET($BH$3,0,0,'Données projet'!$E$11+1,1))-AVERAGE(OFFSET($H$3,0,0,'Données projet'!$E$11+1,1))</f>
        <v>261.27638267284169</v>
      </c>
      <c r="BJ19" s="59">
        <f t="shared" si="38"/>
        <v>297.50513563712764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15.4</v>
      </c>
      <c r="BY19" s="12">
        <f>IF('Données projet'!$A$114&gt;35,BY18+BX19-CG18,IF(A19&lt;'Données projet'!$A$114,$BV$205^A19,IF(A19='Données projet'!$A$114,'Données projet'!$B$114,BY18+BX19-CG18)))</f>
        <v>90.4</v>
      </c>
      <c r="BZ19" s="13">
        <f>BY19*VLOOKUP('Données projet'!$B$12,Paramètres!$A$1:$I$89,3,0)*VLOOKUP('Données projet'!$B$12,Paramètres!$A$1:$I$89,5,0)</f>
        <v>54.059200000000004</v>
      </c>
      <c r="CA19" s="13">
        <f t="shared" si="39"/>
        <v>15.657256135361452</v>
      </c>
      <c r="CB19" s="20">
        <f t="shared" si="10"/>
        <v>121.42282776908787</v>
      </c>
      <c r="CC19" s="59">
        <f t="shared" si="11"/>
        <v>414.75616110242117</v>
      </c>
      <c r="CD19" s="59">
        <f ca="1">AVERAGE(OFFSET($CC$3,0,0,'Données projet'!$E$12+1,1))-AVERAGE(OFFSET($H$3,0,0,'Données projet'!$E$12+1,1))</f>
        <v>314.69202393413491</v>
      </c>
      <c r="CE19" s="59">
        <f t="shared" si="40"/>
        <v>321.1728368524748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20.100000000000001</v>
      </c>
      <c r="N20" s="13">
        <f>IF('Données projet'!$A$36&gt;35,N19+M20-V19,IF(A20&lt;'Données projet'!$A$36,$K$205^A20,IF(A20='Données projet'!$A$36,'Données projet'!$B$36,N19+M20-V19)))</f>
        <v>167.7</v>
      </c>
      <c r="O20" s="13">
        <f>N20*VLOOKUP('Données projet'!$B$9,Paramètres!$A$1:$I$89,3,0)*VLOOKUP('Données projet'!$B$9,Paramètres!$A$1:$I$89,5,0)</f>
        <v>93.744299999999996</v>
      </c>
      <c r="P20" s="13">
        <f t="shared" si="33"/>
        <v>25.466106585554108</v>
      </c>
      <c r="Q20" s="20">
        <f t="shared" si="2"/>
        <v>207.62479146984003</v>
      </c>
      <c r="R20" s="59">
        <f t="shared" si="0"/>
        <v>500.95812480317335</v>
      </c>
      <c r="S20" s="59">
        <f ca="1">AVERAGE(OFFSET($R$3,0,0,'Données projet'!$E$9+1,1))-AVERAGE(OFFSET($H$3,0,0,'Données projet'!$E$9+1,1))</f>
        <v>415.91544298418842</v>
      </c>
      <c r="T20" s="59">
        <f t="shared" si="34"/>
        <v>422.79312683312583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7.9</v>
      </c>
      <c r="AI20" s="13">
        <f>IF('Données projet'!$A$62&gt;35,AI19+AH20-AQ19,IF(A20&lt;'Données projet'!$A$62,$AF$205^A20,IF(A20='Données projet'!$A$62,'Données projet'!$B$62,AI19+AH20-AQ19)))</f>
        <v>73.936437994095741</v>
      </c>
      <c r="AJ20" s="13">
        <f>AI20*VLOOKUP('Données projet'!$B$10,Paramètres!$A$1:$I$89,3,0)*VLOOKUP('Données projet'!$B$10,Paramètres!$A$1:$I$89,5,0)</f>
        <v>34.602252981236802</v>
      </c>
      <c r="AK20" s="13">
        <f t="shared" si="35"/>
        <v>10.556129086190376</v>
      </c>
      <c r="AL20" s="20">
        <f t="shared" si="4"/>
        <v>78.650848767435647</v>
      </c>
      <c r="AM20" s="59">
        <f t="shared" si="5"/>
        <v>371.98418210076898</v>
      </c>
      <c r="AN20" s="59">
        <f ca="1">AVERAGE(OFFSET($AM$3,0,0,'Données projet'!$E$10+1,1))-AVERAGE(OFFSET($H$3,0,0,'Données projet'!$E$10+1,1))</f>
        <v>215.23235148064941</v>
      </c>
      <c r="AO20" s="59">
        <f t="shared" si="36"/>
        <v>184.07239726900434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14.6</v>
      </c>
      <c r="BD20" s="12">
        <f>IF('Données projet'!$A$88&gt;35,BD19+BC20-BL19,IF(A20&lt;'Données projet'!$A$88,$BA$205^A20,IF(A20='Données projet'!$A$88,'Données projet'!$B$88,BD19+BC20-BL19)))</f>
        <v>114.19999999999999</v>
      </c>
      <c r="BE20" s="13">
        <f>BD20*VLOOKUP('Données projet'!$B$11,Paramètres!$A$1:$I$89,3,0)*VLOOKUP('Données projet'!$B$11,Paramètres!$A$1:$I$89,5,0)</f>
        <v>71.260800000000003</v>
      </c>
      <c r="BF20" s="13">
        <f t="shared" si="37"/>
        <v>19.986232613776743</v>
      </c>
      <c r="BG20" s="20">
        <f t="shared" si="7"/>
        <v>158.92191513566118</v>
      </c>
      <c r="BH20" s="59">
        <f t="shared" si="8"/>
        <v>452.25524846899452</v>
      </c>
      <c r="BI20" s="59">
        <f ca="1">AVERAGE(OFFSET($BH$3,0,0,'Données projet'!$E$11+1,1))-AVERAGE(OFFSET($H$3,0,0,'Données projet'!$E$11+1,1))</f>
        <v>261.27638267284169</v>
      </c>
      <c r="BJ20" s="59">
        <f t="shared" si="38"/>
        <v>297.50513563712764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15.4</v>
      </c>
      <c r="BY20" s="12">
        <f>IF('Données projet'!$A$114&gt;35,BY19+BX20-CG19,IF(A20&lt;'Données projet'!$A$114,$BV$205^A20,IF(A20='Données projet'!$A$114,'Données projet'!$B$114,BY19+BX20-CG19)))</f>
        <v>105.80000000000001</v>
      </c>
      <c r="BZ20" s="13">
        <f>BY20*VLOOKUP('Données projet'!$B$12,Paramètres!$A$1:$I$89,3,0)*VLOOKUP('Données projet'!$B$12,Paramètres!$A$1:$I$89,5,0)</f>
        <v>63.268400000000014</v>
      </c>
      <c r="CA20" s="13">
        <f t="shared" si="39"/>
        <v>17.992054875474441</v>
      </c>
      <c r="CB20" s="20">
        <f t="shared" si="10"/>
        <v>141.52862557478466</v>
      </c>
      <c r="CC20" s="59">
        <f t="shared" si="11"/>
        <v>434.86195890811797</v>
      </c>
      <c r="CD20" s="59">
        <f ca="1">AVERAGE(OFFSET($CC$3,0,0,'Données projet'!$E$12+1,1))-AVERAGE(OFFSET($H$3,0,0,'Données projet'!$E$12+1,1))</f>
        <v>314.69202393413491</v>
      </c>
      <c r="CE20" s="59">
        <f t="shared" si="40"/>
        <v>321.1728368524748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20.100000000000001</v>
      </c>
      <c r="N21" s="13">
        <f>IF('Données projet'!$A$36&gt;35,N20+M21-V20,IF(A21&lt;'Données projet'!$A$36,$K$205^A21,IF(A21='Données projet'!$A$36,'Données projet'!$B$36,N20+M21-V20)))</f>
        <v>187.79999999999998</v>
      </c>
      <c r="O21" s="13">
        <f>N21*VLOOKUP('Données projet'!$B$9,Paramètres!$A$1:$I$89,3,0)*VLOOKUP('Données projet'!$B$9,Paramètres!$A$1:$I$89,5,0)</f>
        <v>104.9802</v>
      </c>
      <c r="P21" s="13">
        <f t="shared" si="33"/>
        <v>28.145084690033578</v>
      </c>
      <c r="Q21" s="20">
        <f t="shared" si="2"/>
        <v>231.85987083514178</v>
      </c>
      <c r="R21" s="59">
        <f t="shared" si="0"/>
        <v>525.19320416847506</v>
      </c>
      <c r="S21" s="59">
        <f ca="1">AVERAGE(OFFSET($R$3,0,0,'Données projet'!$E$9+1,1))-AVERAGE(OFFSET($H$3,0,0,'Données projet'!$E$9+1,1))</f>
        <v>415.91544298418842</v>
      </c>
      <c r="T21" s="59">
        <f t="shared" si="34"/>
        <v>422.79312683312583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7.9</v>
      </c>
      <c r="AI21" s="13">
        <f>IF('Données projet'!$A$62&gt;35,AI20+AH21-AQ20,IF(A21&lt;'Données projet'!$A$62,$AF$205^A21,IF(A21='Données projet'!$A$62,'Données projet'!$B$62,AI20+AH21-AQ20)))</f>
        <v>95.233857990035276</v>
      </c>
      <c r="AJ21" s="13">
        <f>AI21*VLOOKUP('Données projet'!$B$10,Paramètres!$A$1:$I$89,3,0)*VLOOKUP('Données projet'!$B$10,Paramètres!$A$1:$I$89,5,0)</f>
        <v>44.569445539336513</v>
      </c>
      <c r="AK21" s="13">
        <f t="shared" si="35"/>
        <v>13.202049673437019</v>
      </c>
      <c r="AL21" s="20">
        <f t="shared" si="4"/>
        <v>100.61868749558056</v>
      </c>
      <c r="AM21" s="59">
        <f t="shared" si="5"/>
        <v>393.95202082891387</v>
      </c>
      <c r="AN21" s="59">
        <f ca="1">AVERAGE(OFFSET($AM$3,0,0,'Données projet'!$E$10+1,1))-AVERAGE(OFFSET($H$3,0,0,'Données projet'!$E$10+1,1))</f>
        <v>215.23235148064941</v>
      </c>
      <c r="AO21" s="59">
        <f t="shared" si="36"/>
        <v>184.07239726900434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14.6</v>
      </c>
      <c r="BD21" s="12">
        <f>IF('Données projet'!$A$88&gt;35,BD20+BC21-BL20,IF(A21&lt;'Données projet'!$A$88,$BA$205^A21,IF(A21='Données projet'!$A$88,'Données projet'!$B$88,BD20+BC21-BL20)))</f>
        <v>128.79999999999998</v>
      </c>
      <c r="BE21" s="13">
        <f>BD21*VLOOKUP('Données projet'!$B$11,Paramètres!$A$1:$I$89,3,0)*VLOOKUP('Données projet'!$B$11,Paramètres!$A$1:$I$89,5,0)</f>
        <v>80.371199999999988</v>
      </c>
      <c r="BF21" s="13">
        <f t="shared" si="37"/>
        <v>22.22791999099082</v>
      </c>
      <c r="BG21" s="20">
        <f t="shared" si="7"/>
        <v>178.6934673176423</v>
      </c>
      <c r="BH21" s="59">
        <f t="shared" si="8"/>
        <v>472.02680065097559</v>
      </c>
      <c r="BI21" s="59">
        <f ca="1">AVERAGE(OFFSET($BH$3,0,0,'Données projet'!$E$11+1,1))-AVERAGE(OFFSET($H$3,0,0,'Données projet'!$E$11+1,1))</f>
        <v>261.27638267284169</v>
      </c>
      <c r="BJ21" s="59">
        <f t="shared" si="38"/>
        <v>297.50513563712764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15.4</v>
      </c>
      <c r="BY21" s="12">
        <f>IF('Données projet'!$A$114&gt;35,BY20+BX21-CG20,IF(A21&lt;'Données projet'!$A$114,$BV$205^A21,IF(A21='Données projet'!$A$114,'Données projet'!$B$114,BY20+BX21-CG20)))</f>
        <v>121.20000000000002</v>
      </c>
      <c r="BZ21" s="13">
        <f>BY21*VLOOKUP('Données projet'!$B$12,Paramètres!$A$1:$I$89,3,0)*VLOOKUP('Données projet'!$B$12,Paramètres!$A$1:$I$89,5,0)</f>
        <v>72.47760000000001</v>
      </c>
      <c r="CA21" s="13">
        <f t="shared" si="39"/>
        <v>20.287481925986448</v>
      </c>
      <c r="CB21" s="20">
        <f t="shared" si="10"/>
        <v>161.5658510210931</v>
      </c>
      <c r="CC21" s="59">
        <f t="shared" si="11"/>
        <v>454.89918435442644</v>
      </c>
      <c r="CD21" s="59">
        <f ca="1">AVERAGE(OFFSET($CC$3,0,0,'Données projet'!$E$12+1,1))-AVERAGE(OFFSET($H$3,0,0,'Données projet'!$E$12+1,1))</f>
        <v>314.69202393413491</v>
      </c>
      <c r="CE21" s="59">
        <f t="shared" si="40"/>
        <v>321.1728368524748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20.100000000000001</v>
      </c>
      <c r="N22" s="13">
        <f>IF('Données projet'!$A$36&gt;35,N21+M22-V21,IF(A22&lt;'Données projet'!$A$36,$K$205^A22,IF(A22='Données projet'!$A$36,'Données projet'!$B$36,N21+M22-V21)))</f>
        <v>207.89999999999998</v>
      </c>
      <c r="O22" s="13">
        <f>N22*VLOOKUP('Données projet'!$B$9,Paramètres!$A$1:$I$89,3,0)*VLOOKUP('Données projet'!$B$9,Paramètres!$A$1:$I$89,5,0)</f>
        <v>116.2161</v>
      </c>
      <c r="P22" s="13">
        <f t="shared" si="33"/>
        <v>30.790827813105789</v>
      </c>
      <c r="Q22" s="20">
        <f t="shared" si="2"/>
        <v>256.03706594115926</v>
      </c>
      <c r="R22" s="59">
        <f t="shared" si="0"/>
        <v>549.37039927449257</v>
      </c>
      <c r="S22" s="59">
        <f ca="1">AVERAGE(OFFSET($R$3,0,0,'Données projet'!$E$9+1,1))-AVERAGE(OFFSET($H$3,0,0,'Données projet'!$E$9+1,1))</f>
        <v>415.91544298418842</v>
      </c>
      <c r="T22" s="59">
        <f t="shared" si="34"/>
        <v>422.79312683312583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7.9</v>
      </c>
      <c r="AI22" s="13">
        <f>IF('Données projet'!$A$62&gt;35,AI21+AH22-AQ21,IF(A22&lt;'Données projet'!$A$62,$AF$205^A22,IF(A22='Données projet'!$A$62,'Données projet'!$B$62,AI21+AH22-AQ21)))</f>
        <v>122.66600817840934</v>
      </c>
      <c r="AJ22" s="13">
        <f>AI22*VLOOKUP('Données projet'!$B$10,Paramètres!$A$1:$I$89,3,0)*VLOOKUP('Données projet'!$B$10,Paramètres!$A$1:$I$89,5,0)</f>
        <v>57.407691827495569</v>
      </c>
      <c r="AK22" s="13">
        <f t="shared" si="35"/>
        <v>16.511176981334152</v>
      </c>
      <c r="AL22" s="20">
        <f t="shared" si="4"/>
        <v>128.7420298420451</v>
      </c>
      <c r="AM22" s="59">
        <f t="shared" si="5"/>
        <v>422.07536317537841</v>
      </c>
      <c r="AN22" s="59">
        <f ca="1">AVERAGE(OFFSET($AM$3,0,0,'Données projet'!$E$10+1,1))-AVERAGE(OFFSET($H$3,0,0,'Données projet'!$E$10+1,1))</f>
        <v>215.23235148064941</v>
      </c>
      <c r="AO22" s="59">
        <f t="shared" si="36"/>
        <v>184.07239726900434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14.6</v>
      </c>
      <c r="BD22" s="12">
        <f>IF('Données projet'!$A$88&gt;35,BD21+BC22-BL21,IF(A22&lt;'Données projet'!$A$88,$BA$205^A22,IF(A22='Données projet'!$A$88,'Données projet'!$B$88,BD21+BC22-BL21)))</f>
        <v>143.39999999999998</v>
      </c>
      <c r="BE22" s="13">
        <f>BD22*VLOOKUP('Données projet'!$B$11,Paramètres!$A$1:$I$89,3,0)*VLOOKUP('Données projet'!$B$11,Paramètres!$A$1:$I$89,5,0)</f>
        <v>89.4816</v>
      </c>
      <c r="BF22" s="13">
        <f t="shared" si="37"/>
        <v>24.440157394260027</v>
      </c>
      <c r="BG22" s="20">
        <f t="shared" si="7"/>
        <v>198.41372746166954</v>
      </c>
      <c r="BH22" s="59">
        <f t="shared" si="8"/>
        <v>491.74706079500288</v>
      </c>
      <c r="BI22" s="59">
        <f ca="1">AVERAGE(OFFSET($BH$3,0,0,'Données projet'!$E$11+1,1))-AVERAGE(OFFSET($H$3,0,0,'Données projet'!$E$11+1,1))</f>
        <v>261.27638267284169</v>
      </c>
      <c r="BJ22" s="59">
        <f t="shared" si="38"/>
        <v>297.50513563712764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15.4</v>
      </c>
      <c r="BY22" s="12">
        <f>IF('Données projet'!$A$114&gt;35,BY21+BX22-CG21,IF(A22&lt;'Données projet'!$A$114,$BV$205^A22,IF(A22='Données projet'!$A$114,'Données projet'!$B$114,BY21+BX22-CG21)))</f>
        <v>136.60000000000002</v>
      </c>
      <c r="BZ22" s="13">
        <f>BY22*VLOOKUP('Données projet'!$B$12,Paramètres!$A$1:$I$89,3,0)*VLOOKUP('Données projet'!$B$12,Paramètres!$A$1:$I$89,5,0)</f>
        <v>81.686800000000019</v>
      </c>
      <c r="CA22" s="13">
        <f t="shared" si="39"/>
        <v>22.549113311372079</v>
      </c>
      <c r="CB22" s="20">
        <f t="shared" si="10"/>
        <v>181.54421568397308</v>
      </c>
      <c r="CC22" s="59">
        <f t="shared" si="11"/>
        <v>474.87754901730636</v>
      </c>
      <c r="CD22" s="59">
        <f ca="1">AVERAGE(OFFSET($CC$3,0,0,'Données projet'!$E$12+1,1))-AVERAGE(OFFSET($H$3,0,0,'Données projet'!$E$12+1,1))</f>
        <v>314.69202393413491</v>
      </c>
      <c r="CE22" s="59">
        <f t="shared" si="40"/>
        <v>321.1728368524748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228</v>
      </c>
      <c r="L23" s="12">
        <f>VLOOKUP(A23,'Données projet'!$A$35:$I$55,9,0)</f>
        <v>20.100000000000001</v>
      </c>
      <c r="M23" s="12">
        <f t="array" ref="M23">INDEX(L:L,MIN(IF(ISNUMBER(L23:L219),ROW(L23:L219),"")))</f>
        <v>20.100000000000001</v>
      </c>
      <c r="N23" s="13">
        <f>IF('Données projet'!$A$36&gt;35,N22+M23-V22,IF(A23&lt;'Données projet'!$A$36,$K$205^A23,IF(A23='Données projet'!$A$36,'Données projet'!$B$36,N22+M23-V22)))</f>
        <v>227.99999999999997</v>
      </c>
      <c r="O23" s="13">
        <f>N23*VLOOKUP('Données projet'!$B$9,Paramètres!$A$1:$I$89,3,0)*VLOOKUP('Données projet'!$B$9,Paramètres!$A$1:$I$89,5,0)</f>
        <v>127.452</v>
      </c>
      <c r="P23" s="13">
        <f t="shared" si="33"/>
        <v>33.406914773953936</v>
      </c>
      <c r="Q23" s="20">
        <f t="shared" si="2"/>
        <v>280.16260989796973</v>
      </c>
      <c r="R23" s="59">
        <f t="shared" si="0"/>
        <v>573.49594323130304</v>
      </c>
      <c r="S23" s="59">
        <f ca="1">AVERAGE(OFFSET($R$3,0,0,'Données projet'!$E$9+1,1))-AVERAGE(OFFSET($H$3,0,0,'Données projet'!$E$9+1,1))</f>
        <v>415.91544298418842</v>
      </c>
      <c r="T23" s="59">
        <f t="shared" si="34"/>
        <v>422.79312683312583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104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0.27500000000000002</v>
      </c>
      <c r="Y23" s="16">
        <f>IF(ISNA(VLOOKUP(A23,'Données projet'!$A$35:$I$55,7,0)),0%,VLOOKUP(A23,'Données projet'!$A$35:$I$55,7,0))</f>
        <v>0.5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21.124811351536597</v>
      </c>
      <c r="AB23" s="21">
        <f>EXP(-LN(2)/2)*AB22+(1-EXP(-LN(2)/2))/(LN(2)/2)*V23*Y23*VLOOKUP('Données projet'!$B$9,Paramètres!$A$1:$I$89,3,0)*0.475*44/12</f>
        <v>32.911728424499309</v>
      </c>
      <c r="AC23" s="22">
        <f t="shared" si="3"/>
        <v>54.036539776035909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158</v>
      </c>
      <c r="AG23" s="12">
        <f>VLOOKUP(A23,'Données projet'!$A$61:$I$81,9,0)</f>
        <v>7.9</v>
      </c>
      <c r="AH23" s="12">
        <f t="array" ref="AH23">INDEX(AG:AG,MIN(IF(ISNUMBER(AG23:AG219),ROW(AG23:AG219),"")))</f>
        <v>7.9</v>
      </c>
      <c r="AI23" s="13">
        <f>IF('Données projet'!$A$62&gt;35,AI22+AH23-AQ22,IF(A23&lt;'Données projet'!$A$62,$AF$205^A23,IF(A23='Données projet'!$A$62,'Données projet'!$B$62,AI22+AH23-AQ22)))</f>
        <v>158</v>
      </c>
      <c r="AJ23" s="13">
        <f>AI23*VLOOKUP('Données projet'!$B$10,Paramètres!$A$1:$I$89,3,0)*VLOOKUP('Données projet'!$B$10,Paramètres!$A$1:$I$89,5,0)</f>
        <v>73.944000000000003</v>
      </c>
      <c r="AK23" s="13">
        <f t="shared" si="35"/>
        <v>20.649745460165708</v>
      </c>
      <c r="AL23" s="20">
        <f t="shared" si="4"/>
        <v>164.75077334312192</v>
      </c>
      <c r="AM23" s="59">
        <f t="shared" si="5"/>
        <v>458.08410667645524</v>
      </c>
      <c r="AN23" s="59">
        <f ca="1">AVERAGE(OFFSET($AM$3,0,0,'Données projet'!$E$10+1,1))-AVERAGE(OFFSET($H$3,0,0,'Données projet'!$E$10+1,1))</f>
        <v>215.23235148064941</v>
      </c>
      <c r="AO23" s="59">
        <f t="shared" si="36"/>
        <v>184.07239726900434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12.5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0.27500000000000002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2.1257077612234943</v>
      </c>
      <c r="AW23" s="21">
        <f>EXP(-LN(2)/2)*AW22+(1-EXP(-LN(2)/2))/(LN(2)/2)*AQ23*AT23*VLOOKUP('Données projet'!$B$10,Paramètres!$A$1:$I$89,3,0)*0.475*44/12</f>
        <v>3.3117794702649124</v>
      </c>
      <c r="AX23" s="21">
        <f t="shared" si="6"/>
        <v>5.4374872314884062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158</v>
      </c>
      <c r="BB23" s="12">
        <f>VLOOKUP(A23,'Données projet'!$A$87:$I$107,9,0)</f>
        <v>14.6</v>
      </c>
      <c r="BC23" s="12">
        <f t="array" ref="BC23">INDEX(BB:BB,MIN(IF(ISNUMBER(BB23:BB219),ROW(BB23:BB219),"")))</f>
        <v>14.6</v>
      </c>
      <c r="BD23" s="12">
        <f>IF('Données projet'!$A$88&gt;35,BD22+BC23-BL22,IF(A23&lt;'Données projet'!$A$88,$BA$205^A23,IF(A23='Données projet'!$A$88,'Données projet'!$B$88,BD22+BC23-BL22)))</f>
        <v>157.99999999999997</v>
      </c>
      <c r="BE23" s="13">
        <f>BD23*VLOOKUP('Données projet'!$B$11,Paramètres!$A$1:$I$89,3,0)*VLOOKUP('Données projet'!$B$11,Paramètres!$A$1:$I$89,5,0)</f>
        <v>98.591999999999985</v>
      </c>
      <c r="BF23" s="13">
        <f t="shared" si="37"/>
        <v>26.62628463760208</v>
      </c>
      <c r="BG23" s="20">
        <f t="shared" si="7"/>
        <v>218.08851241049027</v>
      </c>
      <c r="BH23" s="59">
        <f t="shared" si="8"/>
        <v>511.42184574382361</v>
      </c>
      <c r="BI23" s="59">
        <f ca="1">AVERAGE(OFFSET($BH$3,0,0,'Données projet'!$E$11+1,1))-AVERAGE(OFFSET($H$3,0,0,'Données projet'!$E$11+1,1))</f>
        <v>261.27638267284169</v>
      </c>
      <c r="BJ23" s="59">
        <f t="shared" si="38"/>
        <v>297.50513563712764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60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0.3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14.841305096542214</v>
      </c>
      <c r="BR23" s="21">
        <f>EXP(-LN(2)/2)*BR22+(1-EXP(-LN(2)/2))/(LN(2)/2)*BL23*BO23*VLOOKUP('Données projet'!$B$11,Paramètres!$A$1:$I$89,3,0)*0.475*44/12</f>
        <v>21.195388609695438</v>
      </c>
      <c r="BS23" s="22">
        <f t="shared" si="9"/>
        <v>36.036693706237656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152</v>
      </c>
      <c r="BW23" s="12">
        <f>VLOOKUP(A23,'Données projet'!$A$113:$I$133,9,0)</f>
        <v>15.4</v>
      </c>
      <c r="BX23" s="12">
        <f t="array" ref="BX23">INDEX(BW:BW,MIN(IF(ISNUMBER(BW23:BW219),ROW(BW23:BW219),"")))</f>
        <v>15.4</v>
      </c>
      <c r="BY23" s="12">
        <f>IF('Données projet'!$A$114&gt;35,BY22+BX23-CG22,IF(A23&lt;'Données projet'!$A$114,$BV$205^A23,IF(A23='Données projet'!$A$114,'Données projet'!$B$114,BY22+BX23-CG22)))</f>
        <v>152.00000000000003</v>
      </c>
      <c r="BZ23" s="13">
        <f>BY23*VLOOKUP('Données projet'!$B$12,Paramètres!$A$1:$I$89,3,0)*VLOOKUP('Données projet'!$B$12,Paramètres!$A$1:$I$89,5,0)</f>
        <v>90.896000000000029</v>
      </c>
      <c r="CA23" s="13">
        <f t="shared" si="39"/>
        <v>24.781193872187952</v>
      </c>
      <c r="CB23" s="20">
        <f t="shared" si="10"/>
        <v>201.47111266072739</v>
      </c>
      <c r="CC23" s="59">
        <f t="shared" si="11"/>
        <v>494.8044459940607</v>
      </c>
      <c r="CD23" s="59">
        <f ca="1">AVERAGE(OFFSET($CC$3,0,0,'Données projet'!$E$12+1,1))-AVERAGE(OFFSET($H$3,0,0,'Données projet'!$E$12+1,1))</f>
        <v>314.69202393413491</v>
      </c>
      <c r="CE23" s="59">
        <f t="shared" si="40"/>
        <v>321.1728368524748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42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0.22500000000000001</v>
      </c>
      <c r="CJ23" s="16">
        <f>IF(ISNA(VLOOKUP(A23,'Données projet'!$A$113:$I$133,7,0)),0%,VLOOKUP(A23,'Données projet'!$A$113:$I$133,7,0))</f>
        <v>0.5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7.4670316266978034</v>
      </c>
      <c r="CM23" s="21">
        <f>EXP(-LN(2)/2)*CM22+(1-EXP(-LN(2)/2))/(LN(2)/2)*CG23*CJ23*VLOOKUP('Données projet'!$B$12,Paramètres!$A$1:$I$89,3,0)*0.475*44/12</f>
        <v>14.21857319233736</v>
      </c>
      <c r="CN23" s="22">
        <f t="shared" si="12"/>
        <v>21.685604819035163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27.5</v>
      </c>
      <c r="N24" s="13">
        <f>IF('Données projet'!$A$36&gt;35,N23+M24-V23,IF(A24&lt;'Données projet'!$A$36,$K$205^A24,IF(A24='Données projet'!$A$36,'Données projet'!$B$36,N23+M24-V23)))</f>
        <v>151.49999999999997</v>
      </c>
      <c r="O24" s="13">
        <f>N24*VLOOKUP('Données projet'!$B$9,Paramètres!$A$1:$I$89,3,0)*VLOOKUP('Données projet'!$B$9,Paramètres!$A$1:$I$89,5,0)</f>
        <v>84.688499999999976</v>
      </c>
      <c r="P24" s="13">
        <f t="shared" si="33"/>
        <v>23.279719368585155</v>
      </c>
      <c r="Q24" s="20">
        <f t="shared" si="2"/>
        <v>188.04464873361908</v>
      </c>
      <c r="R24" s="59">
        <f t="shared" si="0"/>
        <v>481.37798206695243</v>
      </c>
      <c r="S24" s="59">
        <f ca="1">AVERAGE(OFFSET($R$3,0,0,'Données projet'!$E$9+1,1))-AVERAGE(OFFSET($H$3,0,0,'Données projet'!$E$9+1,1))</f>
        <v>415.91544298418842</v>
      </c>
      <c r="T24" s="59">
        <f t="shared" si="34"/>
        <v>422.79312683312583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20.547152274223279</v>
      </c>
      <c r="AB24" s="21">
        <f>EXP(-LN(2)/2)*AB23+(1-EXP(-LN(2)/2))/(LN(2)/2)*V24*Y24*VLOOKUP('Données projet'!$B$9,Paramètres!$A$1:$I$89,3,0)*0.475*44/12</f>
        <v>23.272106349533512</v>
      </c>
      <c r="AC24" s="22">
        <f t="shared" si="3"/>
        <v>43.819258623756795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9.1999999999999993</v>
      </c>
      <c r="AI24" s="13">
        <f>IF('Données projet'!$A$62&gt;35,AI23+AH24-AQ23,IF(A24&lt;'Données projet'!$A$62,$AF$205^A24,IF(A24='Données projet'!$A$62,'Données projet'!$B$62,AI23+AH24-AQ23)))</f>
        <v>154.69999999999999</v>
      </c>
      <c r="AJ24" s="13">
        <f>AI24*VLOOKUP('Données projet'!$B$10,Paramètres!$A$1:$I$89,3,0)*VLOOKUP('Données projet'!$B$10,Paramètres!$A$1:$I$89,5,0)</f>
        <v>72.399599999999992</v>
      </c>
      <c r="AK24" s="13">
        <f t="shared" si="35"/>
        <v>20.268188832715463</v>
      </c>
      <c r="AL24" s="20">
        <f t="shared" si="4"/>
        <v>161.3963988836461</v>
      </c>
      <c r="AM24" s="59">
        <f t="shared" si="5"/>
        <v>454.72973221697941</v>
      </c>
      <c r="AN24" s="59">
        <f ca="1">AVERAGE(OFFSET($AM$3,0,0,'Données projet'!$E$10+1,1))-AVERAGE(OFFSET($H$3,0,0,'Données projet'!$E$10+1,1))</f>
        <v>215.23235148064941</v>
      </c>
      <c r="AO24" s="59">
        <f t="shared" si="36"/>
        <v>184.07239726900434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2.0675801707067252</v>
      </c>
      <c r="AW24" s="21">
        <f>EXP(-LN(2)/2)*AW23+(1-EXP(-LN(2)/2))/(LN(2)/2)*AQ24*AT24*VLOOKUP('Données projet'!$B$10,Paramètres!$A$1:$I$89,3,0)*0.475*44/12</f>
        <v>2.341781721218712</v>
      </c>
      <c r="AX24" s="21">
        <f t="shared" si="6"/>
        <v>4.4093618919254371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16.5</v>
      </c>
      <c r="BD24" s="12">
        <f>IF('Données projet'!$A$88&gt;35,BD23+BC24-BL23,IF(A24&lt;'Données projet'!$A$88,$BA$205^A24,IF(A24='Données projet'!$A$88,'Données projet'!$B$88,BD23+BC24-BL23)))</f>
        <v>114.49999999999997</v>
      </c>
      <c r="BE24" s="13">
        <f>BD24*VLOOKUP('Données projet'!$B$11,Paramètres!$A$1:$I$89,3,0)*VLOOKUP('Données projet'!$B$11,Paramètres!$A$1:$I$89,5,0)</f>
        <v>71.447999999999979</v>
      </c>
      <c r="BF24" s="13">
        <f t="shared" si="37"/>
        <v>20.03261738899662</v>
      </c>
      <c r="BG24" s="20">
        <f t="shared" si="7"/>
        <v>159.32874195250238</v>
      </c>
      <c r="BH24" s="59">
        <f t="shared" si="8"/>
        <v>452.66207528583573</v>
      </c>
      <c r="BI24" s="59">
        <f ca="1">AVERAGE(OFFSET($BH$3,0,0,'Données projet'!$E$11+1,1))-AVERAGE(OFFSET($H$3,0,0,'Données projet'!$E$11+1,1))</f>
        <v>261.27638267284169</v>
      </c>
      <c r="BJ24" s="59">
        <f t="shared" si="38"/>
        <v>297.50513563712764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14.435468828206952</v>
      </c>
      <c r="BR24" s="21">
        <f>EXP(-LN(2)/2)*BR23+(1-EXP(-LN(2)/2))/(LN(2)/2)*BL24*BO24*VLOOKUP('Données projet'!$B$11,Paramètres!$A$1:$I$89,3,0)*0.475*44/12</f>
        <v>14.987403015799755</v>
      </c>
      <c r="BS24" s="22">
        <f t="shared" si="9"/>
        <v>29.422871844006707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18.3</v>
      </c>
      <c r="BY24" s="12">
        <f>IF('Données projet'!$A$114&gt;35,BY23+BX24-CG23,IF(A24&lt;'Données projet'!$A$114,$BV$205^A24,IF(A24='Données projet'!$A$114,'Données projet'!$B$114,BY23+BX24-CG23)))</f>
        <v>128.30000000000004</v>
      </c>
      <c r="BZ24" s="13">
        <f>BY24*VLOOKUP('Données projet'!$B$12,Paramètres!$A$1:$I$89,3,0)*VLOOKUP('Données projet'!$B$12,Paramètres!$A$1:$I$89,5,0)</f>
        <v>76.723400000000026</v>
      </c>
      <c r="CA24" s="13">
        <f t="shared" si="39"/>
        <v>21.334098927773212</v>
      </c>
      <c r="CB24" s="20">
        <f t="shared" si="10"/>
        <v>170.78347729920506</v>
      </c>
      <c r="CC24" s="59">
        <f t="shared" si="11"/>
        <v>464.11681063253837</v>
      </c>
      <c r="CD24" s="59">
        <f ca="1">AVERAGE(OFFSET($CC$3,0,0,'Données projet'!$E$12+1,1))-AVERAGE(OFFSET($H$3,0,0,'Données projet'!$E$12+1,1))</f>
        <v>314.69202393413491</v>
      </c>
      <c r="CE24" s="59">
        <f t="shared" si="40"/>
        <v>321.1728368524748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7.2628452541916246</v>
      </c>
      <c r="CM24" s="21">
        <f>EXP(-LN(2)/2)*CM23+(1-EXP(-LN(2)/2))/(LN(2)/2)*CG24*CJ24*VLOOKUP('Données projet'!$B$12,Paramètres!$A$1:$I$89,3,0)*0.475*44/12</f>
        <v>10.054049523099005</v>
      </c>
      <c r="CN24" s="22">
        <f t="shared" si="12"/>
        <v>17.316894777290628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27.5</v>
      </c>
      <c r="N25" s="13">
        <f>IF('Données projet'!$A$36&gt;35,N24+M25-V24,IF(A25&lt;'Données projet'!$A$36,$K$205^A25,IF(A25='Données projet'!$A$36,'Données projet'!$B$36,N24+M25-V24)))</f>
        <v>178.99999999999997</v>
      </c>
      <c r="O25" s="13">
        <f>N25*VLOOKUP('Données projet'!$B$9,Paramètres!$A$1:$I$89,3,0)*VLOOKUP('Données projet'!$B$9,Paramètres!$A$1:$I$89,5,0)</f>
        <v>100.06099999999998</v>
      </c>
      <c r="P25" s="13">
        <f t="shared" si="33"/>
        <v>26.976529441369074</v>
      </c>
      <c r="Q25" s="20">
        <f t="shared" si="2"/>
        <v>221.25703044371778</v>
      </c>
      <c r="R25" s="59">
        <f t="shared" si="0"/>
        <v>514.59036377705115</v>
      </c>
      <c r="S25" s="59">
        <f ca="1">AVERAGE(OFFSET($R$3,0,0,'Données projet'!$E$9+1,1))-AVERAGE(OFFSET($H$3,0,0,'Données projet'!$E$9+1,1))</f>
        <v>415.91544298418842</v>
      </c>
      <c r="T25" s="59">
        <f t="shared" si="34"/>
        <v>422.79312683312583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19.985289314756866</v>
      </c>
      <c r="AB25" s="21">
        <f>EXP(-LN(2)/2)*AB24+(1-EXP(-LN(2)/2))/(LN(2)/2)*V25*Y25*VLOOKUP('Données projet'!$B$9,Paramètres!$A$1:$I$89,3,0)*0.475*44/12</f>
        <v>16.455864212249658</v>
      </c>
      <c r="AC25" s="22">
        <f t="shared" si="3"/>
        <v>36.44115352700652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9.1999999999999993</v>
      </c>
      <c r="AI25" s="13">
        <f>IF('Données projet'!$A$62&gt;35,AI24+AH25-AQ24,IF(A25&lt;'Données projet'!$A$62,$AF$205^A25,IF(A25='Données projet'!$A$62,'Données projet'!$B$62,AI24+AH25-AQ24)))</f>
        <v>163.89999999999998</v>
      </c>
      <c r="AJ25" s="13">
        <f>AI25*VLOOKUP('Données projet'!$B$10,Paramètres!$A$1:$I$89,3,0)*VLOOKUP('Données projet'!$B$10,Paramètres!$A$1:$I$89,5,0)</f>
        <v>76.705199999999991</v>
      </c>
      <c r="AK25" s="13">
        <f t="shared" si="35"/>
        <v>21.32962715676695</v>
      </c>
      <c r="AL25" s="20">
        <f t="shared" si="4"/>
        <v>170.74399063136909</v>
      </c>
      <c r="AM25" s="59">
        <f t="shared" si="5"/>
        <v>464.07732396470237</v>
      </c>
      <c r="AN25" s="59">
        <f ca="1">AVERAGE(OFFSET($AM$3,0,0,'Données projet'!$E$10+1,1))-AVERAGE(OFFSET($H$3,0,0,'Données projet'!$E$10+1,1))</f>
        <v>215.23235148064941</v>
      </c>
      <c r="AO25" s="59">
        <f t="shared" si="36"/>
        <v>184.07239726900434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2.0110420822094341</v>
      </c>
      <c r="AW25" s="21">
        <f>EXP(-LN(2)/2)*AW24+(1-EXP(-LN(2)/2))/(LN(2)/2)*AQ25*AT25*VLOOKUP('Données projet'!$B$10,Paramètres!$A$1:$I$89,3,0)*0.475*44/12</f>
        <v>1.6558897351324564</v>
      </c>
      <c r="AX25" s="21">
        <f t="shared" si="6"/>
        <v>3.6669318173418906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16.5</v>
      </c>
      <c r="BD25" s="12">
        <f>IF('Données projet'!$A$88&gt;35,BD24+BC25-BL24,IF(A25&lt;'Données projet'!$A$88,$BA$205^A25,IF(A25='Données projet'!$A$88,'Données projet'!$B$88,BD24+BC25-BL24)))</f>
        <v>130.99999999999997</v>
      </c>
      <c r="BE25" s="13">
        <f>BD25*VLOOKUP('Données projet'!$B$11,Paramètres!$A$1:$I$89,3,0)*VLOOKUP('Données projet'!$B$11,Paramètres!$A$1:$I$89,5,0)</f>
        <v>81.743999999999971</v>
      </c>
      <c r="BF25" s="13">
        <f t="shared" si="37"/>
        <v>22.563064513367376</v>
      </c>
      <c r="BG25" s="20">
        <f t="shared" si="7"/>
        <v>181.66813736078146</v>
      </c>
      <c r="BH25" s="59">
        <f t="shared" si="8"/>
        <v>475.0014706941148</v>
      </c>
      <c r="BI25" s="59">
        <f ca="1">AVERAGE(OFFSET($BH$3,0,0,'Données projet'!$E$11+1,1))-AVERAGE(OFFSET($H$3,0,0,'Données projet'!$E$11+1,1))</f>
        <v>261.27638267284169</v>
      </c>
      <c r="BJ25" s="59">
        <f t="shared" si="38"/>
        <v>297.50513563712764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14.040730173971321</v>
      </c>
      <c r="BR25" s="21">
        <f>EXP(-LN(2)/2)*BR24+(1-EXP(-LN(2)/2))/(LN(2)/2)*BL25*BO25*VLOOKUP('Données projet'!$B$11,Paramètres!$A$1:$I$89,3,0)*0.475*44/12</f>
        <v>10.597694304847721</v>
      </c>
      <c r="BS25" s="22">
        <f t="shared" si="9"/>
        <v>24.63842447881904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18.3</v>
      </c>
      <c r="BY25" s="12">
        <f>IF('Données projet'!$A$114&gt;35,BY24+BX25-CG24,IF(A25&lt;'Données projet'!$A$114,$BV$205^A25,IF(A25='Données projet'!$A$114,'Données projet'!$B$114,BY24+BX25-CG24)))</f>
        <v>146.60000000000005</v>
      </c>
      <c r="BZ25" s="13">
        <f>BY25*VLOOKUP('Données projet'!$B$12,Paramètres!$A$1:$I$89,3,0)*VLOOKUP('Données projet'!$B$12,Paramètres!$A$1:$I$89,5,0)</f>
        <v>87.666800000000038</v>
      </c>
      <c r="CA25" s="13">
        <f t="shared" si="39"/>
        <v>24.001656011397941</v>
      </c>
      <c r="CB25" s="20">
        <f t="shared" si="10"/>
        <v>194.4892275531848</v>
      </c>
      <c r="CC25" s="59">
        <f t="shared" si="11"/>
        <v>487.82256088651809</v>
      </c>
      <c r="CD25" s="59">
        <f ca="1">AVERAGE(OFFSET($CC$3,0,0,'Données projet'!$E$12+1,1))-AVERAGE(OFFSET($H$3,0,0,'Données projet'!$E$12+1,1))</f>
        <v>314.69202393413491</v>
      </c>
      <c r="CE25" s="59">
        <f t="shared" si="40"/>
        <v>321.1728368524748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7.0642423687793219</v>
      </c>
      <c r="CM25" s="21">
        <f>EXP(-LN(2)/2)*CM24+(1-EXP(-LN(2)/2))/(LN(2)/2)*CG25*CJ25*VLOOKUP('Données projet'!$B$12,Paramètres!$A$1:$I$89,3,0)*0.475*44/12</f>
        <v>7.1092865961686815</v>
      </c>
      <c r="CN25" s="22">
        <f t="shared" si="12"/>
        <v>14.173528964948003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27.5</v>
      </c>
      <c r="N26" s="13">
        <f>IF('Données projet'!$A$36&gt;35,N25+M26-V25,IF(A26&lt;'Données projet'!$A$36,$K$205^A26,IF(A26='Données projet'!$A$36,'Données projet'!$B$36,N25+M26-V25)))</f>
        <v>206.49999999999997</v>
      </c>
      <c r="O26" s="13">
        <f>N26*VLOOKUP('Données projet'!$B$9,Paramètres!$A$1:$I$89,3,0)*VLOOKUP('Données projet'!$B$9,Paramètres!$A$1:$I$89,5,0)</f>
        <v>115.43349999999998</v>
      </c>
      <c r="P26" s="13">
        <f t="shared" si="33"/>
        <v>30.60754521964256</v>
      </c>
      <c r="Q26" s="20">
        <f t="shared" si="2"/>
        <v>254.35482042421077</v>
      </c>
      <c r="R26" s="59">
        <f t="shared" si="0"/>
        <v>547.68815375754411</v>
      </c>
      <c r="S26" s="59">
        <f ca="1">AVERAGE(OFFSET($R$3,0,0,'Données projet'!$E$9+1,1))-AVERAGE(OFFSET($H$3,0,0,'Données projet'!$E$9+1,1))</f>
        <v>415.91544298418842</v>
      </c>
      <c r="T26" s="59">
        <f t="shared" si="34"/>
        <v>422.79312683312583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19.43879052746415</v>
      </c>
      <c r="AB26" s="21">
        <f>EXP(-LN(2)/2)*AB25+(1-EXP(-LN(2)/2))/(LN(2)/2)*V26*Y26*VLOOKUP('Données projet'!$B$9,Paramètres!$A$1:$I$89,3,0)*0.475*44/12</f>
        <v>11.636053174766758</v>
      </c>
      <c r="AC26" s="22">
        <f t="shared" si="3"/>
        <v>31.074843702230908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9.1999999999999993</v>
      </c>
      <c r="AI26" s="13">
        <f>IF('Données projet'!$A$62&gt;35,AI25+AH26-AQ25,IF(A26&lt;'Données projet'!$A$62,$AF$205^A26,IF(A26='Données projet'!$A$62,'Données projet'!$B$62,AI25+AH26-AQ25)))</f>
        <v>173.09999999999997</v>
      </c>
      <c r="AJ26" s="13">
        <f>AI26*VLOOKUP('Données projet'!$B$10,Paramètres!$A$1:$I$89,3,0)*VLOOKUP('Données projet'!$B$10,Paramètres!$A$1:$I$89,5,0)</f>
        <v>81.010799999999989</v>
      </c>
      <c r="AK26" s="13">
        <f t="shared" si="35"/>
        <v>22.384149091932141</v>
      </c>
      <c r="AL26" s="20">
        <f t="shared" si="4"/>
        <v>180.07953633511511</v>
      </c>
      <c r="AM26" s="59">
        <f t="shared" si="5"/>
        <v>473.41286966844842</v>
      </c>
      <c r="AN26" s="59">
        <f ca="1">AVERAGE(OFFSET($AM$3,0,0,'Données projet'!$E$10+1,1))-AVERAGE(OFFSET($H$3,0,0,'Données projet'!$E$10+1,1))</f>
        <v>215.23235148064941</v>
      </c>
      <c r="AO26" s="59">
        <f t="shared" si="36"/>
        <v>184.07239726900434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1.9560500307153104</v>
      </c>
      <c r="AW26" s="21">
        <f>EXP(-LN(2)/2)*AW25+(1-EXP(-LN(2)/2))/(LN(2)/2)*AQ26*AT26*VLOOKUP('Données projet'!$B$10,Paramètres!$A$1:$I$89,3,0)*0.475*44/12</f>
        <v>1.170890860609356</v>
      </c>
      <c r="AX26" s="21">
        <f t="shared" si="6"/>
        <v>3.1269408913246663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16.5</v>
      </c>
      <c r="BD26" s="12">
        <f>IF('Données projet'!$A$88&gt;35,BD25+BC26-BL25,IF(A26&lt;'Données projet'!$A$88,$BA$205^A26,IF(A26='Données projet'!$A$88,'Données projet'!$B$88,BD25+BC26-BL25)))</f>
        <v>147.49999999999997</v>
      </c>
      <c r="BE26" s="13">
        <f>BD26*VLOOKUP('Données projet'!$B$11,Paramètres!$A$1:$I$89,3,0)*VLOOKUP('Données projet'!$B$11,Paramètres!$A$1:$I$89,5,0)</f>
        <v>92.039999999999978</v>
      </c>
      <c r="BF26" s="13">
        <f t="shared" si="37"/>
        <v>25.056580235859606</v>
      </c>
      <c r="BG26" s="20">
        <f t="shared" si="7"/>
        <v>203.94321057745546</v>
      </c>
      <c r="BH26" s="59">
        <f t="shared" si="8"/>
        <v>497.27654391078875</v>
      </c>
      <c r="BI26" s="59">
        <f ca="1">AVERAGE(OFFSET($BH$3,0,0,'Données projet'!$E$11+1,1))-AVERAGE(OFFSET($H$3,0,0,'Données projet'!$E$11+1,1))</f>
        <v>261.27638267284169</v>
      </c>
      <c r="BJ26" s="59">
        <f t="shared" si="38"/>
        <v>297.50513563712764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13.656785668994166</v>
      </c>
      <c r="BR26" s="21">
        <f>EXP(-LN(2)/2)*BR25+(1-EXP(-LN(2)/2))/(LN(2)/2)*BL26*BO26*VLOOKUP('Données projet'!$B$11,Paramètres!$A$1:$I$89,3,0)*0.475*44/12</f>
        <v>7.4937015078998792</v>
      </c>
      <c r="BS26" s="22">
        <f t="shared" si="9"/>
        <v>21.150487176894046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18.3</v>
      </c>
      <c r="BY26" s="12">
        <f>IF('Données projet'!$A$114&gt;35,BY25+BX26-CG25,IF(A26&lt;'Données projet'!$A$114,$BV$205^A26,IF(A26='Données projet'!$A$114,'Données projet'!$B$114,BY25+BX26-CG25)))</f>
        <v>164.90000000000006</v>
      </c>
      <c r="BZ26" s="13">
        <f>BY26*VLOOKUP('Données projet'!$B$12,Paramètres!$A$1:$I$89,3,0)*VLOOKUP('Données projet'!$B$12,Paramètres!$A$1:$I$89,5,0)</f>
        <v>98.610200000000034</v>
      </c>
      <c r="CA26" s="13">
        <f t="shared" si="39"/>
        <v>26.630627652541417</v>
      </c>
      <c r="CB26" s="20">
        <f t="shared" si="10"/>
        <v>218.12777482817637</v>
      </c>
      <c r="CC26" s="59">
        <f t="shared" si="11"/>
        <v>511.46110816150969</v>
      </c>
      <c r="CD26" s="59">
        <f ca="1">AVERAGE(OFFSET($CC$3,0,0,'Données projet'!$E$12+1,1))-AVERAGE(OFFSET($H$3,0,0,'Données projet'!$E$12+1,1))</f>
        <v>314.69202393413491</v>
      </c>
      <c r="CE26" s="59">
        <f t="shared" si="40"/>
        <v>321.1728368524748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6.8710702897126907</v>
      </c>
      <c r="CM26" s="21">
        <f>EXP(-LN(2)/2)*CM25+(1-EXP(-LN(2)/2))/(LN(2)/2)*CG26*CJ26*VLOOKUP('Données projet'!$B$12,Paramètres!$A$1:$I$89,3,0)*0.475*44/12</f>
        <v>5.0270247615495034</v>
      </c>
      <c r="CN26" s="22">
        <f t="shared" si="12"/>
        <v>11.898095051262194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27.5</v>
      </c>
      <c r="N27" s="13">
        <f>IF('Données projet'!$A$36&gt;35,N26+M27-V26,IF(A27&lt;'Données projet'!$A$36,$K$205^A27,IF(A27='Données projet'!$A$36,'Données projet'!$B$36,N26+M27-V26)))</f>
        <v>233.99999999999997</v>
      </c>
      <c r="O27" s="13">
        <f>N27*VLOOKUP('Données projet'!$B$9,Paramètres!$A$1:$I$89,3,0)*VLOOKUP('Données projet'!$B$9,Paramètres!$A$1:$I$89,5,0)</f>
        <v>130.80599999999998</v>
      </c>
      <c r="P27" s="13">
        <f t="shared" si="33"/>
        <v>34.182535218254536</v>
      </c>
      <c r="Q27" s="20">
        <f t="shared" si="2"/>
        <v>287.35503217179325</v>
      </c>
      <c r="R27" s="59">
        <f t="shared" si="0"/>
        <v>580.68836550512651</v>
      </c>
      <c r="S27" s="59">
        <f ca="1">AVERAGE(OFFSET($R$3,0,0,'Données projet'!$E$9+1,1))-AVERAGE(OFFSET($H$3,0,0,'Données projet'!$E$9+1,1))</f>
        <v>415.91544298418842</v>
      </c>
      <c r="T27" s="59">
        <f t="shared" si="34"/>
        <v>422.79312683312583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18.907235778249078</v>
      </c>
      <c r="AB27" s="21">
        <f>EXP(-LN(2)/2)*AB26+(1-EXP(-LN(2)/2))/(LN(2)/2)*V27*Y27*VLOOKUP('Données projet'!$B$9,Paramètres!$A$1:$I$89,3,0)*0.475*44/12</f>
        <v>8.2279321061248307</v>
      </c>
      <c r="AC27" s="22">
        <f t="shared" si="3"/>
        <v>27.135167884373907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9.1999999999999993</v>
      </c>
      <c r="AI27" s="13">
        <f>IF('Données projet'!$A$62&gt;35,AI26+AH27-AQ26,IF(A27&lt;'Données projet'!$A$62,$AF$205^A27,IF(A27='Données projet'!$A$62,'Données projet'!$B$62,AI26+AH27-AQ26)))</f>
        <v>182.29999999999995</v>
      </c>
      <c r="AJ27" s="13">
        <f>AI27*VLOOKUP('Données projet'!$B$10,Paramètres!$A$1:$I$89,3,0)*VLOOKUP('Données projet'!$B$10,Paramètres!$A$1:$I$89,5,0)</f>
        <v>85.316399999999987</v>
      </c>
      <c r="AK27" s="13">
        <f t="shared" si="35"/>
        <v>23.432164150529264</v>
      </c>
      <c r="AL27" s="20">
        <f t="shared" si="4"/>
        <v>189.40374922883845</v>
      </c>
      <c r="AM27" s="59">
        <f t="shared" si="5"/>
        <v>482.73708256217174</v>
      </c>
      <c r="AN27" s="59">
        <f ca="1">AVERAGE(OFFSET($AM$3,0,0,'Données projet'!$E$10+1,1))-AVERAGE(OFFSET($H$3,0,0,'Données projet'!$E$10+1,1))</f>
        <v>215.23235148064941</v>
      </c>
      <c r="AO27" s="59">
        <f t="shared" si="36"/>
        <v>184.07239726900434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1.9025617397611998</v>
      </c>
      <c r="AW27" s="21">
        <f>EXP(-LN(2)/2)*AW26+(1-EXP(-LN(2)/2))/(LN(2)/2)*AQ27*AT27*VLOOKUP('Données projet'!$B$10,Paramètres!$A$1:$I$89,3,0)*0.475*44/12</f>
        <v>0.8279448675662282</v>
      </c>
      <c r="AX27" s="21">
        <f t="shared" si="6"/>
        <v>2.730506607327428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16.5</v>
      </c>
      <c r="BD27" s="12">
        <f>IF('Données projet'!$A$88&gt;35,BD26+BC27-BL26,IF(A27&lt;'Données projet'!$A$88,$BA$205^A27,IF(A27='Données projet'!$A$88,'Données projet'!$B$88,BD26+BC27-BL26)))</f>
        <v>163.99999999999997</v>
      </c>
      <c r="BE27" s="13">
        <f>BD27*VLOOKUP('Données projet'!$B$11,Paramètres!$A$1:$I$89,3,0)*VLOOKUP('Données projet'!$B$11,Paramètres!$A$1:$I$89,5,0)</f>
        <v>102.33599999999998</v>
      </c>
      <c r="BF27" s="13">
        <f t="shared" si="37"/>
        <v>27.517767215282735</v>
      </c>
      <c r="BG27" s="20">
        <f t="shared" si="7"/>
        <v>226.1619778999507</v>
      </c>
      <c r="BH27" s="59">
        <f t="shared" si="8"/>
        <v>519.49531123328404</v>
      </c>
      <c r="BI27" s="59">
        <f ca="1">AVERAGE(OFFSET($BH$3,0,0,'Données projet'!$E$11+1,1))-AVERAGE(OFFSET($H$3,0,0,'Données projet'!$E$11+1,1))</f>
        <v>261.27638267284169</v>
      </c>
      <c r="BJ27" s="59">
        <f t="shared" si="38"/>
        <v>297.50513563712764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13.283340146696375</v>
      </c>
      <c r="BR27" s="21">
        <f>EXP(-LN(2)/2)*BR26+(1-EXP(-LN(2)/2))/(LN(2)/2)*BL27*BO27*VLOOKUP('Données projet'!$B$11,Paramètres!$A$1:$I$89,3,0)*0.475*44/12</f>
        <v>5.2988471524238614</v>
      </c>
      <c r="BS27" s="22">
        <f t="shared" si="9"/>
        <v>18.582187299120235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18.3</v>
      </c>
      <c r="BY27" s="12">
        <f>IF('Données projet'!$A$114&gt;35,BY26+BX27-CG26,IF(A27&lt;'Données projet'!$A$114,$BV$205^A27,IF(A27='Données projet'!$A$114,'Données projet'!$B$114,BY26+BX27-CG26)))</f>
        <v>183.20000000000007</v>
      </c>
      <c r="BZ27" s="13">
        <f>BY27*VLOOKUP('Données projet'!$B$12,Paramètres!$A$1:$I$89,3,0)*VLOOKUP('Données projet'!$B$12,Paramètres!$A$1:$I$89,5,0)</f>
        <v>109.55360000000005</v>
      </c>
      <c r="CA27" s="13">
        <f t="shared" si="39"/>
        <v>29.225784372214765</v>
      </c>
      <c r="CB27" s="20">
        <f t="shared" si="10"/>
        <v>241.70742778160749</v>
      </c>
      <c r="CC27" s="59">
        <f t="shared" si="11"/>
        <v>535.04076111494078</v>
      </c>
      <c r="CD27" s="59">
        <f ca="1">AVERAGE(OFFSET($CC$3,0,0,'Données projet'!$E$12+1,1))-AVERAGE(OFFSET($H$3,0,0,'Données projet'!$E$12+1,1))</f>
        <v>314.69202393413491</v>
      </c>
      <c r="CE27" s="59">
        <f t="shared" si="40"/>
        <v>321.1728368524748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6.6831805113066149</v>
      </c>
      <c r="CM27" s="21">
        <f>EXP(-LN(2)/2)*CM26+(1-EXP(-LN(2)/2))/(LN(2)/2)*CG27*CJ27*VLOOKUP('Données projet'!$B$12,Paramètres!$A$1:$I$89,3,0)*0.475*44/12</f>
        <v>3.5546432980843412</v>
      </c>
      <c r="CN27" s="22">
        <f t="shared" si="12"/>
        <v>10.237823809390957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27.5</v>
      </c>
      <c r="N28" s="13">
        <f>IF('Données projet'!$A$36&gt;35,N27+M28-V27,IF(A28&lt;'Données projet'!$A$36,$K$205^A28,IF(A28='Données projet'!$A$36,'Données projet'!$B$36,N27+M28-V27)))</f>
        <v>261.5</v>
      </c>
      <c r="O28" s="13">
        <f>N28*VLOOKUP('Données projet'!$B$9,Paramètres!$A$1:$I$89,3,0)*VLOOKUP('Données projet'!$B$9,Paramètres!$A$1:$I$89,5,0)</f>
        <v>146.17849999999999</v>
      </c>
      <c r="P28" s="13">
        <f t="shared" si="33"/>
        <v>37.708835970826762</v>
      </c>
      <c r="Q28" s="20">
        <f t="shared" si="2"/>
        <v>320.27044348252321</v>
      </c>
      <c r="R28" s="59">
        <f t="shared" si="0"/>
        <v>613.60377681585646</v>
      </c>
      <c r="S28" s="59">
        <f ca="1">AVERAGE(OFFSET($R$3,0,0,'Données projet'!$E$9+1,1))-AVERAGE(OFFSET($H$3,0,0,'Données projet'!$E$9+1,1))</f>
        <v>415.91544298418842</v>
      </c>
      <c r="T28" s="59">
        <f t="shared" si="34"/>
        <v>422.79312683312583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18.390216421604539</v>
      </c>
      <c r="AB28" s="21">
        <f>EXP(-LN(2)/2)*AB27+(1-EXP(-LN(2)/2))/(LN(2)/2)*V28*Y28*VLOOKUP('Données projet'!$B$9,Paramètres!$A$1:$I$89,3,0)*0.475*44/12</f>
        <v>5.8180265873833799</v>
      </c>
      <c r="AC28" s="22">
        <f t="shared" si="3"/>
        <v>24.208243008987917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9.1999999999999993</v>
      </c>
      <c r="AI28" s="13">
        <f>IF('Données projet'!$A$62&gt;35,AI27+AH28-AQ27,IF(A28&lt;'Données projet'!$A$62,$AF$205^A28,IF(A28='Données projet'!$A$62,'Données projet'!$B$62,AI27+AH28-AQ27)))</f>
        <v>191.49999999999994</v>
      </c>
      <c r="AJ28" s="13">
        <f>AI28*VLOOKUP('Données projet'!$B$10,Paramètres!$A$1:$I$89,3,0)*VLOOKUP('Données projet'!$B$10,Paramètres!$A$1:$I$89,5,0)</f>
        <v>89.621999999999986</v>
      </c>
      <c r="AK28" s="13">
        <f t="shared" si="35"/>
        <v>24.47403817697321</v>
      </c>
      <c r="AL28" s="20">
        <f t="shared" si="4"/>
        <v>198.71726649156165</v>
      </c>
      <c r="AM28" s="59">
        <f t="shared" si="5"/>
        <v>492.05059982489496</v>
      </c>
      <c r="AN28" s="59">
        <f ca="1">AVERAGE(OFFSET($AM$3,0,0,'Données projet'!$E$10+1,1))-AVERAGE(OFFSET($H$3,0,0,'Données projet'!$E$10+1,1))</f>
        <v>215.23235148064941</v>
      </c>
      <c r="AO28" s="59">
        <f t="shared" si="36"/>
        <v>184.07239726900434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1.8505360889360563</v>
      </c>
      <c r="AW28" s="21">
        <f>EXP(-LN(2)/2)*AW27+(1-EXP(-LN(2)/2))/(LN(2)/2)*AQ28*AT28*VLOOKUP('Données projet'!$B$10,Paramètres!$A$1:$I$89,3,0)*0.475*44/12</f>
        <v>0.58544543030467799</v>
      </c>
      <c r="AX28" s="21">
        <f t="shared" si="6"/>
        <v>2.4359815192407344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16.5</v>
      </c>
      <c r="BD28" s="12">
        <f>IF('Données projet'!$A$88&gt;35,BD27+BC28-BL27,IF(A28&lt;'Données projet'!$A$88,$BA$205^A28,IF(A28='Données projet'!$A$88,'Données projet'!$B$88,BD27+BC28-BL27)))</f>
        <v>180.49999999999997</v>
      </c>
      <c r="BE28" s="13">
        <f>BD28*VLOOKUP('Données projet'!$B$11,Paramètres!$A$1:$I$89,3,0)*VLOOKUP('Données projet'!$B$11,Paramètres!$A$1:$I$89,5,0)</f>
        <v>112.63199999999999</v>
      </c>
      <c r="BF28" s="13">
        <f t="shared" si="37"/>
        <v>29.950248336286034</v>
      </c>
      <c r="BG28" s="20">
        <f t="shared" si="7"/>
        <v>248.33074918569818</v>
      </c>
      <c r="BH28" s="59">
        <f t="shared" si="8"/>
        <v>541.66408251903147</v>
      </c>
      <c r="BI28" s="59">
        <f ca="1">AVERAGE(OFFSET($BH$3,0,0,'Données projet'!$E$11+1,1))-AVERAGE(OFFSET($H$3,0,0,'Données projet'!$E$11+1,1))</f>
        <v>261.27638267284169</v>
      </c>
      <c r="BJ28" s="59">
        <f t="shared" si="38"/>
        <v>297.50513563712764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12.920106511844464</v>
      </c>
      <c r="BR28" s="21">
        <f>EXP(-LN(2)/2)*BR27+(1-EXP(-LN(2)/2))/(LN(2)/2)*BL28*BO28*VLOOKUP('Données projet'!$B$11,Paramètres!$A$1:$I$89,3,0)*0.475*44/12</f>
        <v>3.74685075394994</v>
      </c>
      <c r="BS28" s="22">
        <f t="shared" si="9"/>
        <v>16.666957265794405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18.3</v>
      </c>
      <c r="BY28" s="12">
        <f>IF('Données projet'!$A$114&gt;35,BY27+BX28-CG27,IF(A28&lt;'Données projet'!$A$114,$BV$205^A28,IF(A28='Données projet'!$A$114,'Données projet'!$B$114,BY27+BX28-CG27)))</f>
        <v>201.50000000000009</v>
      </c>
      <c r="BZ28" s="13">
        <f>BY28*VLOOKUP('Données projet'!$B$12,Paramètres!$A$1:$I$89,3,0)*VLOOKUP('Données projet'!$B$12,Paramètres!$A$1:$I$89,5,0)</f>
        <v>120.49700000000006</v>
      </c>
      <c r="CA28" s="13">
        <f t="shared" si="39"/>
        <v>31.790888484192322</v>
      </c>
      <c r="CB28" s="20">
        <f t="shared" si="10"/>
        <v>265.23473910996836</v>
      </c>
      <c r="CC28" s="59">
        <f t="shared" si="11"/>
        <v>558.56807244330162</v>
      </c>
      <c r="CD28" s="59">
        <f ca="1">AVERAGE(OFFSET($CC$3,0,0,'Données projet'!$E$12+1,1))-AVERAGE(OFFSET($H$3,0,0,'Données projet'!$E$12+1,1))</f>
        <v>314.69202393413491</v>
      </c>
      <c r="CE28" s="59">
        <f t="shared" si="40"/>
        <v>321.1728368524748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6.5004285887717472</v>
      </c>
      <c r="CM28" s="21">
        <f>EXP(-LN(2)/2)*CM27+(1-EXP(-LN(2)/2))/(LN(2)/2)*CG28*CJ28*VLOOKUP('Données projet'!$B$12,Paramètres!$A$1:$I$89,3,0)*0.475*44/12</f>
        <v>2.5135123807747521</v>
      </c>
      <c r="CN28" s="22">
        <f t="shared" si="12"/>
        <v>9.0139409695464998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27.5</v>
      </c>
      <c r="N29" s="13">
        <f>IF('Données projet'!$A$36&gt;35,N28+M29-V28,IF(A29&lt;'Données projet'!$A$36,$K$205^A29,IF(A29='Données projet'!$A$36,'Données projet'!$B$36,N28+M29-V28)))</f>
        <v>289</v>
      </c>
      <c r="O29" s="13">
        <f>N29*VLOOKUP('Données projet'!$B$9,Paramètres!$A$1:$I$89,3,0)*VLOOKUP('Données projet'!$B$9,Paramètres!$A$1:$I$89,5,0)</f>
        <v>161.55099999999999</v>
      </c>
      <c r="P29" s="13">
        <f t="shared" si="33"/>
        <v>41.192151127280063</v>
      </c>
      <c r="Q29" s="20">
        <f t="shared" si="2"/>
        <v>353.11098821334605</v>
      </c>
      <c r="R29" s="59">
        <f t="shared" si="0"/>
        <v>646.44432154667936</v>
      </c>
      <c r="S29" s="59">
        <f ca="1">AVERAGE(OFFSET($R$3,0,0,'Données projet'!$E$9+1,1))-AVERAGE(OFFSET($H$3,0,0,'Données projet'!$E$9+1,1))</f>
        <v>415.91544298418842</v>
      </c>
      <c r="T29" s="59">
        <f t="shared" si="34"/>
        <v>422.79312683312583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17.887334986456313</v>
      </c>
      <c r="AB29" s="21">
        <f>EXP(-LN(2)/2)*AB28+(1-EXP(-LN(2)/2))/(LN(2)/2)*V29*Y29*VLOOKUP('Données projet'!$B$9,Paramètres!$A$1:$I$89,3,0)*0.475*44/12</f>
        <v>4.1139660530624154</v>
      </c>
      <c r="AC29" s="22">
        <f t="shared" si="3"/>
        <v>22.001301039518729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9.1999999999999993</v>
      </c>
      <c r="AI29" s="13">
        <f>IF('Données projet'!$A$62&gt;35,AI28+AH29-AQ28,IF(A29&lt;'Données projet'!$A$62,$AF$205^A29,IF(A29='Données projet'!$A$62,'Données projet'!$B$62,AI28+AH29-AQ28)))</f>
        <v>200.69999999999993</v>
      </c>
      <c r="AJ29" s="13">
        <f>AI29*VLOOKUP('Données projet'!$B$10,Paramètres!$A$1:$I$89,3,0)*VLOOKUP('Données projet'!$B$10,Paramètres!$A$1:$I$89,5,0)</f>
        <v>93.927599999999956</v>
      </c>
      <c r="AK29" s="13">
        <f t="shared" si="35"/>
        <v>25.510099877901624</v>
      </c>
      <c r="AL29" s="20">
        <f t="shared" si="4"/>
        <v>208.02066062067857</v>
      </c>
      <c r="AM29" s="59">
        <f t="shared" si="5"/>
        <v>501.35399395401191</v>
      </c>
      <c r="AN29" s="59">
        <f ca="1">AVERAGE(OFFSET($AM$3,0,0,'Données projet'!$E$10+1,1))-AVERAGE(OFFSET($H$3,0,0,'Données projet'!$E$10+1,1))</f>
        <v>215.23235148064941</v>
      </c>
      <c r="AO29" s="59">
        <f t="shared" si="36"/>
        <v>184.07239726900434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1.7999330822686364</v>
      </c>
      <c r="AW29" s="21">
        <f>EXP(-LN(2)/2)*AW28+(1-EXP(-LN(2)/2))/(LN(2)/2)*AQ29*AT29*VLOOKUP('Données projet'!$B$10,Paramètres!$A$1:$I$89,3,0)*0.475*44/12</f>
        <v>0.4139724337831141</v>
      </c>
      <c r="AX29" s="21">
        <f t="shared" si="6"/>
        <v>2.2139055160517502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16.5</v>
      </c>
      <c r="BD29" s="12">
        <f>IF('Données projet'!$A$88&gt;35,BD28+BC29-BL28,IF(A29&lt;'Données projet'!$A$88,$BA$205^A29,IF(A29='Données projet'!$A$88,'Données projet'!$B$88,BD28+BC29-BL28)))</f>
        <v>196.99999999999997</v>
      </c>
      <c r="BE29" s="13">
        <f>BD29*VLOOKUP('Données projet'!$B$11,Paramètres!$A$1:$I$89,3,0)*VLOOKUP('Données projet'!$B$11,Paramètres!$A$1:$I$89,5,0)</f>
        <v>122.92799999999998</v>
      </c>
      <c r="BF29" s="13">
        <f t="shared" si="37"/>
        <v>32.356946120737916</v>
      </c>
      <c r="BG29" s="20">
        <f t="shared" si="7"/>
        <v>270.45461449361852</v>
      </c>
      <c r="BH29" s="59">
        <f t="shared" si="8"/>
        <v>563.78794782695184</v>
      </c>
      <c r="BI29" s="59">
        <f ca="1">AVERAGE(OFFSET($BH$3,0,0,'Données projet'!$E$11+1,1))-AVERAGE(OFFSET($H$3,0,0,'Données projet'!$E$11+1,1))</f>
        <v>261.27638267284169</v>
      </c>
      <c r="BJ29" s="59">
        <f t="shared" si="38"/>
        <v>297.50513563712764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12.566805519839205</v>
      </c>
      <c r="BR29" s="21">
        <f>EXP(-LN(2)/2)*BR28+(1-EXP(-LN(2)/2))/(LN(2)/2)*BL29*BO29*VLOOKUP('Données projet'!$B$11,Paramètres!$A$1:$I$89,3,0)*0.475*44/12</f>
        <v>2.6494235762119311</v>
      </c>
      <c r="BS29" s="22">
        <f t="shared" si="9"/>
        <v>15.216229096051137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18.3</v>
      </c>
      <c r="BY29" s="12">
        <f>IF('Données projet'!$A$114&gt;35,BY28+BX29-CG28,IF(A29&lt;'Données projet'!$A$114,$BV$205^A29,IF(A29='Données projet'!$A$114,'Données projet'!$B$114,BY28+BX29-CG28)))</f>
        <v>219.8000000000001</v>
      </c>
      <c r="BZ29" s="13">
        <f>BY29*VLOOKUP('Données projet'!$B$12,Paramètres!$A$1:$I$89,3,0)*VLOOKUP('Données projet'!$B$12,Paramètres!$A$1:$I$89,5,0)</f>
        <v>131.44040000000007</v>
      </c>
      <c r="CA29" s="13">
        <f t="shared" si="39"/>
        <v>34.328979730885401</v>
      </c>
      <c r="CB29" s="20">
        <f t="shared" si="10"/>
        <v>288.71500303129221</v>
      </c>
      <c r="CC29" s="59">
        <f t="shared" si="11"/>
        <v>582.04833636462558</v>
      </c>
      <c r="CD29" s="59">
        <f ca="1">AVERAGE(OFFSET($CC$3,0,0,'Données projet'!$E$12+1,1))-AVERAGE(OFFSET($H$3,0,0,'Données projet'!$E$12+1,1))</f>
        <v>314.69202393413491</v>
      </c>
      <c r="CE29" s="59">
        <f t="shared" si="40"/>
        <v>321.1728368524748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6.3226740271691009</v>
      </c>
      <c r="CM29" s="21">
        <f>EXP(-LN(2)/2)*CM28+(1-EXP(-LN(2)/2))/(LN(2)/2)*CG29*CJ29*VLOOKUP('Données projet'!$B$12,Paramètres!$A$1:$I$89,3,0)*0.475*44/12</f>
        <v>1.7773216490421708</v>
      </c>
      <c r="CN29" s="22">
        <f t="shared" si="12"/>
        <v>8.0999956762112717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27.5</v>
      </c>
      <c r="N30" s="13">
        <f>IF('Données projet'!$A$36&gt;35,N29+M30-V29,IF(A30&lt;'Données projet'!$A$36,$K$205^A30,IF(A30='Données projet'!$A$36,'Données projet'!$B$36,N29+M30-V29)))</f>
        <v>316.5</v>
      </c>
      <c r="O30" s="13">
        <f>N30*VLOOKUP('Données projet'!$B$9,Paramètres!$A$1:$I$89,3,0)*VLOOKUP('Données projet'!$B$9,Paramètres!$A$1:$I$89,5,0)</f>
        <v>176.92350000000002</v>
      </c>
      <c r="P30" s="13">
        <f t="shared" si="33"/>
        <v>44.637036366733298</v>
      </c>
      <c r="Q30" s="20">
        <f t="shared" si="2"/>
        <v>385.88460083872718</v>
      </c>
      <c r="R30" s="59">
        <f t="shared" si="0"/>
        <v>679.2179341720605</v>
      </c>
      <c r="S30" s="59">
        <f ca="1">AVERAGE(OFFSET($R$3,0,0,'Données projet'!$E$9+1,1))-AVERAGE(OFFSET($H$3,0,0,'Données projet'!$E$9+1,1))</f>
        <v>415.91544298418842</v>
      </c>
      <c r="T30" s="59">
        <f t="shared" si="34"/>
        <v>422.79312683312583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17.398204870597599</v>
      </c>
      <c r="AB30" s="21">
        <f>EXP(-LN(2)/2)*AB29+(1-EXP(-LN(2)/2))/(LN(2)/2)*V30*Y30*VLOOKUP('Données projet'!$B$9,Paramètres!$A$1:$I$89,3,0)*0.475*44/12</f>
        <v>2.9090132936916899</v>
      </c>
      <c r="AC30" s="22">
        <f t="shared" si="3"/>
        <v>20.307218164289289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9.1999999999999993</v>
      </c>
      <c r="AI30" s="13">
        <f>IF('Données projet'!$A$62&gt;35,AI29+AH30-AQ29,IF(A30&lt;'Données projet'!$A$62,$AF$205^A30,IF(A30='Données projet'!$A$62,'Données projet'!$B$62,AI29+AH30-AQ29)))</f>
        <v>209.89999999999992</v>
      </c>
      <c r="AJ30" s="13">
        <f>AI30*VLOOKUP('Données projet'!$B$10,Paramètres!$A$1:$I$89,3,0)*VLOOKUP('Données projet'!$B$10,Paramètres!$A$1:$I$89,5,0)</f>
        <v>98.233199999999954</v>
      </c>
      <c r="AK30" s="13">
        <f t="shared" si="35"/>
        <v>26.540646121089583</v>
      </c>
      <c r="AL30" s="20">
        <f t="shared" si="4"/>
        <v>217.3144486608976</v>
      </c>
      <c r="AM30" s="59">
        <f t="shared" si="5"/>
        <v>510.64778199423091</v>
      </c>
      <c r="AN30" s="59">
        <f ca="1">AVERAGE(OFFSET($AM$3,0,0,'Données projet'!$E$10+1,1))-AVERAGE(OFFSET($H$3,0,0,'Données projet'!$E$10+1,1))</f>
        <v>215.23235148064941</v>
      </c>
      <c r="AO30" s="59">
        <f t="shared" si="36"/>
        <v>184.07239726900434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1.7507138174796335</v>
      </c>
      <c r="AW30" s="21">
        <f>EXP(-LN(2)/2)*AW29+(1-EXP(-LN(2)/2))/(LN(2)/2)*AQ30*AT30*VLOOKUP('Données projet'!$B$10,Paramètres!$A$1:$I$89,3,0)*0.475*44/12</f>
        <v>0.292722715152339</v>
      </c>
      <c r="AX30" s="21">
        <f t="shared" si="6"/>
        <v>2.0434365326319726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16.5</v>
      </c>
      <c r="BD30" s="12">
        <f>IF('Données projet'!$A$88&gt;35,BD29+BC30-BL29,IF(A30&lt;'Données projet'!$A$88,$BA$205^A30,IF(A30='Données projet'!$A$88,'Données projet'!$B$88,BD29+BC30-BL29)))</f>
        <v>213.49999999999997</v>
      </c>
      <c r="BE30" s="13">
        <f>BD30*VLOOKUP('Données projet'!$B$11,Paramètres!$A$1:$I$89,3,0)*VLOOKUP('Données projet'!$B$11,Paramètres!$A$1:$I$89,5,0)</f>
        <v>133.22399999999996</v>
      </c>
      <c r="BF30" s="13">
        <f t="shared" si="37"/>
        <v>34.740265606230608</v>
      </c>
      <c r="BG30" s="20">
        <f t="shared" si="7"/>
        <v>292.53776259751828</v>
      </c>
      <c r="BH30" s="59">
        <f t="shared" si="8"/>
        <v>585.87109593085165</v>
      </c>
      <c r="BI30" s="59">
        <f ca="1">AVERAGE(OFFSET($BH$3,0,0,'Données projet'!$E$11+1,1))-AVERAGE(OFFSET($H$3,0,0,'Données projet'!$E$11+1,1))</f>
        <v>261.27638267284169</v>
      </c>
      <c r="BJ30" s="59">
        <f t="shared" si="38"/>
        <v>297.50513563712764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12.223165562039622</v>
      </c>
      <c r="BR30" s="21">
        <f>EXP(-LN(2)/2)*BR29+(1-EXP(-LN(2)/2))/(LN(2)/2)*BL30*BO30*VLOOKUP('Données projet'!$B$11,Paramètres!$A$1:$I$89,3,0)*0.475*44/12</f>
        <v>1.8734253769749702</v>
      </c>
      <c r="BS30" s="22">
        <f t="shared" si="9"/>
        <v>14.096590939014591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18.3</v>
      </c>
      <c r="BY30" s="12">
        <f>IF('Données projet'!$A$114&gt;35,BY29+BX30-CG29,IF(A30&lt;'Données projet'!$A$114,$BV$205^A30,IF(A30='Données projet'!$A$114,'Données projet'!$B$114,BY29+BX30-CG29)))</f>
        <v>238.10000000000011</v>
      </c>
      <c r="BZ30" s="13">
        <f>BY30*VLOOKUP('Données projet'!$B$12,Paramètres!$A$1:$I$89,3,0)*VLOOKUP('Données projet'!$B$12,Paramètres!$A$1:$I$89,5,0)</f>
        <v>142.38380000000006</v>
      </c>
      <c r="CA30" s="13">
        <f t="shared" si="39"/>
        <v>36.842562829894852</v>
      </c>
      <c r="CB30" s="20">
        <f t="shared" si="10"/>
        <v>312.15258192873364</v>
      </c>
      <c r="CC30" s="59">
        <f t="shared" si="11"/>
        <v>605.48591526206701</v>
      </c>
      <c r="CD30" s="59">
        <f ca="1">AVERAGE(OFFSET($CC$3,0,0,'Données projet'!$E$12+1,1))-AVERAGE(OFFSET($H$3,0,0,'Données projet'!$E$12+1,1))</f>
        <v>314.69202393413491</v>
      </c>
      <c r="CE30" s="59">
        <f t="shared" si="40"/>
        <v>321.1728368524748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6.1497801734011857</v>
      </c>
      <c r="CM30" s="21">
        <f>EXP(-LN(2)/2)*CM29+(1-EXP(-LN(2)/2))/(LN(2)/2)*CG30*CJ30*VLOOKUP('Données projet'!$B$12,Paramètres!$A$1:$I$89,3,0)*0.475*44/12</f>
        <v>1.2567561903873763</v>
      </c>
      <c r="CN30" s="22">
        <f t="shared" si="12"/>
        <v>7.4065363637885619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27.5</v>
      </c>
      <c r="N31" s="13">
        <f>IF('Données projet'!$A$36&gt;35,N30+M31-V30,IF(A31&lt;'Données projet'!$A$36,$K$205^A31,IF(A31='Données projet'!$A$36,'Données projet'!$B$36,N30+M31-V30)))</f>
        <v>344</v>
      </c>
      <c r="O31" s="13">
        <f>N31*VLOOKUP('Données projet'!$B$9,Paramètres!$A$1:$I$89,3,0)*VLOOKUP('Données projet'!$B$9,Paramètres!$A$1:$I$89,5,0)</f>
        <v>192.29599999999999</v>
      </c>
      <c r="P31" s="13">
        <f t="shared" si="33"/>
        <v>48.047210442610933</v>
      </c>
      <c r="Q31" s="20">
        <f t="shared" si="2"/>
        <v>418.59775818754741</v>
      </c>
      <c r="R31" s="59">
        <f t="shared" si="0"/>
        <v>711.93109152088073</v>
      </c>
      <c r="S31" s="59">
        <f ca="1">AVERAGE(OFFSET($R$3,0,0,'Données projet'!$E$9+1,1))-AVERAGE(OFFSET($H$3,0,0,'Données projet'!$E$9+1,1))</f>
        <v>415.91544298418842</v>
      </c>
      <c r="T31" s="59">
        <f t="shared" si="34"/>
        <v>422.79312683312583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16.922450043479277</v>
      </c>
      <c r="AB31" s="21">
        <f>EXP(-LN(2)/2)*AB30+(1-EXP(-LN(2)/2))/(LN(2)/2)*V31*Y31*VLOOKUP('Données projet'!$B$9,Paramètres!$A$1:$I$89,3,0)*0.475*44/12</f>
        <v>2.0569830265312077</v>
      </c>
      <c r="AC31" s="22">
        <f t="shared" si="3"/>
        <v>18.979433070010483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9.1999999999999993</v>
      </c>
      <c r="AI31" s="13">
        <f>IF('Données projet'!$A$62&gt;35,AI30+AH31-AQ30,IF(A31&lt;'Données projet'!$A$62,$AF$205^A31,IF(A31='Données projet'!$A$62,'Données projet'!$B$62,AI30+AH31-AQ30)))</f>
        <v>219.09999999999991</v>
      </c>
      <c r="AJ31" s="13">
        <f>AI31*VLOOKUP('Données projet'!$B$10,Paramètres!$A$1:$I$89,3,0)*VLOOKUP('Données projet'!$B$10,Paramètres!$A$1:$I$89,5,0)</f>
        <v>102.53879999999995</v>
      </c>
      <c r="AK31" s="13">
        <f t="shared" si="35"/>
        <v>27.565946279127878</v>
      </c>
      <c r="AL31" s="20">
        <f t="shared" si="4"/>
        <v>226.59909976948094</v>
      </c>
      <c r="AM31" s="59">
        <f t="shared" si="5"/>
        <v>519.93243310281423</v>
      </c>
      <c r="AN31" s="59">
        <f ca="1">AVERAGE(OFFSET($AM$3,0,0,'Données projet'!$E$10+1,1))-AVERAGE(OFFSET($H$3,0,0,'Données projet'!$E$10+1,1))</f>
        <v>215.23235148064941</v>
      </c>
      <c r="AO31" s="59">
        <f t="shared" si="36"/>
        <v>184.07239726900434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1.7028404560746147</v>
      </c>
      <c r="AW31" s="21">
        <f>EXP(-LN(2)/2)*AW30+(1-EXP(-LN(2)/2))/(LN(2)/2)*AQ31*AT31*VLOOKUP('Données projet'!$B$10,Paramètres!$A$1:$I$89,3,0)*0.475*44/12</f>
        <v>0.20698621689155705</v>
      </c>
      <c r="AX31" s="21">
        <f t="shared" si="6"/>
        <v>1.9098266729661717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16.5</v>
      </c>
      <c r="BD31" s="12">
        <f>IF('Données projet'!$A$88&gt;35,BD30+BC31-BL30,IF(A31&lt;'Données projet'!$A$88,$BA$205^A31,IF(A31='Données projet'!$A$88,'Données projet'!$B$88,BD30+BC31-BL30)))</f>
        <v>229.99999999999997</v>
      </c>
      <c r="BE31" s="13">
        <f>BD31*VLOOKUP('Données projet'!$B$11,Paramètres!$A$1:$I$89,3,0)*VLOOKUP('Données projet'!$B$11,Paramètres!$A$1:$I$89,5,0)</f>
        <v>143.51999999999998</v>
      </c>
      <c r="BF31" s="13">
        <f t="shared" si="37"/>
        <v>37.102218970378601</v>
      </c>
      <c r="BG31" s="20">
        <f t="shared" si="7"/>
        <v>314.583698040076</v>
      </c>
      <c r="BH31" s="59">
        <f t="shared" si="8"/>
        <v>607.91703137340937</v>
      </c>
      <c r="BI31" s="59">
        <f ca="1">AVERAGE(OFFSET($BH$3,0,0,'Données projet'!$E$11+1,1))-AVERAGE(OFFSET($H$3,0,0,'Données projet'!$E$11+1,1))</f>
        <v>261.27638267284169</v>
      </c>
      <c r="BJ31" s="59">
        <f t="shared" si="38"/>
        <v>297.50513563712764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11.888922456957308</v>
      </c>
      <c r="BR31" s="21">
        <f>EXP(-LN(2)/2)*BR30+(1-EXP(-LN(2)/2))/(LN(2)/2)*BL31*BO31*VLOOKUP('Données projet'!$B$11,Paramètres!$A$1:$I$89,3,0)*0.475*44/12</f>
        <v>1.3247117881059658</v>
      </c>
      <c r="BS31" s="22">
        <f t="shared" si="9"/>
        <v>13.213634245063274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18.3</v>
      </c>
      <c r="BY31" s="12">
        <f>IF('Données projet'!$A$114&gt;35,BY30+BX31-CG30,IF(A31&lt;'Données projet'!$A$114,$BV$205^A31,IF(A31='Données projet'!$A$114,'Données projet'!$B$114,BY30+BX31-CG30)))</f>
        <v>256.40000000000009</v>
      </c>
      <c r="BZ31" s="13">
        <f>BY31*VLOOKUP('Données projet'!$B$12,Paramètres!$A$1:$I$89,3,0)*VLOOKUP('Données projet'!$B$12,Paramètres!$A$1:$I$89,5,0)</f>
        <v>153.32720000000006</v>
      </c>
      <c r="CA31" s="13">
        <f t="shared" si="39"/>
        <v>39.333735610594964</v>
      </c>
      <c r="CB31" s="20">
        <f t="shared" si="10"/>
        <v>335.55112952178632</v>
      </c>
      <c r="CC31" s="59">
        <f t="shared" si="11"/>
        <v>628.88446285511964</v>
      </c>
      <c r="CD31" s="59">
        <f ca="1">AVERAGE(OFFSET($CC$3,0,0,'Données projet'!$E$12+1,1))-AVERAGE(OFFSET($H$3,0,0,'Données projet'!$E$12+1,1))</f>
        <v>314.69202393413491</v>
      </c>
      <c r="CE31" s="59">
        <f t="shared" si="40"/>
        <v>321.1728368524748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5.9816141111566461</v>
      </c>
      <c r="CM31" s="21">
        <f>EXP(-LN(2)/2)*CM30+(1-EXP(-LN(2)/2))/(LN(2)/2)*CG31*CJ31*VLOOKUP('Données projet'!$B$12,Paramètres!$A$1:$I$89,3,0)*0.475*44/12</f>
        <v>0.88866082452108563</v>
      </c>
      <c r="CN31" s="22">
        <f t="shared" si="12"/>
        <v>6.870274935677732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27.5</v>
      </c>
      <c r="N32" s="13">
        <f>IF('Données projet'!$A$36&gt;35,N31+M32-V31,IF(A32&lt;'Données projet'!$A$36,$K$205^A32,IF(A32='Données projet'!$A$36,'Données projet'!$B$36,N31+M32-V31)))</f>
        <v>371.5</v>
      </c>
      <c r="O32" s="13">
        <f>N32*VLOOKUP('Données projet'!$B$9,Paramètres!$A$1:$I$89,3,0)*VLOOKUP('Données projet'!$B$9,Paramètres!$A$1:$I$89,5,0)</f>
        <v>207.66850000000002</v>
      </c>
      <c r="P32" s="13">
        <f t="shared" si="33"/>
        <v>51.4257637081664</v>
      </c>
      <c r="Q32" s="20">
        <f t="shared" si="2"/>
        <v>451.25584262505646</v>
      </c>
      <c r="R32" s="59">
        <f t="shared" si="0"/>
        <v>744.58917595838977</v>
      </c>
      <c r="S32" s="59">
        <f ca="1">AVERAGE(OFFSET($R$3,0,0,'Données projet'!$E$9+1,1))-AVERAGE(OFFSET($H$3,0,0,'Données projet'!$E$9+1,1))</f>
        <v>415.91544298418842</v>
      </c>
      <c r="T32" s="59">
        <f t="shared" si="34"/>
        <v>422.79312683312583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16.459704757127366</v>
      </c>
      <c r="AB32" s="21">
        <f>EXP(-LN(2)/2)*AB31+(1-EXP(-LN(2)/2))/(LN(2)/2)*V32*Y32*VLOOKUP('Données projet'!$B$9,Paramètres!$A$1:$I$89,3,0)*0.475*44/12</f>
        <v>1.454506646845845</v>
      </c>
      <c r="AC32" s="22">
        <f t="shared" si="3"/>
        <v>17.914211403973212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9.1999999999999993</v>
      </c>
      <c r="AI32" s="13">
        <f>IF('Données projet'!$A$62&gt;35,AI31+AH32-AQ31,IF(A32&lt;'Données projet'!$A$62,$AF$205^A32,IF(A32='Données projet'!$A$62,'Données projet'!$B$62,AI31+AH32-AQ31)))</f>
        <v>228.2999999999999</v>
      </c>
      <c r="AJ32" s="13">
        <f>AI32*VLOOKUP('Données projet'!$B$10,Paramètres!$A$1:$I$89,3,0)*VLOOKUP('Données projet'!$B$10,Paramètres!$A$1:$I$89,5,0)</f>
        <v>106.84439999999995</v>
      </c>
      <c r="AK32" s="13">
        <f t="shared" si="35"/>
        <v>28.586245822975961</v>
      </c>
      <c r="AL32" s="20">
        <f t="shared" si="4"/>
        <v>235.87504147501636</v>
      </c>
      <c r="AM32" s="59">
        <f t="shared" si="5"/>
        <v>529.20837480834962</v>
      </c>
      <c r="AN32" s="59">
        <f ca="1">AVERAGE(OFFSET($AM$3,0,0,'Données projet'!$E$10+1,1))-AVERAGE(OFFSET($H$3,0,0,'Données projet'!$E$10+1,1))</f>
        <v>215.23235148064941</v>
      </c>
      <c r="AO32" s="59">
        <f t="shared" si="36"/>
        <v>184.07239726900434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1.6562761942547666</v>
      </c>
      <c r="AW32" s="21">
        <f>EXP(-LN(2)/2)*AW31+(1-EXP(-LN(2)/2))/(LN(2)/2)*AQ32*AT32*VLOOKUP('Données projet'!$B$10,Paramètres!$A$1:$I$89,3,0)*0.475*44/12</f>
        <v>0.1463613575761695</v>
      </c>
      <c r="AX32" s="21">
        <f t="shared" si="6"/>
        <v>1.8026375518309361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16.5</v>
      </c>
      <c r="BD32" s="12">
        <f>IF('Données projet'!$A$88&gt;35,BD31+BC32-BL31,IF(A32&lt;'Données projet'!$A$88,$BA$205^A32,IF(A32='Données projet'!$A$88,'Données projet'!$B$88,BD31+BC32-BL31)))</f>
        <v>246.49999999999997</v>
      </c>
      <c r="BE32" s="13">
        <f>BD32*VLOOKUP('Données projet'!$B$11,Paramètres!$A$1:$I$89,3,0)*VLOOKUP('Données projet'!$B$11,Paramètres!$A$1:$I$89,5,0)</f>
        <v>153.81599999999997</v>
      </c>
      <c r="BF32" s="13">
        <f t="shared" si="37"/>
        <v>39.444513325737063</v>
      </c>
      <c r="BG32" s="20">
        <f t="shared" si="7"/>
        <v>336.59539404232532</v>
      </c>
      <c r="BH32" s="59">
        <f t="shared" si="8"/>
        <v>629.92872737565858</v>
      </c>
      <c r="BI32" s="59">
        <f ca="1">AVERAGE(OFFSET($BH$3,0,0,'Données projet'!$E$11+1,1))-AVERAGE(OFFSET($H$3,0,0,'Données projet'!$E$11+1,1))</f>
        <v>261.27638267284169</v>
      </c>
      <c r="BJ32" s="59">
        <f t="shared" si="38"/>
        <v>297.50513563712764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11.563819247160552</v>
      </c>
      <c r="BR32" s="21">
        <f>EXP(-LN(2)/2)*BR31+(1-EXP(-LN(2)/2))/(LN(2)/2)*BL32*BO32*VLOOKUP('Données projet'!$B$11,Paramètres!$A$1:$I$89,3,0)*0.475*44/12</f>
        <v>0.93671268848748535</v>
      </c>
      <c r="BS32" s="22">
        <f t="shared" si="9"/>
        <v>12.500531935648038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18.3</v>
      </c>
      <c r="BY32" s="12">
        <f>IF('Données projet'!$A$114&gt;35,BY31+BX32-CG31,IF(A32&lt;'Données projet'!$A$114,$BV$205^A32,IF(A32='Données projet'!$A$114,'Données projet'!$B$114,BY31+BX32-CG31)))</f>
        <v>274.7000000000001</v>
      </c>
      <c r="BZ32" s="13">
        <f>BY32*VLOOKUP('Données projet'!$B$12,Paramètres!$A$1:$I$89,3,0)*VLOOKUP('Données projet'!$B$12,Paramètres!$A$1:$I$89,5,0)</f>
        <v>164.27060000000006</v>
      </c>
      <c r="CA32" s="13">
        <f t="shared" si="39"/>
        <v>41.804279477987336</v>
      </c>
      <c r="CB32" s="20">
        <f t="shared" si="10"/>
        <v>358.91374842416138</v>
      </c>
      <c r="CC32" s="59">
        <f t="shared" si="11"/>
        <v>652.2470817574947</v>
      </c>
      <c r="CD32" s="59">
        <f ca="1">AVERAGE(OFFSET($CC$3,0,0,'Données projet'!$E$12+1,1))-AVERAGE(OFFSET($H$3,0,0,'Données projet'!$E$12+1,1))</f>
        <v>314.69202393413491</v>
      </c>
      <c r="CE32" s="59">
        <f t="shared" si="40"/>
        <v>321.1728368524748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5.8180465587276524</v>
      </c>
      <c r="CM32" s="21">
        <f>EXP(-LN(2)/2)*CM31+(1-EXP(-LN(2)/2))/(LN(2)/2)*CG32*CJ32*VLOOKUP('Données projet'!$B$12,Paramètres!$A$1:$I$89,3,0)*0.475*44/12</f>
        <v>0.62837809519368826</v>
      </c>
      <c r="CN32" s="22">
        <f t="shared" si="12"/>
        <v>6.4464246539213406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399</v>
      </c>
      <c r="L33" s="12">
        <f>VLOOKUP(A33,'Données projet'!$A$35:$I$55,9,0)</f>
        <v>27.5</v>
      </c>
      <c r="M33" s="12">
        <f t="array" ref="M33">INDEX(L:L,MIN(IF(ISNUMBER(L33:L229),ROW(L33:L229),"")))</f>
        <v>27.5</v>
      </c>
      <c r="N33" s="13">
        <f>IF('Données projet'!$A$36&gt;35,N32+M33-V32,IF(A33&lt;'Données projet'!$A$36,$K$205^A33,IF(A33='Données projet'!$A$36,'Données projet'!$B$36,N32+M33-V32)))</f>
        <v>399</v>
      </c>
      <c r="O33" s="13">
        <f>N33*VLOOKUP('Données projet'!$B$9,Paramètres!$A$1:$I$89,3,0)*VLOOKUP('Données projet'!$B$9,Paramètres!$A$1:$I$89,5,0)</f>
        <v>223.041</v>
      </c>
      <c r="P33" s="13">
        <f t="shared" si="33"/>
        <v>54.775303040983225</v>
      </c>
      <c r="Q33" s="20">
        <f t="shared" si="2"/>
        <v>483.86339446304572</v>
      </c>
      <c r="R33" s="59">
        <f t="shared" si="0"/>
        <v>777.19672779637904</v>
      </c>
      <c r="S33" s="59">
        <f ca="1">AVERAGE(OFFSET($R$3,0,0,'Données projet'!$E$9+1,1))-AVERAGE(OFFSET($H$3,0,0,'Données projet'!$E$9+1,1))</f>
        <v>415.91544298418842</v>
      </c>
      <c r="T33" s="59">
        <f t="shared" si="34"/>
        <v>422.79312683312583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140</v>
      </c>
      <c r="W33" s="16">
        <f>IF(ISNA(VLOOKUP(A33,'Données projet'!$A$35:$I$55,5,0)),0%,VLOOKUP(A33,'Données projet'!$A$35:$I$55,5,0)*VLOOKUP('Données projet'!$B$9,Paramètres!$A$1:$I$89,7,0))</f>
        <v>0.11000000000000001</v>
      </c>
      <c r="X33" s="16">
        <f>IF(ISNA(VLOOKUP(A33,'Données projet'!$A$35:$I$55,6,0)),0%,VLOOKUP(A33,'Données projet'!$A$35:$I$55,6,0)*VLOOKUP('Données projet'!$B$9,Paramètres!$A$1:$I$89,7,0))</f>
        <v>0.22000000000000003</v>
      </c>
      <c r="Y33" s="16">
        <f>IF(ISNA(VLOOKUP(A33,'Données projet'!$A$35:$I$55,7,0)),0%,VLOOKUP(A33,'Données projet'!$A$35:$I$55,7,0))</f>
        <v>0.4</v>
      </c>
      <c r="Z33" s="21">
        <f>EXP(-LN(2)/35)*Z32+(1-EXP(-LN(2)/35))/(LN(2)/35)*V33*W33*VLOOKUP('Données projet'!$B$9,Paramètres!$A$1:$I$89,3,0)*0.475*44/12</f>
        <v>11.419862771096829</v>
      </c>
      <c r="AA33" s="21">
        <f>EXP(-LN(2)/25)*AA32+(1-EXP(-LN(2)/25))/(LN(2)/25)*Calculateur!V33*Calculateur!X33*VLOOKUP('Données projet'!$B$9,Paramètres!$A$1:$I$89,3,0)*0.475*44/12</f>
        <v>38.759410105081791</v>
      </c>
      <c r="AB33" s="21">
        <f>EXP(-LN(2)/2)*AB32+(1-EXP(-LN(2)/2))/(LN(2)/2)*V33*Y33*VLOOKUP('Données projet'!$B$9,Paramètres!$A$1:$I$89,3,0)*0.475*44/12</f>
        <v>36.471891355034096</v>
      </c>
      <c r="AC33" s="22">
        <f t="shared" si="3"/>
        <v>86.651164231212718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237.5</v>
      </c>
      <c r="AG33" s="12">
        <f>VLOOKUP(A33,'Données projet'!$A$61:$I$81,9,0)</f>
        <v>9.1999999999999993</v>
      </c>
      <c r="AH33" s="12">
        <f t="array" ref="AH33">INDEX(AG:AG,MIN(IF(ISNUMBER(AG33:AG229),ROW(AG33:AG229),"")))</f>
        <v>9.1999999999999993</v>
      </c>
      <c r="AI33" s="13">
        <f>IF('Données projet'!$A$62&gt;35,AI32+AH33-AQ32,IF(A33&lt;'Données projet'!$A$62,$AF$205^A33,IF(A33='Données projet'!$A$62,'Données projet'!$B$62,AI32+AH33-AQ32)))</f>
        <v>237.49999999999989</v>
      </c>
      <c r="AJ33" s="13">
        <f>AI33*VLOOKUP('Données projet'!$B$10,Paramètres!$A$1:$I$89,3,0)*VLOOKUP('Données projet'!$B$10,Paramètres!$A$1:$I$89,5,0)</f>
        <v>111.14999999999995</v>
      </c>
      <c r="AK33" s="13">
        <f t="shared" si="35"/>
        <v>29.601769319956546</v>
      </c>
      <c r="AL33" s="20">
        <f t="shared" si="4"/>
        <v>245.14266489892427</v>
      </c>
      <c r="AM33" s="59">
        <f t="shared" si="5"/>
        <v>538.47599823225755</v>
      </c>
      <c r="AN33" s="59">
        <f ca="1">AVERAGE(OFFSET($AM$3,0,0,'Données projet'!$E$10+1,1))-AVERAGE(OFFSET($H$3,0,0,'Données projet'!$E$10+1,1))</f>
        <v>215.23235148064941</v>
      </c>
      <c r="AO33" s="59">
        <f t="shared" si="36"/>
        <v>184.07239726900434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45.9</v>
      </c>
      <c r="AR33" s="16">
        <f>IF(ISNA(VLOOKUP(A33,'Données projet'!$A$61:$I$81,5,0)),0%,VLOOKUP(A33,'Données projet'!$A$61:$I$81,5,0)*VLOOKUP('Données projet'!$B$10,Paramètres!$A$1:$I$89,7,0))</f>
        <v>0.11000000000000001</v>
      </c>
      <c r="AS33" s="16">
        <f>IF(ISNA(VLOOKUP(A33,'Données projet'!$A$61:$I$81,6,0)),0%,VLOOKUP(A33,'Données projet'!$A$61:$I$81,6,0)*VLOOKUP('Données projet'!$B$10,Paramètres!$A$1:$I$89,7,0))</f>
        <v>0.22000000000000003</v>
      </c>
      <c r="AT33" s="16">
        <f>IF(ISNA(VLOOKUP(A33,'Données projet'!$A$61:$I$81,7,0)),0%,VLOOKUP(A33,'Données projet'!$A$61:$I$81,7,0))</f>
        <v>0.4</v>
      </c>
      <c r="AU33" s="21">
        <f>EXP(-LN(2)/35)*AU32+(1-EXP(-LN(2)/35))/(LN(2)/35)*AQ33*AR33*VLOOKUP('Données projet'!$B$10,Paramètres!$A$1:$I$89,3,0)*0.475*44/12</f>
        <v>3.1345816018206638</v>
      </c>
      <c r="AV33" s="21">
        <f>EXP(-LN(2)/25)*AV32+(1-EXP(-LN(2)/25))/(LN(2)/25)*Calculateur!AQ33*Calculateur!AS33*VLOOKUP('Données projet'!$B$10,Paramètres!$A$1:$I$89,3,0)*0.475*44/12</f>
        <v>7.8554643539932272</v>
      </c>
      <c r="AW33" s="21">
        <f>EXP(-LN(2)/2)*AW32+(1-EXP(-LN(2)/2))/(LN(2)/2)*AQ33*AT33*VLOOKUP('Données projet'!$B$10,Paramètres!$A$1:$I$89,3,0)*0.475*44/12</f>
        <v>9.8321764802959866</v>
      </c>
      <c r="AX33" s="21">
        <f t="shared" si="6"/>
        <v>20.822222436109875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263</v>
      </c>
      <c r="BB33" s="12">
        <f>VLOOKUP(A33,'Données projet'!$A$87:$I$107,9,0)</f>
        <v>16.5</v>
      </c>
      <c r="BC33" s="12">
        <f t="array" ref="BC33">INDEX(BB:BB,MIN(IF(ISNUMBER(BB33:BB229),ROW(BB33:BB229),"")))</f>
        <v>16.5</v>
      </c>
      <c r="BD33" s="12">
        <f>IF('Données projet'!$A$88&gt;35,BD32+BC33-BL32,IF(A33&lt;'Données projet'!$A$88,$BA$205^A33,IF(A33='Données projet'!$A$88,'Données projet'!$B$88,BD32+BC33-BL32)))</f>
        <v>263</v>
      </c>
      <c r="BE33" s="13">
        <f>BD33*VLOOKUP('Données projet'!$B$11,Paramètres!$A$1:$I$89,3,0)*VLOOKUP('Données projet'!$B$11,Paramètres!$A$1:$I$89,5,0)</f>
        <v>164.11199999999999</v>
      </c>
      <c r="BF33" s="13">
        <f t="shared" si="37"/>
        <v>41.768614316008147</v>
      </c>
      <c r="BG33" s="20">
        <f t="shared" si="7"/>
        <v>358.57540326704753</v>
      </c>
      <c r="BH33" s="59">
        <f t="shared" si="8"/>
        <v>651.90873660038085</v>
      </c>
      <c r="BI33" s="59">
        <f ca="1">AVERAGE(OFFSET($BH$3,0,0,'Données projet'!$E$11+1,1))-AVERAGE(OFFSET($H$3,0,0,'Données projet'!$E$11+1,1))</f>
        <v>261.27638267284169</v>
      </c>
      <c r="BJ33" s="59">
        <f t="shared" si="38"/>
        <v>297.50513563712764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84</v>
      </c>
      <c r="BM33" s="16">
        <f>IF(ISNA(VLOOKUP(A33,'Données projet'!$A$87:$I$107,5,0)),0%,VLOOKUP(A33,'Données projet'!$A$87:$I$107,5,0)*VLOOKUP('Données projet'!$B$11,Paramètres!$A$1:$I$89,7,0))</f>
        <v>0.12</v>
      </c>
      <c r="BN33" s="16">
        <f>IF(ISNA(VLOOKUP(A33,'Données projet'!$A$87:$I$107,6,0)),0%,VLOOKUP(A33,'Données projet'!$A$87:$I$107,6,0)*VLOOKUP('Données projet'!$B$11,Paramètres!$A$1:$I$89,7,0))</f>
        <v>0.24</v>
      </c>
      <c r="BO33" s="16">
        <f>IF(ISNA(VLOOKUP(A33,'Données projet'!$A$87:$I$107,7,0)),0%,VLOOKUP(A33,'Données projet'!$A$87:$I$107,7,0))</f>
        <v>0.4</v>
      </c>
      <c r="BP33" s="21">
        <f>EXP(-LN(2)/35)*BP32+(1-EXP(-LN(2)/35))/(LN(2)/35)*BL33*BM33*VLOOKUP('Données projet'!$B$11,Paramètres!$A$1:$I$89,3,0)*0.475*44/12</f>
        <v>8.3439842995582705</v>
      </c>
      <c r="BQ33" s="21">
        <f>EXP(-LN(2)/25)*BQ32+(1-EXP(-LN(2)/25))/(LN(2)/25)*Calculateur!BL33*Calculateur!BN33*VLOOKUP('Données projet'!$B$11,Paramètres!$A$1:$I$89,3,0)*0.475*44/12</f>
        <v>27.869867709859399</v>
      </c>
      <c r="BR33" s="21">
        <f>EXP(-LN(2)/2)*BR32+(1-EXP(-LN(2)/2))/(LN(2)/2)*BL33*BO33*VLOOKUP('Données projet'!$B$11,Paramètres!$A$1:$I$89,3,0)*0.475*44/12</f>
        <v>24.401191136911876</v>
      </c>
      <c r="BS33" s="22">
        <f t="shared" si="9"/>
        <v>60.615043146329548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293</v>
      </c>
      <c r="BW33" s="12">
        <f>VLOOKUP(A33,'Données projet'!$A$113:$I$133,9,0)</f>
        <v>18.3</v>
      </c>
      <c r="BX33" s="12">
        <f t="array" ref="BX33">INDEX(BW:BW,MIN(IF(ISNUMBER(BW33:BW229),ROW(BW33:BW229),"")))</f>
        <v>18.3</v>
      </c>
      <c r="BY33" s="12">
        <f>IF('Données projet'!$A$114&gt;35,BY32+BX33-CG32,IF(A33&lt;'Données projet'!$A$114,$BV$205^A33,IF(A33='Données projet'!$A$114,'Données projet'!$B$114,BY32+BX33-CG32)))</f>
        <v>293.00000000000011</v>
      </c>
      <c r="BZ33" s="13">
        <f>BY33*VLOOKUP('Données projet'!$B$12,Paramètres!$A$1:$I$89,3,0)*VLOOKUP('Données projet'!$B$12,Paramètres!$A$1:$I$89,5,0)</f>
        <v>175.21400000000008</v>
      </c>
      <c r="CA33" s="13">
        <f t="shared" si="39"/>
        <v>44.255725061661991</v>
      </c>
      <c r="CB33" s="20">
        <f t="shared" si="10"/>
        <v>382.24310448239476</v>
      </c>
      <c r="CC33" s="59">
        <f t="shared" si="11"/>
        <v>675.57643781572801</v>
      </c>
      <c r="CD33" s="59">
        <f ca="1">AVERAGE(OFFSET($CC$3,0,0,'Données projet'!$E$12+1,1))-AVERAGE(OFFSET($H$3,0,0,'Données projet'!$E$12+1,1))</f>
        <v>314.69202393413491</v>
      </c>
      <c r="CE33" s="59">
        <f t="shared" si="40"/>
        <v>321.1728368524748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98</v>
      </c>
      <c r="CH33" s="16">
        <f>IF(ISNA(VLOOKUP(A33,'Données projet'!$A$113:$I$133,5,0)),0%,VLOOKUP(A33,'Données projet'!$A$113:$I$133,5,0)*VLOOKUP('Données projet'!$B$12,Paramètres!$A$1:$I$89,7,0))</f>
        <v>4.5000000000000005E-2</v>
      </c>
      <c r="CI33" s="16">
        <f>IF(ISNA(VLOOKUP(A33,'Données projet'!$A$113:$I$133,6,0)),0%,VLOOKUP(A33,'Données projet'!$A$113:$I$133,6,0)*VLOOKUP('Données projet'!$B$12,Paramètres!$A$1:$I$89,7,0))</f>
        <v>0.20250000000000001</v>
      </c>
      <c r="CJ33" s="16">
        <f>IF(ISNA(VLOOKUP(A33,'Données projet'!$A$113:$I$133,7,0)),0%,VLOOKUP(A33,'Données projet'!$A$113:$I$133,7,0))</f>
        <v>0.45</v>
      </c>
      <c r="CK33" s="21">
        <f>EXP(-LN(2)/35)*CK32+(1-EXP(-LN(2)/35))/(LN(2)/35)*CG33*CH33*VLOOKUP('Données projet'!$B$12,Paramètres!$A$1:$I$89,3,0)*0.475*44/12</f>
        <v>3.4983892505960466</v>
      </c>
      <c r="CL33" s="21">
        <f>EXP(-LN(2)/25)*CL32+(1-EXP(-LN(2)/25))/(LN(2)/25)*Calculateur!CG33*Calculateur!CI33*VLOOKUP('Données projet'!$B$12,Paramètres!$A$1:$I$89,3,0)*0.475*44/12</f>
        <v>21.339718185686859</v>
      </c>
      <c r="CM33" s="21">
        <f>EXP(-LN(2)/2)*CM32+(1-EXP(-LN(2)/2))/(LN(2)/2)*CG33*CJ33*VLOOKUP('Données projet'!$B$12,Paramètres!$A$1:$I$89,3,0)*0.475*44/12</f>
        <v>30.303334116168998</v>
      </c>
      <c r="CN33" s="22">
        <f t="shared" si="12"/>
        <v>55.141441552451901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26.8</v>
      </c>
      <c r="N34" s="13">
        <f>IF('Données projet'!$A$36&gt;35,N33+M34-V33,IF(A34&lt;'Données projet'!$A$36,$K$205^A34,IF(A34='Données projet'!$A$36,'Données projet'!$B$36,N33+M34-V33)))</f>
        <v>285.8</v>
      </c>
      <c r="O34" s="13">
        <f>N34*VLOOKUP('Données projet'!$B$9,Paramètres!$A$1:$I$89,3,0)*VLOOKUP('Données projet'!$B$9,Paramètres!$A$1:$I$89,5,0)</f>
        <v>159.76220000000001</v>
      </c>
      <c r="P34" s="13">
        <f t="shared" si="33"/>
        <v>40.788874310808829</v>
      </c>
      <c r="Q34" s="20">
        <f t="shared" si="2"/>
        <v>349.29312109132542</v>
      </c>
      <c r="R34" s="59">
        <f t="shared" si="0"/>
        <v>642.62645442465873</v>
      </c>
      <c r="S34" s="59">
        <f ca="1">AVERAGE(OFFSET($R$3,0,0,'Données projet'!$E$9+1,1))-AVERAGE(OFFSET($H$3,0,0,'Données projet'!$E$9+1,1))</f>
        <v>415.91544298418842</v>
      </c>
      <c r="T34" s="59">
        <f t="shared" si="34"/>
        <v>422.79312683312583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11.195926227584131</v>
      </c>
      <c r="AA34" s="21">
        <f>EXP(-LN(2)/25)*AA33+(1-EXP(-LN(2)/25))/(LN(2)/25)*Calculateur!V34*Calculateur!X34*VLOOKUP('Données projet'!$B$9,Paramètres!$A$1:$I$89,3,0)*0.475*44/12</f>
        <v>37.699531997489537</v>
      </c>
      <c r="AB34" s="21">
        <f>EXP(-LN(2)/2)*AB33+(1-EXP(-LN(2)/2))/(LN(2)/2)*V34*Y34*VLOOKUP('Données projet'!$B$9,Paramètres!$A$1:$I$89,3,0)*0.475*44/12</f>
        <v>25.789521699843629</v>
      </c>
      <c r="AC34" s="22">
        <f t="shared" si="3"/>
        <v>74.6849799249173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10.000000000000004</v>
      </c>
      <c r="AI34" s="13">
        <f>IF('Données projet'!$A$62&gt;35,AI33+AH34-AQ33,IF(A34&lt;'Données projet'!$A$62,$AF$205^A34,IF(A34='Données projet'!$A$62,'Données projet'!$B$62,AI33+AH34-AQ33)))</f>
        <v>201.59999999999988</v>
      </c>
      <c r="AJ34" s="13">
        <f>AI34*VLOOKUP('Données projet'!$B$10,Paramètres!$A$1:$I$89,3,0)*VLOOKUP('Données projet'!$B$10,Paramètres!$A$1:$I$89,5,0)</f>
        <v>94.34879999999994</v>
      </c>
      <c r="AK34" s="13">
        <f t="shared" si="35"/>
        <v>25.611153022386439</v>
      </c>
      <c r="AL34" s="20">
        <f t="shared" si="4"/>
        <v>208.93025151398959</v>
      </c>
      <c r="AM34" s="59">
        <f t="shared" si="5"/>
        <v>502.26358484732293</v>
      </c>
      <c r="AN34" s="59">
        <f ca="1">AVERAGE(OFFSET($AM$3,0,0,'Données projet'!$E$10+1,1))-AVERAGE(OFFSET($H$3,0,0,'Données projet'!$E$10+1,1))</f>
        <v>215.23235148064941</v>
      </c>
      <c r="AO34" s="59">
        <f t="shared" si="36"/>
        <v>184.07239726900434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3.0731143685149527</v>
      </c>
      <c r="AV34" s="21">
        <f>EXP(-LN(2)/25)*AV33+(1-EXP(-LN(2)/25))/(LN(2)/25)*Calculateur!AQ34*Calculateur!AS34*VLOOKUP('Données projet'!$B$10,Paramètres!$A$1:$I$89,3,0)*0.475*44/12</f>
        <v>7.640656268132366</v>
      </c>
      <c r="AW34" s="21">
        <f>EXP(-LN(2)/2)*AW33+(1-EXP(-LN(2)/2))/(LN(2)/2)*AQ34*AT34*VLOOKUP('Données projet'!$B$10,Paramètres!$A$1:$I$89,3,0)*0.475*44/12</f>
        <v>6.9523986630401735</v>
      </c>
      <c r="AX34" s="21">
        <f t="shared" si="6"/>
        <v>17.666169299687493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15.1</v>
      </c>
      <c r="BD34" s="12">
        <f>IF('Données projet'!$A$88&gt;35,BD33+BC34-BL33,IF(A34&lt;'Données projet'!$A$88,$BA$205^A34,IF(A34='Données projet'!$A$88,'Données projet'!$B$88,BD33+BC34-BL33)))</f>
        <v>194.10000000000002</v>
      </c>
      <c r="BE34" s="13">
        <f>BD34*VLOOKUP('Données projet'!$B$11,Paramètres!$A$1:$I$89,3,0)*VLOOKUP('Données projet'!$B$11,Paramètres!$A$1:$I$89,5,0)</f>
        <v>121.11840000000001</v>
      </c>
      <c r="BF34" s="13">
        <f t="shared" si="37"/>
        <v>31.935706725782151</v>
      </c>
      <c r="BG34" s="20">
        <f t="shared" si="7"/>
        <v>266.56923588073727</v>
      </c>
      <c r="BH34" s="59">
        <f t="shared" si="8"/>
        <v>559.90256921407058</v>
      </c>
      <c r="BI34" s="59">
        <f ca="1">AVERAGE(OFFSET($BH$3,0,0,'Données projet'!$E$11+1,1))-AVERAGE(OFFSET($H$3,0,0,'Données projet'!$E$11+1,1))</f>
        <v>261.27638267284169</v>
      </c>
      <c r="BJ34" s="59">
        <f t="shared" si="38"/>
        <v>297.50513563712764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8.1803638567718266</v>
      </c>
      <c r="BQ34" s="21">
        <f>EXP(-LN(2)/25)*BQ33+(1-EXP(-LN(2)/25))/(LN(2)/25)*Calculateur!BL34*Calculateur!BN34*VLOOKUP('Données projet'!$B$11,Paramètres!$A$1:$I$89,3,0)*0.475*44/12</f>
        <v>27.107764711720648</v>
      </c>
      <c r="BR34" s="21">
        <f>EXP(-LN(2)/2)*BR33+(1-EXP(-LN(2)/2))/(LN(2)/2)*BL34*BO34*VLOOKUP('Données projet'!$B$11,Paramètres!$A$1:$I$89,3,0)*0.475*44/12</f>
        <v>17.254247721939471</v>
      </c>
      <c r="BS34" s="22">
        <f t="shared" si="9"/>
        <v>52.542376290431946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18.8</v>
      </c>
      <c r="BY34" s="12">
        <f>IF('Données projet'!$A$114&gt;35,BY33+BX34-CG33,IF(A34&lt;'Données projet'!$A$114,$BV$205^A34,IF(A34='Données projet'!$A$114,'Données projet'!$B$114,BY33+BX34-CG33)))</f>
        <v>213.80000000000013</v>
      </c>
      <c r="BZ34" s="13">
        <f>BY34*VLOOKUP('Données projet'!$B$12,Paramètres!$A$1:$I$89,3,0)*VLOOKUP('Données projet'!$B$12,Paramètres!$A$1:$I$89,5,0)</f>
        <v>127.85240000000007</v>
      </c>
      <c r="CA34" s="13">
        <f t="shared" si="39"/>
        <v>33.499631944426262</v>
      </c>
      <c r="CB34" s="20">
        <f t="shared" si="10"/>
        <v>281.0214556365425</v>
      </c>
      <c r="CC34" s="59">
        <f t="shared" si="11"/>
        <v>574.35478896987581</v>
      </c>
      <c r="CD34" s="59">
        <f ca="1">AVERAGE(OFFSET($CC$3,0,0,'Données projet'!$E$12+1,1))-AVERAGE(OFFSET($H$3,0,0,'Données projet'!$E$12+1,1))</f>
        <v>314.69202393413491</v>
      </c>
      <c r="CE34" s="59">
        <f t="shared" si="40"/>
        <v>321.1728368524748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3.4297879711986052</v>
      </c>
      <c r="CL34" s="21">
        <f>EXP(-LN(2)/25)*CL33+(1-EXP(-LN(2)/25))/(LN(2)/25)*Calculateur!CG34*Calculateur!CI34*VLOOKUP('Données projet'!$B$12,Paramètres!$A$1:$I$89,3,0)*0.475*44/12</f>
        <v>20.756182469692245</v>
      </c>
      <c r="CM34" s="21">
        <f>EXP(-LN(2)/2)*CM33+(1-EXP(-LN(2)/2))/(LN(2)/2)*CG34*CJ34*VLOOKUP('Données projet'!$B$12,Paramètres!$A$1:$I$89,3,0)*0.475*44/12</f>
        <v>21.427693046104753</v>
      </c>
      <c r="CN34" s="22">
        <f t="shared" si="12"/>
        <v>45.613663486995605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26.8</v>
      </c>
      <c r="N35" s="13">
        <f>IF('Données projet'!$A$36&gt;35,N34+M35-V34,IF(A35&lt;'Données projet'!$A$36,$K$205^A35,IF(A35='Données projet'!$A$36,'Données projet'!$B$36,N34+M35-V34)))</f>
        <v>312.60000000000002</v>
      </c>
      <c r="O35" s="13">
        <f>N35*VLOOKUP('Données projet'!$B$9,Paramètres!$A$1:$I$89,3,0)*VLOOKUP('Données projet'!$B$9,Paramètres!$A$1:$I$89,5,0)</f>
        <v>174.74340000000001</v>
      </c>
      <c r="P35" s="13">
        <f t="shared" si="33"/>
        <v>44.150679855848523</v>
      </c>
      <c r="Q35" s="20">
        <f t="shared" ref="Q35:Q66" si="53">(O35+P35)*0.475*44/12</f>
        <v>381.24052241560281</v>
      </c>
      <c r="R35" s="59">
        <f t="shared" si="0"/>
        <v>674.57385574893613</v>
      </c>
      <c r="S35" s="59">
        <f ca="1">AVERAGE(OFFSET($R$3,0,0,'Données projet'!$E$9+1,1))-AVERAGE(OFFSET($H$3,0,0,'Données projet'!$E$9+1,1))</f>
        <v>415.91544298418842</v>
      </c>
      <c r="T35" s="59">
        <f t="shared" si="34"/>
        <v>422.79312683312583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10.976380943101914</v>
      </c>
      <c r="AA35" s="21">
        <f>EXP(-LN(2)/25)*AA34+(1-EXP(-LN(2)/25))/(LN(2)/25)*Calculateur!V35*Calculateur!X35*VLOOKUP('Données projet'!$B$9,Paramètres!$A$1:$I$89,3,0)*0.475*44/12</f>
        <v>36.668636312485958</v>
      </c>
      <c r="AB35" s="21">
        <f>EXP(-LN(2)/2)*AB34+(1-EXP(-LN(2)/2))/(LN(2)/2)*V35*Y35*VLOOKUP('Données projet'!$B$9,Paramètres!$A$1:$I$89,3,0)*0.475*44/12</f>
        <v>18.235945677517048</v>
      </c>
      <c r="AC35" s="22">
        <f t="shared" si="3"/>
        <v>65.880962933104925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10.000000000000004</v>
      </c>
      <c r="AI35" s="13">
        <f>IF('Données projet'!$A$62&gt;35,AI34+AH35-AQ34,IF(A35&lt;'Données projet'!$A$62,$AF$205^A35,IF(A35='Données projet'!$A$62,'Données projet'!$B$62,AI34+AH35-AQ34)))</f>
        <v>211.59999999999988</v>
      </c>
      <c r="AJ35" s="13">
        <f>AI35*VLOOKUP('Données projet'!$B$10,Paramètres!$A$1:$I$89,3,0)*VLOOKUP('Données projet'!$B$10,Paramètres!$A$1:$I$89,5,0)</f>
        <v>99.028799999999947</v>
      </c>
      <c r="AK35" s="13">
        <f t="shared" si="35"/>
        <v>26.730491283721712</v>
      </c>
      <c r="AL35" s="20">
        <f t="shared" si="4"/>
        <v>219.0307656524819</v>
      </c>
      <c r="AM35" s="59">
        <f t="shared" si="5"/>
        <v>512.36409898581519</v>
      </c>
      <c r="AN35" s="59">
        <f ca="1">AVERAGE(OFFSET($AM$3,0,0,'Données projet'!$E$10+1,1))-AVERAGE(OFFSET($H$3,0,0,'Données projet'!$E$10+1,1))</f>
        <v>215.23235148064941</v>
      </c>
      <c r="AO35" s="59">
        <f t="shared" si="36"/>
        <v>184.07239726900434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3.0128524701630561</v>
      </c>
      <c r="AV35" s="21">
        <f>EXP(-LN(2)/25)*AV34+(1-EXP(-LN(2)/25))/(LN(2)/25)*Calculateur!AQ35*Calculateur!AS35*VLOOKUP('Données projet'!$B$10,Paramètres!$A$1:$I$89,3,0)*0.475*44/12</f>
        <v>7.4317221206756363</v>
      </c>
      <c r="AW35" s="21">
        <f>EXP(-LN(2)/2)*AW34+(1-EXP(-LN(2)/2))/(LN(2)/2)*AQ35*AT35*VLOOKUP('Données projet'!$B$10,Paramètres!$A$1:$I$89,3,0)*0.475*44/12</f>
        <v>4.9160882401479942</v>
      </c>
      <c r="AX35" s="21">
        <f t="shared" si="6"/>
        <v>15.360662830986687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15.1</v>
      </c>
      <c r="BD35" s="12">
        <f>IF('Données projet'!$A$88&gt;35,BD34+BC35-BL34,IF(A35&lt;'Données projet'!$A$88,$BA$205^A35,IF(A35='Données projet'!$A$88,'Données projet'!$B$88,BD34+BC35-BL34)))</f>
        <v>209.20000000000002</v>
      </c>
      <c r="BE35" s="13">
        <f>BD35*VLOOKUP('Données projet'!$B$11,Paramètres!$A$1:$I$89,3,0)*VLOOKUP('Données projet'!$B$11,Paramètres!$A$1:$I$89,5,0)</f>
        <v>130.54080000000002</v>
      </c>
      <c r="BF35" s="13">
        <f t="shared" si="37"/>
        <v>34.121292125762963</v>
      </c>
      <c r="BG35" s="20">
        <f t="shared" si="7"/>
        <v>286.78647711903716</v>
      </c>
      <c r="BH35" s="59">
        <f t="shared" si="8"/>
        <v>580.11981045237053</v>
      </c>
      <c r="BI35" s="59">
        <f ca="1">AVERAGE(OFFSET($BH$3,0,0,'Données projet'!$E$11+1,1))-AVERAGE(OFFSET($H$3,0,0,'Données projet'!$E$11+1,1))</f>
        <v>261.27638267284169</v>
      </c>
      <c r="BJ35" s="59">
        <f t="shared" si="38"/>
        <v>297.50513563712764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8.0199519110698088</v>
      </c>
      <c r="BQ35" s="21">
        <f>EXP(-LN(2)/25)*BQ34+(1-EXP(-LN(2)/25))/(LN(2)/25)*Calculateur!BL35*Calculateur!BN35*VLOOKUP('Données projet'!$B$11,Paramètres!$A$1:$I$89,3,0)*0.475*44/12</f>
        <v>26.366501460143258</v>
      </c>
      <c r="BR35" s="21">
        <f>EXP(-LN(2)/2)*BR34+(1-EXP(-LN(2)/2))/(LN(2)/2)*BL35*BO35*VLOOKUP('Données projet'!$B$11,Paramètres!$A$1:$I$89,3,0)*0.475*44/12</f>
        <v>12.20059556845594</v>
      </c>
      <c r="BS35" s="22">
        <f t="shared" si="9"/>
        <v>46.587048939669003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18.8</v>
      </c>
      <c r="BY35" s="12">
        <f>IF('Données projet'!$A$114&gt;35,BY34+BX35-CG34,IF(A35&lt;'Données projet'!$A$114,$BV$205^A35,IF(A35='Données projet'!$A$114,'Données projet'!$B$114,BY34+BX35-CG34)))</f>
        <v>232.60000000000014</v>
      </c>
      <c r="BZ35" s="13">
        <f>BY35*VLOOKUP('Données projet'!$B$12,Paramètres!$A$1:$I$89,3,0)*VLOOKUP('Données projet'!$B$12,Paramètres!$A$1:$I$89,5,0)</f>
        <v>139.09480000000008</v>
      </c>
      <c r="CA35" s="13">
        <f t="shared" si="39"/>
        <v>36.089558664086184</v>
      </c>
      <c r="CB35" s="20">
        <f t="shared" si="10"/>
        <v>305.11275800661684</v>
      </c>
      <c r="CC35" s="59">
        <f t="shared" si="11"/>
        <v>598.44609133995016</v>
      </c>
      <c r="CD35" s="59">
        <f ca="1">AVERAGE(OFFSET($CC$3,0,0,'Données projet'!$E$12+1,1))-AVERAGE(OFFSET($H$3,0,0,'Données projet'!$E$12+1,1))</f>
        <v>314.69202393413491</v>
      </c>
      <c r="CE35" s="59">
        <f t="shared" si="40"/>
        <v>321.1728368524748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3.3625319210474989</v>
      </c>
      <c r="CL35" s="21">
        <f>EXP(-LN(2)/25)*CL34+(1-EXP(-LN(2)/25))/(LN(2)/25)*Calculateur!CG35*Calculateur!CI35*VLOOKUP('Données projet'!$B$12,Paramètres!$A$1:$I$89,3,0)*0.475*44/12</f>
        <v>20.188603568538312</v>
      </c>
      <c r="CM35" s="21">
        <f>EXP(-LN(2)/2)*CM34+(1-EXP(-LN(2)/2))/(LN(2)/2)*CG35*CJ35*VLOOKUP('Données projet'!$B$12,Paramètres!$A$1:$I$89,3,0)*0.475*44/12</f>
        <v>15.151667058084501</v>
      </c>
      <c r="CN35" s="22">
        <f t="shared" si="12"/>
        <v>38.702802547670309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26.8</v>
      </c>
      <c r="N36" s="13">
        <f>IF('Données projet'!$A$36&gt;35,N35+M36-V35,IF(A36&lt;'Données projet'!$A$36,$K$205^A36,IF(A36='Données projet'!$A$36,'Données projet'!$B$36,N35+M36-V35)))</f>
        <v>339.40000000000003</v>
      </c>
      <c r="O36" s="13">
        <f>N36*VLOOKUP('Données projet'!$B$9,Paramètres!$A$1:$I$89,3,0)*VLOOKUP('Données projet'!$B$9,Paramètres!$A$1:$I$89,5,0)</f>
        <v>189.72460000000001</v>
      </c>
      <c r="P36" s="13">
        <f t="shared" si="33"/>
        <v>47.479060682252133</v>
      </c>
      <c r="Q36" s="20">
        <f t="shared" si="53"/>
        <v>413.12970902158912</v>
      </c>
      <c r="R36" s="59">
        <f t="shared" si="0"/>
        <v>706.46304235492244</v>
      </c>
      <c r="S36" s="59">
        <f ca="1">AVERAGE(OFFSET($R$3,0,0,'Données projet'!$E$9+1,1))-AVERAGE(OFFSET($H$3,0,0,'Données projet'!$E$9+1,1))</f>
        <v>415.91544298418842</v>
      </c>
      <c r="T36" s="59">
        <f t="shared" si="34"/>
        <v>422.79312683312583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10.761140807738991</v>
      </c>
      <c r="AA36" s="21">
        <f>EXP(-LN(2)/25)*AA35+(1-EXP(-LN(2)/25))/(LN(2)/25)*Calculateur!V36*Calculateur!X36*VLOOKUP('Données projet'!$B$9,Paramètres!$A$1:$I$89,3,0)*0.475*44/12</f>
        <v>35.665930524201251</v>
      </c>
      <c r="AB36" s="21">
        <f>EXP(-LN(2)/2)*AB35+(1-EXP(-LN(2)/2))/(LN(2)/2)*V36*Y36*VLOOKUP('Données projet'!$B$9,Paramètres!$A$1:$I$89,3,0)*0.475*44/12</f>
        <v>12.894760849921814</v>
      </c>
      <c r="AC36" s="22">
        <f t="shared" si="3"/>
        <v>59.321832181862057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10.000000000000004</v>
      </c>
      <c r="AI36" s="13">
        <f>IF('Données projet'!$A$62&gt;35,AI35+AH36-AQ35,IF(A36&lt;'Données projet'!$A$62,$AF$205^A36,IF(A36='Données projet'!$A$62,'Données projet'!$B$62,AI35+AH36-AQ35)))</f>
        <v>221.59999999999988</v>
      </c>
      <c r="AJ36" s="13">
        <f>AI36*VLOOKUP('Données projet'!$B$10,Paramètres!$A$1:$I$89,3,0)*VLOOKUP('Données projet'!$B$10,Paramètres!$A$1:$I$89,5,0)</f>
        <v>103.70879999999994</v>
      </c>
      <c r="AK36" s="13">
        <f t="shared" si="35"/>
        <v>27.84368661708951</v>
      </c>
      <c r="AL36" s="20">
        <f t="shared" si="4"/>
        <v>229.12058085809744</v>
      </c>
      <c r="AM36" s="59">
        <f t="shared" si="5"/>
        <v>522.45391419143073</v>
      </c>
      <c r="AN36" s="59">
        <f ca="1">AVERAGE(OFFSET($AM$3,0,0,'Données projet'!$E$10+1,1))-AVERAGE(OFFSET($H$3,0,0,'Données projet'!$E$10+1,1))</f>
        <v>215.23235148064941</v>
      </c>
      <c r="AO36" s="59">
        <f t="shared" si="36"/>
        <v>184.07239726900434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2.9537722708817116</v>
      </c>
      <c r="AV36" s="21">
        <f>EXP(-LN(2)/25)*AV35+(1-EXP(-LN(2)/25))/(LN(2)/25)*Calculateur!AQ36*Calculateur!AS36*VLOOKUP('Données projet'!$B$10,Paramètres!$A$1:$I$89,3,0)*0.475*44/12</f>
        <v>7.2285012884684798</v>
      </c>
      <c r="AW36" s="21">
        <f>EXP(-LN(2)/2)*AW35+(1-EXP(-LN(2)/2))/(LN(2)/2)*AQ36*AT36*VLOOKUP('Données projet'!$B$10,Paramètres!$A$1:$I$89,3,0)*0.475*44/12</f>
        <v>3.4761993315200876</v>
      </c>
      <c r="AX36" s="21">
        <f t="shared" si="6"/>
        <v>13.658472890870279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15.1</v>
      </c>
      <c r="BD36" s="12">
        <f>IF('Données projet'!$A$88&gt;35,BD35+BC36-BL35,IF(A36&lt;'Données projet'!$A$88,$BA$205^A36,IF(A36='Données projet'!$A$88,'Données projet'!$B$88,BD35+BC36-BL35)))</f>
        <v>224.3</v>
      </c>
      <c r="BE36" s="13">
        <f>BD36*VLOOKUP('Données projet'!$B$11,Paramètres!$A$1:$I$89,3,0)*VLOOKUP('Données projet'!$B$11,Paramètres!$A$1:$I$89,5,0)</f>
        <v>139.9632</v>
      </c>
      <c r="BF36" s="13">
        <f t="shared" si="37"/>
        <v>36.288575002787859</v>
      </c>
      <c r="BG36" s="20">
        <f t="shared" si="7"/>
        <v>306.97184146318881</v>
      </c>
      <c r="BH36" s="59">
        <f t="shared" si="8"/>
        <v>600.30517479652212</v>
      </c>
      <c r="BI36" s="59">
        <f ca="1">AVERAGE(OFFSET($BH$3,0,0,'Données projet'!$E$11+1,1))-AVERAGE(OFFSET($H$3,0,0,'Données projet'!$E$11+1,1))</f>
        <v>261.27638267284169</v>
      </c>
      <c r="BJ36" s="59">
        <f t="shared" si="38"/>
        <v>297.50513563712764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7.8626855457813818</v>
      </c>
      <c r="BQ36" s="21">
        <f>EXP(-LN(2)/25)*BQ35+(1-EXP(-LN(2)/25))/(LN(2)/25)*Calculateur!BL36*Calculateur!BN36*VLOOKUP('Données projet'!$B$11,Paramètres!$A$1:$I$89,3,0)*0.475*44/12</f>
        <v>25.645508091161592</v>
      </c>
      <c r="BR36" s="21">
        <f>EXP(-LN(2)/2)*BR35+(1-EXP(-LN(2)/2))/(LN(2)/2)*BL36*BO36*VLOOKUP('Données projet'!$B$11,Paramètres!$A$1:$I$89,3,0)*0.475*44/12</f>
        <v>8.6271238609697356</v>
      </c>
      <c r="BS36" s="22">
        <f t="shared" si="9"/>
        <v>42.135317497912709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18.8</v>
      </c>
      <c r="BY36" s="12">
        <f>IF('Données projet'!$A$114&gt;35,BY35+BX36-CG35,IF(A36&lt;'Données projet'!$A$114,$BV$205^A36,IF(A36='Données projet'!$A$114,'Données projet'!$B$114,BY35+BX36-CG35)))</f>
        <v>251.40000000000015</v>
      </c>
      <c r="BZ36" s="13">
        <f>BY36*VLOOKUP('Données projet'!$B$12,Paramètres!$A$1:$I$89,3,0)*VLOOKUP('Données projet'!$B$12,Paramètres!$A$1:$I$89,5,0)</f>
        <v>150.33720000000011</v>
      </c>
      <c r="CA36" s="13">
        <f t="shared" si="39"/>
        <v>38.655205513460167</v>
      </c>
      <c r="CB36" s="20">
        <f t="shared" si="10"/>
        <v>329.1617729359433</v>
      </c>
      <c r="CC36" s="59">
        <f t="shared" si="11"/>
        <v>622.49510626927668</v>
      </c>
      <c r="CD36" s="59">
        <f ca="1">AVERAGE(OFFSET($CC$3,0,0,'Données projet'!$E$12+1,1))-AVERAGE(OFFSET($H$3,0,0,'Données projet'!$E$12+1,1))</f>
        <v>314.69202393413491</v>
      </c>
      <c r="CE36" s="59">
        <f t="shared" si="40"/>
        <v>321.1728368524748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3.2965947210177156</v>
      </c>
      <c r="CL36" s="21">
        <f>EXP(-LN(2)/25)*CL35+(1-EXP(-LN(2)/25))/(LN(2)/25)*Calculateur!CG36*Calculateur!CI36*VLOOKUP('Données projet'!$B$12,Paramètres!$A$1:$I$89,3,0)*0.475*44/12</f>
        <v>19.636545142284113</v>
      </c>
      <c r="CM36" s="21">
        <f>EXP(-LN(2)/2)*CM35+(1-EXP(-LN(2)/2))/(LN(2)/2)*CG36*CJ36*VLOOKUP('Données projet'!$B$12,Paramètres!$A$1:$I$89,3,0)*0.475*44/12</f>
        <v>10.713846523052379</v>
      </c>
      <c r="CN36" s="22">
        <f t="shared" si="12"/>
        <v>33.646986386354207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26.8</v>
      </c>
      <c r="N37" s="13">
        <f>IF('Données projet'!$A$36&gt;35,N36+M37-V36,IF(A37&lt;'Données projet'!$A$36,$K$205^A37,IF(A37='Données projet'!$A$36,'Données projet'!$B$36,N36+M37-V36)))</f>
        <v>366.20000000000005</v>
      </c>
      <c r="O37" s="13">
        <f>N37*VLOOKUP('Données projet'!$B$9,Paramètres!$A$1:$I$89,3,0)*VLOOKUP('Données projet'!$B$9,Paramètres!$A$1:$I$89,5,0)</f>
        <v>204.70580000000001</v>
      </c>
      <c r="P37" s="13">
        <f t="shared" si="33"/>
        <v>50.776956172604578</v>
      </c>
      <c r="Q37" s="20">
        <f t="shared" si="53"/>
        <v>444.96580033395298</v>
      </c>
      <c r="R37" s="59">
        <f t="shared" si="0"/>
        <v>738.29913366728624</v>
      </c>
      <c r="S37" s="59">
        <f ca="1">AVERAGE(OFFSET($R$3,0,0,'Données projet'!$E$9+1,1))-AVERAGE(OFFSET($H$3,0,0,'Données projet'!$E$9+1,1))</f>
        <v>415.91544298418842</v>
      </c>
      <c r="T37" s="59">
        <f t="shared" si="34"/>
        <v>422.79312683312583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10.550121400147017</v>
      </c>
      <c r="AA37" s="21">
        <f>EXP(-LN(2)/25)*AA36+(1-EXP(-LN(2)/25))/(LN(2)/25)*Calculateur!V37*Calculateur!X37*VLOOKUP('Données projet'!$B$9,Paramètres!$A$1:$I$89,3,0)*0.475*44/12</f>
        <v>34.690643778427194</v>
      </c>
      <c r="AB37" s="21">
        <f>EXP(-LN(2)/2)*AB36+(1-EXP(-LN(2)/2))/(LN(2)/2)*V37*Y37*VLOOKUP('Données projet'!$B$9,Paramètres!$A$1:$I$89,3,0)*0.475*44/12</f>
        <v>9.1179728387585239</v>
      </c>
      <c r="AC37" s="22">
        <f t="shared" si="3"/>
        <v>54.358738017332733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10.000000000000004</v>
      </c>
      <c r="AI37" s="13">
        <f>IF('Données projet'!$A$62&gt;35,AI36+AH37-AQ36,IF(A37&lt;'Données projet'!$A$62,$AF$205^A37,IF(A37='Données projet'!$A$62,'Données projet'!$B$62,AI36+AH37-AQ36)))</f>
        <v>231.59999999999988</v>
      </c>
      <c r="AJ37" s="13">
        <f>AI37*VLOOKUP('Données projet'!$B$10,Paramètres!$A$1:$I$89,3,0)*VLOOKUP('Données projet'!$B$10,Paramètres!$A$1:$I$89,5,0)</f>
        <v>108.38879999999993</v>
      </c>
      <c r="AK37" s="13">
        <f t="shared" si="35"/>
        <v>28.951047900249165</v>
      </c>
      <c r="AL37" s="20">
        <f t="shared" si="4"/>
        <v>239.20023509293381</v>
      </c>
      <c r="AM37" s="59">
        <f t="shared" si="5"/>
        <v>532.53356842626715</v>
      </c>
      <c r="AN37" s="59">
        <f ca="1">AVERAGE(OFFSET($AM$3,0,0,'Données projet'!$E$10+1,1))-AVERAGE(OFFSET($H$3,0,0,'Données projet'!$E$10+1,1))</f>
        <v>215.23235148064941</v>
      </c>
      <c r="AO37" s="59">
        <f t="shared" si="36"/>
        <v>184.07239726900434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2.895850598272911</v>
      </c>
      <c r="AV37" s="21">
        <f>EXP(-LN(2)/25)*AV36+(1-EXP(-LN(2)/25))/(LN(2)/25)*Calculateur!AQ37*Calculateur!AS37*VLOOKUP('Données projet'!$B$10,Paramètres!$A$1:$I$89,3,0)*0.475*44/12</f>
        <v>7.0308375406049475</v>
      </c>
      <c r="AW37" s="21">
        <f>EXP(-LN(2)/2)*AW36+(1-EXP(-LN(2)/2))/(LN(2)/2)*AQ37*AT37*VLOOKUP('Données projet'!$B$10,Paramètres!$A$1:$I$89,3,0)*0.475*44/12</f>
        <v>2.4580441200739975</v>
      </c>
      <c r="AX37" s="21">
        <f t="shared" si="6"/>
        <v>12.384732258951857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15.1</v>
      </c>
      <c r="BD37" s="12">
        <f>IF('Données projet'!$A$88&gt;35,BD36+BC37-BL36,IF(A37&lt;'Données projet'!$A$88,$BA$205^A37,IF(A37='Données projet'!$A$88,'Données projet'!$B$88,BD36+BC37-BL36)))</f>
        <v>239.4</v>
      </c>
      <c r="BE37" s="13">
        <f>BD37*VLOOKUP('Données projet'!$B$11,Paramètres!$A$1:$I$89,3,0)*VLOOKUP('Données projet'!$B$11,Paramètres!$A$1:$I$89,5,0)</f>
        <v>149.38559999999998</v>
      </c>
      <c r="BF37" s="13">
        <f t="shared" si="37"/>
        <v>38.438927680599591</v>
      </c>
      <c r="BG37" s="20">
        <f t="shared" si="7"/>
        <v>327.1277190437109</v>
      </c>
      <c r="BH37" s="59">
        <f t="shared" si="8"/>
        <v>620.46105237704421</v>
      </c>
      <c r="BI37" s="59">
        <f ca="1">AVERAGE(OFFSET($BH$3,0,0,'Données projet'!$E$11+1,1))-AVERAGE(OFFSET($H$3,0,0,'Données projet'!$E$11+1,1))</f>
        <v>261.27638267284169</v>
      </c>
      <c r="BJ37" s="59">
        <f t="shared" si="38"/>
        <v>297.50513563712764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7.7085030779932495</v>
      </c>
      <c r="BQ37" s="21">
        <f>EXP(-LN(2)/25)*BQ36+(1-EXP(-LN(2)/25))/(LN(2)/25)*Calculateur!BL37*Calculateur!BN37*VLOOKUP('Données projet'!$B$11,Paramètres!$A$1:$I$89,3,0)*0.475*44/12</f>
        <v>24.944230323770121</v>
      </c>
      <c r="BR37" s="21">
        <f>EXP(-LN(2)/2)*BR36+(1-EXP(-LN(2)/2))/(LN(2)/2)*BL37*BO37*VLOOKUP('Données projet'!$B$11,Paramètres!$A$1:$I$89,3,0)*0.475*44/12</f>
        <v>6.10029778422797</v>
      </c>
      <c r="BS37" s="22">
        <f t="shared" si="9"/>
        <v>38.75303118599134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18.8</v>
      </c>
      <c r="BY37" s="12">
        <f>IF('Données projet'!$A$114&gt;35,BY36+BX37-CG36,IF(A37&lt;'Données projet'!$A$114,$BV$205^A37,IF(A37='Données projet'!$A$114,'Données projet'!$B$114,BY36+BX37-CG36)))</f>
        <v>270.20000000000016</v>
      </c>
      <c r="BZ37" s="13">
        <f>BY37*VLOOKUP('Données projet'!$B$12,Paramètres!$A$1:$I$89,3,0)*VLOOKUP('Données projet'!$B$12,Paramètres!$A$1:$I$89,5,0)</f>
        <v>161.57960000000011</v>
      </c>
      <c r="CA37" s="13">
        <f t="shared" si="39"/>
        <v>41.198594631057318</v>
      </c>
      <c r="CB37" s="20">
        <f t="shared" si="10"/>
        <v>353.17202231575834</v>
      </c>
      <c r="CC37" s="59">
        <f t="shared" si="11"/>
        <v>646.5053556490916</v>
      </c>
      <c r="CD37" s="59">
        <f ca="1">AVERAGE(OFFSET($CC$3,0,0,'Données projet'!$E$12+1,1))-AVERAGE(OFFSET($H$3,0,0,'Données projet'!$E$12+1,1))</f>
        <v>314.69202393413491</v>
      </c>
      <c r="CE37" s="59">
        <f t="shared" si="40"/>
        <v>321.1728368524748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3.2319505092627954</v>
      </c>
      <c r="CL37" s="21">
        <f>EXP(-LN(2)/25)*CL36+(1-EXP(-LN(2)/25))/(LN(2)/25)*Calculateur!CG37*Calculateur!CI37*VLOOKUP('Données projet'!$B$12,Paramètres!$A$1:$I$89,3,0)*0.475*44/12</f>
        <v>19.099582782727325</v>
      </c>
      <c r="CM37" s="21">
        <f>EXP(-LN(2)/2)*CM36+(1-EXP(-LN(2)/2))/(LN(2)/2)*CG37*CJ37*VLOOKUP('Données projet'!$B$12,Paramètres!$A$1:$I$89,3,0)*0.475*44/12</f>
        <v>7.575833529042252</v>
      </c>
      <c r="CN37" s="22">
        <f t="shared" si="12"/>
        <v>29.907366821032372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26.8</v>
      </c>
      <c r="N38" s="13">
        <f>IF('Données projet'!$A$36&gt;35,N37+M38-V37,IF(A38&lt;'Données projet'!$A$36,$K$205^A38,IF(A38='Données projet'!$A$36,'Données projet'!$B$36,N37+M38-V37)))</f>
        <v>393.00000000000006</v>
      </c>
      <c r="O38" s="13">
        <f>N38*VLOOKUP('Données projet'!$B$9,Paramètres!$A$1:$I$89,3,0)*VLOOKUP('Données projet'!$B$9,Paramètres!$A$1:$I$89,5,0)</f>
        <v>219.68700000000001</v>
      </c>
      <c r="P38" s="13">
        <f t="shared" si="33"/>
        <v>54.046851081096591</v>
      </c>
      <c r="Q38" s="20">
        <f t="shared" si="53"/>
        <v>476.75312396624321</v>
      </c>
      <c r="R38" s="59">
        <f t="shared" si="0"/>
        <v>770.08645729957652</v>
      </c>
      <c r="S38" s="59">
        <f ca="1">AVERAGE(OFFSET($R$3,0,0,'Données projet'!$E$9+1,1))-AVERAGE(OFFSET($H$3,0,0,'Données projet'!$E$9+1,1))</f>
        <v>415.91544298418842</v>
      </c>
      <c r="T38" s="59">
        <f t="shared" si="34"/>
        <v>422.79312683312583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10.343239954428791</v>
      </c>
      <c r="AA38" s="21">
        <f>EXP(-LN(2)/25)*AA37+(1-EXP(-LN(2)/25))/(LN(2)/25)*Calculateur!V38*Calculateur!X38*VLOOKUP('Données projet'!$B$9,Paramètres!$A$1:$I$89,3,0)*0.475*44/12</f>
        <v>33.742026300004433</v>
      </c>
      <c r="AB38" s="21">
        <f>EXP(-LN(2)/2)*AB37+(1-EXP(-LN(2)/2))/(LN(2)/2)*V38*Y38*VLOOKUP('Données projet'!$B$9,Paramètres!$A$1:$I$89,3,0)*0.475*44/12</f>
        <v>6.4473804249609072</v>
      </c>
      <c r="AC38" s="22">
        <f t="shared" si="3"/>
        <v>50.532646679394126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10.000000000000004</v>
      </c>
      <c r="AI38" s="13">
        <f>IF('Données projet'!$A$62&gt;35,AI37+AH38-AQ37,IF(A38&lt;'Données projet'!$A$62,$AF$205^A38,IF(A38='Données projet'!$A$62,'Données projet'!$B$62,AI37+AH38-AQ37)))</f>
        <v>241.59999999999988</v>
      </c>
      <c r="AJ38" s="13">
        <f>AI38*VLOOKUP('Données projet'!$B$10,Paramètres!$A$1:$I$89,3,0)*VLOOKUP('Données projet'!$B$10,Paramètres!$A$1:$I$89,5,0)</f>
        <v>113.06879999999995</v>
      </c>
      <c r="AK38" s="13">
        <f t="shared" si="35"/>
        <v>30.052855829090237</v>
      </c>
      <c r="AL38" s="20">
        <f t="shared" si="4"/>
        <v>249.27021723566543</v>
      </c>
      <c r="AM38" s="59">
        <f t="shared" si="5"/>
        <v>542.6035505689988</v>
      </c>
      <c r="AN38" s="59">
        <f ca="1">AVERAGE(OFFSET($AM$3,0,0,'Données projet'!$E$10+1,1))-AVERAGE(OFFSET($H$3,0,0,'Données projet'!$E$10+1,1))</f>
        <v>215.23235148064941</v>
      </c>
      <c r="AO38" s="59">
        <f t="shared" si="36"/>
        <v>184.07239726900434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2.8390647343352371</v>
      </c>
      <c r="AV38" s="21">
        <f>EXP(-LN(2)/25)*AV37+(1-EXP(-LN(2)/25))/(LN(2)/25)*Calculateur!AQ38*Calculateur!AS38*VLOOKUP('Données projet'!$B$10,Paramètres!$A$1:$I$89,3,0)*0.475*44/12</f>
        <v>6.8385789183214278</v>
      </c>
      <c r="AW38" s="21">
        <f>EXP(-LN(2)/2)*AW37+(1-EXP(-LN(2)/2))/(LN(2)/2)*AQ38*AT38*VLOOKUP('Données projet'!$B$10,Paramètres!$A$1:$I$89,3,0)*0.475*44/12</f>
        <v>1.738099665760044</v>
      </c>
      <c r="AX38" s="21">
        <f t="shared" si="6"/>
        <v>11.415743318416709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15.1</v>
      </c>
      <c r="BD38" s="12">
        <f>IF('Données projet'!$A$88&gt;35,BD37+BC38-BL37,IF(A38&lt;'Données projet'!$A$88,$BA$205^A38,IF(A38='Données projet'!$A$88,'Données projet'!$B$88,BD37+BC38-BL37)))</f>
        <v>254.5</v>
      </c>
      <c r="BE38" s="13">
        <f>BD38*VLOOKUP('Données projet'!$B$11,Paramètres!$A$1:$I$89,3,0)*VLOOKUP('Données projet'!$B$11,Paramètres!$A$1:$I$89,5,0)</f>
        <v>158.80799999999999</v>
      </c>
      <c r="BF38" s="13">
        <f t="shared" si="37"/>
        <v>40.573539580413687</v>
      </c>
      <c r="BG38" s="20">
        <f t="shared" si="7"/>
        <v>347.25618143588719</v>
      </c>
      <c r="BH38" s="59">
        <f t="shared" si="8"/>
        <v>640.5895147692205</v>
      </c>
      <c r="BI38" s="59">
        <f ca="1">AVERAGE(OFFSET($BH$3,0,0,'Données projet'!$E$11+1,1))-AVERAGE(OFFSET($H$3,0,0,'Données projet'!$E$11+1,1))</f>
        <v>261.27638267284169</v>
      </c>
      <c r="BJ38" s="59">
        <f t="shared" si="38"/>
        <v>297.50513563712764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7.5573440343564231</v>
      </c>
      <c r="BQ38" s="21">
        <f>EXP(-LN(2)/25)*BQ37+(1-EXP(-LN(2)/25))/(LN(2)/25)*Calculateur!BL38*Calculateur!BN38*VLOOKUP('Données projet'!$B$11,Paramètres!$A$1:$I$89,3,0)*0.475*44/12</f>
        <v>24.262129033806566</v>
      </c>
      <c r="BR38" s="21">
        <f>EXP(-LN(2)/2)*BR37+(1-EXP(-LN(2)/2))/(LN(2)/2)*BL38*BO38*VLOOKUP('Données projet'!$B$11,Paramètres!$A$1:$I$89,3,0)*0.475*44/12</f>
        <v>4.3135619304848678</v>
      </c>
      <c r="BS38" s="22">
        <f t="shared" si="9"/>
        <v>36.133034998647858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18.8</v>
      </c>
      <c r="BY38" s="12">
        <f>IF('Données projet'!$A$114&gt;35,BY37+BX38-CG37,IF(A38&lt;'Données projet'!$A$114,$BV$205^A38,IF(A38='Données projet'!$A$114,'Données projet'!$B$114,BY37+BX38-CG37)))</f>
        <v>289.00000000000017</v>
      </c>
      <c r="BZ38" s="13">
        <f>BY38*VLOOKUP('Données projet'!$B$12,Paramètres!$A$1:$I$89,3,0)*VLOOKUP('Données projet'!$B$12,Paramètres!$A$1:$I$89,5,0)</f>
        <v>172.82200000000012</v>
      </c>
      <c r="CA38" s="13">
        <f t="shared" si="39"/>
        <v>43.721450828113497</v>
      </c>
      <c r="CB38" s="20">
        <f t="shared" si="10"/>
        <v>377.14651019229785</v>
      </c>
      <c r="CC38" s="59">
        <f t="shared" si="11"/>
        <v>670.47984352563117</v>
      </c>
      <c r="CD38" s="59">
        <f ca="1">AVERAGE(OFFSET($CC$3,0,0,'Données projet'!$E$12+1,1))-AVERAGE(OFFSET($H$3,0,0,'Données projet'!$E$12+1,1))</f>
        <v>314.69202393413491</v>
      </c>
      <c r="CE38" s="59">
        <f t="shared" si="40"/>
        <v>321.1728368524748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3.1685739310713132</v>
      </c>
      <c r="CL38" s="21">
        <f>EXP(-LN(2)/25)*CL37+(1-EXP(-LN(2)/25))/(LN(2)/25)*Calculateur!CG38*Calculateur!CI38*VLOOKUP('Données projet'!$B$12,Paramètres!$A$1:$I$89,3,0)*0.475*44/12</f>
        <v>18.577303687130239</v>
      </c>
      <c r="CM38" s="21">
        <f>EXP(-LN(2)/2)*CM37+(1-EXP(-LN(2)/2))/(LN(2)/2)*CG38*CJ38*VLOOKUP('Données projet'!$B$12,Paramètres!$A$1:$I$89,3,0)*0.475*44/12</f>
        <v>5.3569232615261901</v>
      </c>
      <c r="CN38" s="22">
        <f t="shared" si="12"/>
        <v>27.102800879727745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26.8</v>
      </c>
      <c r="N39" s="13">
        <f>IF('Données projet'!$A$36&gt;35,N38+M39-V38,IF(A39&lt;'Données projet'!$A$36,$K$205^A39,IF(A39='Données projet'!$A$36,'Données projet'!$B$36,N38+M39-V38)))</f>
        <v>419.80000000000007</v>
      </c>
      <c r="O39" s="13">
        <f>N39*VLOOKUP('Données projet'!$B$9,Paramètres!$A$1:$I$89,3,0)*VLOOKUP('Données projet'!$B$9,Paramètres!$A$1:$I$89,5,0)</f>
        <v>234.66820000000007</v>
      </c>
      <c r="P39" s="13">
        <f t="shared" si="33"/>
        <v>57.290872093206247</v>
      </c>
      <c r="Q39" s="20">
        <f t="shared" si="53"/>
        <v>508.4953838956676</v>
      </c>
      <c r="R39" s="59">
        <f t="shared" si="0"/>
        <v>801.82871722900086</v>
      </c>
      <c r="S39" s="59">
        <f ca="1">AVERAGE(OFFSET($R$3,0,0,'Données projet'!$E$9+1,1))-AVERAGE(OFFSET($H$3,0,0,'Données projet'!$E$9+1,1))</f>
        <v>415.91544298418842</v>
      </c>
      <c r="T39" s="59">
        <f t="shared" si="34"/>
        <v>422.79312683312583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10.140415327675877</v>
      </c>
      <c r="AA39" s="21">
        <f>EXP(-LN(2)/25)*AA38+(1-EXP(-LN(2)/25))/(LN(2)/25)*Calculateur!V39*Calculateur!X39*VLOOKUP('Données projet'!$B$9,Paramètres!$A$1:$I$89,3,0)*0.475*44/12</f>
        <v>32.819348816414767</v>
      </c>
      <c r="AB39" s="21">
        <f>EXP(-LN(2)/2)*AB38+(1-EXP(-LN(2)/2))/(LN(2)/2)*V39*Y39*VLOOKUP('Données projet'!$B$9,Paramètres!$A$1:$I$89,3,0)*0.475*44/12</f>
        <v>4.558986419379262</v>
      </c>
      <c r="AC39" s="22">
        <f t="shared" si="3"/>
        <v>47.518750563469901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10.000000000000004</v>
      </c>
      <c r="AI39" s="13">
        <f>IF('Données projet'!$A$62&gt;35,AI38+AH39-AQ38,IF(A39&lt;'Données projet'!$A$62,$AF$205^A39,IF(A39='Données projet'!$A$62,'Données projet'!$B$62,AI38+AH39-AQ38)))</f>
        <v>251.59999999999988</v>
      </c>
      <c r="AJ39" s="13">
        <f>AI39*VLOOKUP('Données projet'!$B$10,Paramètres!$A$1:$I$89,3,0)*VLOOKUP('Données projet'!$B$10,Paramètres!$A$1:$I$89,5,0)</f>
        <v>117.74879999999995</v>
      </c>
      <c r="AK39" s="13">
        <f t="shared" si="35"/>
        <v>31.149366548366</v>
      </c>
      <c r="AL39" s="20">
        <f t="shared" si="4"/>
        <v>259.33097340507067</v>
      </c>
      <c r="AM39" s="59">
        <f t="shared" si="5"/>
        <v>552.66430673840398</v>
      </c>
      <c r="AN39" s="59">
        <f ca="1">AVERAGE(OFFSET($AM$3,0,0,'Données projet'!$E$10+1,1))-AVERAGE(OFFSET($H$3,0,0,'Données projet'!$E$10+1,1))</f>
        <v>215.23235148064941</v>
      </c>
      <c r="AO39" s="59">
        <f t="shared" si="36"/>
        <v>184.07239726900434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2.7833924065534239</v>
      </c>
      <c r="AV39" s="21">
        <f>EXP(-LN(2)/25)*AV38+(1-EXP(-LN(2)/25))/(LN(2)/25)*Calculateur!AQ39*Calculateur!AS39*VLOOKUP('Données projet'!$B$10,Paramètres!$A$1:$I$89,3,0)*0.475*44/12</f>
        <v>6.6515776181746933</v>
      </c>
      <c r="AW39" s="21">
        <f>EXP(-LN(2)/2)*AW38+(1-EXP(-LN(2)/2))/(LN(2)/2)*AQ39*AT39*VLOOKUP('Données projet'!$B$10,Paramètres!$A$1:$I$89,3,0)*0.475*44/12</f>
        <v>1.229022060036999</v>
      </c>
      <c r="AX39" s="21">
        <f t="shared" si="6"/>
        <v>10.663992084765116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15.1</v>
      </c>
      <c r="BD39" s="12">
        <f>IF('Données projet'!$A$88&gt;35,BD38+BC39-BL38,IF(A39&lt;'Données projet'!$A$88,$BA$205^A39,IF(A39='Données projet'!$A$88,'Données projet'!$B$88,BD38+BC39-BL38)))</f>
        <v>269.60000000000002</v>
      </c>
      <c r="BE39" s="13">
        <f>BD39*VLOOKUP('Données projet'!$B$11,Paramètres!$A$1:$I$89,3,0)*VLOOKUP('Données projet'!$B$11,Paramètres!$A$1:$I$89,5,0)</f>
        <v>168.23040000000003</v>
      </c>
      <c r="BF39" s="13">
        <f t="shared" si="37"/>
        <v>42.693451008292193</v>
      </c>
      <c r="BG39" s="20">
        <f t="shared" si="7"/>
        <v>367.3590405061089</v>
      </c>
      <c r="BH39" s="59">
        <f t="shared" si="8"/>
        <v>660.69237383944221</v>
      </c>
      <c r="BI39" s="59">
        <f ca="1">AVERAGE(OFFSET($BH$3,0,0,'Données projet'!$E$11+1,1))-AVERAGE(OFFSET($H$3,0,0,'Données projet'!$E$11+1,1))</f>
        <v>261.27638267284169</v>
      </c>
      <c r="BJ39" s="59">
        <f t="shared" si="38"/>
        <v>297.50513563712764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7.4091491273674022</v>
      </c>
      <c r="BQ39" s="21">
        <f>EXP(-LN(2)/25)*BQ38+(1-EXP(-LN(2)/25))/(LN(2)/25)*Calculateur!BL39*Calculateur!BN39*VLOOKUP('Données projet'!$B$11,Paramètres!$A$1:$I$89,3,0)*0.475*44/12</f>
        <v>23.598679839487211</v>
      </c>
      <c r="BR39" s="21">
        <f>EXP(-LN(2)/2)*BR38+(1-EXP(-LN(2)/2))/(LN(2)/2)*BL39*BO39*VLOOKUP('Données projet'!$B$11,Paramètres!$A$1:$I$89,3,0)*0.475*44/12</f>
        <v>3.050148892113985</v>
      </c>
      <c r="BS39" s="22">
        <f t="shared" si="9"/>
        <v>34.057977858968599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18.8</v>
      </c>
      <c r="BY39" s="12">
        <f>IF('Données projet'!$A$114&gt;35,BY38+BX39-CG38,IF(A39&lt;'Données projet'!$A$114,$BV$205^A39,IF(A39='Données projet'!$A$114,'Données projet'!$B$114,BY38+BX39-CG38)))</f>
        <v>307.80000000000018</v>
      </c>
      <c r="BZ39" s="13">
        <f>BY39*VLOOKUP('Données projet'!$B$12,Paramètres!$A$1:$I$89,3,0)*VLOOKUP('Données projet'!$B$12,Paramètres!$A$1:$I$89,5,0)</f>
        <v>184.06440000000012</v>
      </c>
      <c r="CA39" s="13">
        <f t="shared" si="39"/>
        <v>46.225261821093866</v>
      </c>
      <c r="CB39" s="20">
        <f t="shared" si="10"/>
        <v>401.08782767173875</v>
      </c>
      <c r="CC39" s="59">
        <f t="shared" si="11"/>
        <v>694.42116100507201</v>
      </c>
      <c r="CD39" s="59">
        <f ca="1">AVERAGE(OFFSET($CC$3,0,0,'Données projet'!$E$12+1,1))-AVERAGE(OFFSET($H$3,0,0,'Données projet'!$E$12+1,1))</f>
        <v>314.69202393413491</v>
      </c>
      <c r="CE39" s="59">
        <f t="shared" si="40"/>
        <v>321.1728368524748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3.1064401289222703</v>
      </c>
      <c r="CL39" s="21">
        <f>EXP(-LN(2)/25)*CL38+(1-EXP(-LN(2)/25))/(LN(2)/25)*Calculateur!CG39*Calculateur!CI39*VLOOKUP('Données projet'!$B$12,Paramètres!$A$1:$I$89,3,0)*0.475*44/12</f>
        <v>18.069306340867723</v>
      </c>
      <c r="CM39" s="21">
        <f>EXP(-LN(2)/2)*CM38+(1-EXP(-LN(2)/2))/(LN(2)/2)*CG39*CJ39*VLOOKUP('Données projet'!$B$12,Paramètres!$A$1:$I$89,3,0)*0.475*44/12</f>
        <v>3.7879167645211265</v>
      </c>
      <c r="CN39" s="22">
        <f t="shared" si="12"/>
        <v>24.96366323431112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26.8</v>
      </c>
      <c r="N40" s="13">
        <f>IF('Données projet'!$A$36&gt;35,N39+M40-V39,IF(A40&lt;'Données projet'!$A$36,$K$205^A40,IF(A40='Données projet'!$A$36,'Données projet'!$B$36,N39+M40-V39)))</f>
        <v>446.60000000000008</v>
      </c>
      <c r="O40" s="13">
        <f>N40*VLOOKUP('Données projet'!$B$9,Paramètres!$A$1:$I$89,3,0)*VLOOKUP('Données projet'!$B$9,Paramètres!$A$1:$I$89,5,0)</f>
        <v>249.64940000000007</v>
      </c>
      <c r="P40" s="13">
        <f t="shared" si="33"/>
        <v>60.510859008247188</v>
      </c>
      <c r="Q40" s="20">
        <f t="shared" si="53"/>
        <v>540.19578443936393</v>
      </c>
      <c r="R40" s="59">
        <f t="shared" si="0"/>
        <v>833.52911777269719</v>
      </c>
      <c r="S40" s="59">
        <f ca="1">AVERAGE(OFFSET($R$3,0,0,'Données projet'!$E$9+1,1))-AVERAGE(OFFSET($H$3,0,0,'Données projet'!$E$9+1,1))</f>
        <v>415.91544298418842</v>
      </c>
      <c r="T40" s="59">
        <f t="shared" si="34"/>
        <v>422.79312683312583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9.9415679681427811</v>
      </c>
      <c r="AA40" s="21">
        <f>EXP(-LN(2)/25)*AA39+(1-EXP(-LN(2)/25))/(LN(2)/25)*Calculateur!V40*Calculateur!X40*VLOOKUP('Données projet'!$B$9,Paramètres!$A$1:$I$89,3,0)*0.475*44/12</f>
        <v>31.921901997135361</v>
      </c>
      <c r="AB40" s="21">
        <f>EXP(-LN(2)/2)*AB39+(1-EXP(-LN(2)/2))/(LN(2)/2)*V40*Y40*VLOOKUP('Données projet'!$B$9,Paramètres!$A$1:$I$89,3,0)*0.475*44/12</f>
        <v>3.2236902124804536</v>
      </c>
      <c r="AC40" s="22">
        <f t="shared" si="3"/>
        <v>45.087160177758598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10.000000000000004</v>
      </c>
      <c r="AI40" s="13">
        <f>IF('Données projet'!$A$62&gt;35,AI39+AH40-AQ39,IF(A40&lt;'Données projet'!$A$62,$AF$205^A40,IF(A40='Données projet'!$A$62,'Données projet'!$B$62,AI39+AH40-AQ39)))</f>
        <v>261.59999999999991</v>
      </c>
      <c r="AJ40" s="13">
        <f>AI40*VLOOKUP('Données projet'!$B$10,Paramètres!$A$1:$I$89,3,0)*VLOOKUP('Données projet'!$B$10,Paramètres!$A$1:$I$89,5,0)</f>
        <v>122.42879999999995</v>
      </c>
      <c r="AK40" s="13">
        <f t="shared" si="35"/>
        <v>32.240814688958388</v>
      </c>
      <c r="AL40" s="20">
        <f t="shared" si="4"/>
        <v>269.38291224993577</v>
      </c>
      <c r="AM40" s="59">
        <f t="shared" si="5"/>
        <v>562.71624558326903</v>
      </c>
      <c r="AN40" s="59">
        <f ca="1">AVERAGE(OFFSET($AM$3,0,0,'Données projet'!$E$10+1,1))-AVERAGE(OFFSET($H$3,0,0,'Données projet'!$E$10+1,1))</f>
        <v>215.23235148064941</v>
      </c>
      <c r="AO40" s="59">
        <f t="shared" si="36"/>
        <v>184.07239726900434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2.7288117791626449</v>
      </c>
      <c r="AV40" s="21">
        <f>EXP(-LN(2)/25)*AV39+(1-EXP(-LN(2)/25))/(LN(2)/25)*Calculateur!AQ40*Calculateur!AS40*VLOOKUP('Données projet'!$B$10,Paramètres!$A$1:$I$89,3,0)*0.475*44/12</f>
        <v>6.4696898784144414</v>
      </c>
      <c r="AW40" s="21">
        <f>EXP(-LN(2)/2)*AW39+(1-EXP(-LN(2)/2))/(LN(2)/2)*AQ40*AT40*VLOOKUP('Données projet'!$B$10,Paramètres!$A$1:$I$89,3,0)*0.475*44/12</f>
        <v>0.86904983288002213</v>
      </c>
      <c r="AX40" s="21">
        <f t="shared" si="6"/>
        <v>10.067551490457108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15.1</v>
      </c>
      <c r="BD40" s="12">
        <f>IF('Données projet'!$A$88&gt;35,BD39+BC40-BL39,IF(A40&lt;'Données projet'!$A$88,$BA$205^A40,IF(A40='Données projet'!$A$88,'Données projet'!$B$88,BD39+BC40-BL39)))</f>
        <v>284.70000000000005</v>
      </c>
      <c r="BE40" s="13">
        <f>BD40*VLOOKUP('Données projet'!$B$11,Paramètres!$A$1:$I$89,3,0)*VLOOKUP('Données projet'!$B$11,Paramètres!$A$1:$I$89,5,0)</f>
        <v>177.65280000000001</v>
      </c>
      <c r="BF40" s="13">
        <f t="shared" si="37"/>
        <v>44.799579155749747</v>
      </c>
      <c r="BG40" s="20">
        <f t="shared" si="7"/>
        <v>387.43789369626415</v>
      </c>
      <c r="BH40" s="59">
        <f t="shared" si="8"/>
        <v>680.77122702959741</v>
      </c>
      <c r="BI40" s="59">
        <f ca="1">AVERAGE(OFFSET($BH$3,0,0,'Données projet'!$E$11+1,1))-AVERAGE(OFFSET($H$3,0,0,'Données projet'!$E$11+1,1))</f>
        <v>261.27638267284169</v>
      </c>
      <c r="BJ40" s="59">
        <f t="shared" si="38"/>
        <v>297.50513563712764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7.2638602321144674</v>
      </c>
      <c r="BQ40" s="21">
        <f>EXP(-LN(2)/25)*BQ39+(1-EXP(-LN(2)/25))/(LN(2)/25)*Calculateur!BL40*Calculateur!BN40*VLOOKUP('Données projet'!$B$11,Paramètres!$A$1:$I$89,3,0)*0.475*44/12</f>
        <v>22.953372698275796</v>
      </c>
      <c r="BR40" s="21">
        <f>EXP(-LN(2)/2)*BR39+(1-EXP(-LN(2)/2))/(LN(2)/2)*BL40*BO40*VLOOKUP('Données projet'!$B$11,Paramètres!$A$1:$I$89,3,0)*0.475*44/12</f>
        <v>2.1567809652424339</v>
      </c>
      <c r="BS40" s="22">
        <f t="shared" si="9"/>
        <v>32.3740138956327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18.8</v>
      </c>
      <c r="BY40" s="12">
        <f>IF('Données projet'!$A$114&gt;35,BY39+BX40-CG39,IF(A40&lt;'Données projet'!$A$114,$BV$205^A40,IF(A40='Données projet'!$A$114,'Données projet'!$B$114,BY39+BX40-CG39)))</f>
        <v>326.60000000000019</v>
      </c>
      <c r="BZ40" s="13">
        <f>BY40*VLOOKUP('Données projet'!$B$12,Paramètres!$A$1:$I$89,3,0)*VLOOKUP('Données projet'!$B$12,Paramètres!$A$1:$I$89,5,0)</f>
        <v>195.30680000000015</v>
      </c>
      <c r="CA40" s="13">
        <f t="shared" si="39"/>
        <v>48.711323321845938</v>
      </c>
      <c r="CB40" s="20">
        <f t="shared" si="10"/>
        <v>424.99823145221518</v>
      </c>
      <c r="CC40" s="59">
        <f t="shared" si="11"/>
        <v>718.33156478554849</v>
      </c>
      <c r="CD40" s="59">
        <f ca="1">AVERAGE(OFFSET($CC$3,0,0,'Données projet'!$E$12+1,1))-AVERAGE(OFFSET($H$3,0,0,'Données projet'!$E$12+1,1))</f>
        <v>314.69202393413491</v>
      </c>
      <c r="CE40" s="59">
        <f t="shared" si="40"/>
        <v>321.1728368524748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3.0455247327354931</v>
      </c>
      <c r="CL40" s="21">
        <f>EXP(-LN(2)/25)*CL39+(1-EXP(-LN(2)/25))/(LN(2)/25)*Calculateur!CG40*Calculateur!CI40*VLOOKUP('Données projet'!$B$12,Paramètres!$A$1:$I$89,3,0)*0.475*44/12</f>
        <v>17.575200208753174</v>
      </c>
      <c r="CM40" s="21">
        <f>EXP(-LN(2)/2)*CM39+(1-EXP(-LN(2)/2))/(LN(2)/2)*CG40*CJ40*VLOOKUP('Données projet'!$B$12,Paramètres!$A$1:$I$89,3,0)*0.475*44/12</f>
        <v>2.6784616307630955</v>
      </c>
      <c r="CN40" s="22">
        <f t="shared" si="12"/>
        <v>23.299186572251763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26.8</v>
      </c>
      <c r="N41" s="13">
        <f>IF('Données projet'!$A$36&gt;35,N40+M41-V40,IF(A41&lt;'Données projet'!$A$36,$K$205^A41,IF(A41='Données projet'!$A$36,'Données projet'!$B$36,N40+M41-V40)))</f>
        <v>473.40000000000009</v>
      </c>
      <c r="O41" s="13">
        <f>N41*VLOOKUP('Données projet'!$B$9,Paramètres!$A$1:$I$89,3,0)*VLOOKUP('Données projet'!$B$9,Paramètres!$A$1:$I$89,5,0)</f>
        <v>264.63060000000007</v>
      </c>
      <c r="P41" s="13">
        <f t="shared" si="33"/>
        <v>63.708418341323984</v>
      </c>
      <c r="Q41" s="20">
        <f t="shared" si="53"/>
        <v>571.8571236111394</v>
      </c>
      <c r="R41" s="59">
        <f t="shared" si="0"/>
        <v>865.19045694447277</v>
      </c>
      <c r="S41" s="59">
        <f ca="1">AVERAGE(OFFSET($R$3,0,0,'Données projet'!$E$9+1,1))-AVERAGE(OFFSET($H$3,0,0,'Données projet'!$E$9+1,1))</f>
        <v>415.91544298418842</v>
      </c>
      <c r="T41" s="59">
        <f t="shared" si="34"/>
        <v>422.79312683312583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9.7466198840452147</v>
      </c>
      <c r="AA41" s="21">
        <f>EXP(-LN(2)/25)*AA40+(1-EXP(-LN(2)/25))/(LN(2)/25)*Calculateur!V41*Calculateur!X41*VLOOKUP('Données projet'!$B$9,Paramètres!$A$1:$I$89,3,0)*0.475*44/12</f>
        <v>31.048995908323828</v>
      </c>
      <c r="AB41" s="21">
        <f>EXP(-LN(2)/2)*AB40+(1-EXP(-LN(2)/2))/(LN(2)/2)*V41*Y41*VLOOKUP('Données projet'!$B$9,Paramètres!$A$1:$I$89,3,0)*0.475*44/12</f>
        <v>2.279493209689631</v>
      </c>
      <c r="AC41" s="22">
        <f t="shared" si="3"/>
        <v>43.075109002058674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10.000000000000004</v>
      </c>
      <c r="AI41" s="13">
        <f>IF('Données projet'!$A$62&gt;35,AI40+AH41-AQ40,IF(A41&lt;'Données projet'!$A$62,$AF$205^A41,IF(A41='Données projet'!$A$62,'Données projet'!$B$62,AI40+AH41-AQ40)))</f>
        <v>271.59999999999991</v>
      </c>
      <c r="AJ41" s="13">
        <f>AI41*VLOOKUP('Données projet'!$B$10,Paramètres!$A$1:$I$89,3,0)*VLOOKUP('Données projet'!$B$10,Paramètres!$A$1:$I$89,5,0)</f>
        <v>127.10879999999996</v>
      </c>
      <c r="AK41" s="13">
        <f t="shared" si="35"/>
        <v>33.32741592766736</v>
      </c>
      <c r="AL41" s="20">
        <f t="shared" si="4"/>
        <v>279.4264094073539</v>
      </c>
      <c r="AM41" s="59">
        <f t="shared" si="5"/>
        <v>572.75974274068722</v>
      </c>
      <c r="AN41" s="59">
        <f ca="1">AVERAGE(OFFSET($AM$3,0,0,'Données projet'!$E$10+1,1))-AVERAGE(OFFSET($H$3,0,0,'Données projet'!$E$10+1,1))</f>
        <v>215.23235148064941</v>
      </c>
      <c r="AO41" s="59">
        <f t="shared" si="36"/>
        <v>184.07239726900434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2.6753014445841039</v>
      </c>
      <c r="AV41" s="21">
        <f>EXP(-LN(2)/25)*AV40+(1-EXP(-LN(2)/25))/(LN(2)/25)*Calculateur!AQ41*Calculateur!AS41*VLOOKUP('Données projet'!$B$10,Paramètres!$A$1:$I$89,3,0)*0.475*44/12</f>
        <v>6.2927758684629946</v>
      </c>
      <c r="AW41" s="21">
        <f>EXP(-LN(2)/2)*AW40+(1-EXP(-LN(2)/2))/(LN(2)/2)*AQ41*AT41*VLOOKUP('Données projet'!$B$10,Paramètres!$A$1:$I$89,3,0)*0.475*44/12</f>
        <v>0.61451103001849949</v>
      </c>
      <c r="AX41" s="21">
        <f t="shared" si="6"/>
        <v>9.5825883430655985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15.1</v>
      </c>
      <c r="BD41" s="12">
        <f>IF('Données projet'!$A$88&gt;35,BD40+BC41-BL40,IF(A41&lt;'Données projet'!$A$88,$BA$205^A41,IF(A41='Données projet'!$A$88,'Données projet'!$B$88,BD40+BC41-BL40)))</f>
        <v>299.80000000000007</v>
      </c>
      <c r="BE41" s="13">
        <f>BD41*VLOOKUP('Données projet'!$B$11,Paramètres!$A$1:$I$89,3,0)*VLOOKUP('Données projet'!$B$11,Paramètres!$A$1:$I$89,5,0)</f>
        <v>187.07520000000005</v>
      </c>
      <c r="BF41" s="13">
        <f t="shared" si="37"/>
        <v>46.892738426785456</v>
      </c>
      <c r="BG41" s="20">
        <f t="shared" si="7"/>
        <v>407.49415942665138</v>
      </c>
      <c r="BH41" s="59">
        <f t="shared" si="8"/>
        <v>700.82749275998469</v>
      </c>
      <c r="BI41" s="59">
        <f ca="1">AVERAGE(OFFSET($BH$3,0,0,'Données projet'!$E$11+1,1))-AVERAGE(OFFSET($H$3,0,0,'Données projet'!$E$11+1,1))</f>
        <v>261.27638267284169</v>
      </c>
      <c r="BJ41" s="59">
        <f t="shared" si="38"/>
        <v>297.50513563712764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7.1214203634799667</v>
      </c>
      <c r="BQ41" s="21">
        <f>EXP(-LN(2)/25)*BQ40+(1-EXP(-LN(2)/25))/(LN(2)/25)*Calculateur!BL41*Calculateur!BN41*VLOOKUP('Données projet'!$B$11,Paramètres!$A$1:$I$89,3,0)*0.475*44/12</f>
        <v>22.325711514776035</v>
      </c>
      <c r="BR41" s="21">
        <f>EXP(-LN(2)/2)*BR40+(1-EXP(-LN(2)/2))/(LN(2)/2)*BL41*BO41*VLOOKUP('Données projet'!$B$11,Paramètres!$A$1:$I$89,3,0)*0.475*44/12</f>
        <v>1.5250744460569925</v>
      </c>
      <c r="BS41" s="22">
        <f t="shared" si="9"/>
        <v>30.972206324312996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18.8</v>
      </c>
      <c r="BY41" s="12">
        <f>IF('Données projet'!$A$114&gt;35,BY40+BX41-CG40,IF(A41&lt;'Données projet'!$A$114,$BV$205^A41,IF(A41='Données projet'!$A$114,'Données projet'!$B$114,BY40+BX41-CG40)))</f>
        <v>345.4000000000002</v>
      </c>
      <c r="BZ41" s="13">
        <f>BY41*VLOOKUP('Données projet'!$B$12,Paramètres!$A$1:$I$89,3,0)*VLOOKUP('Données projet'!$B$12,Paramètres!$A$1:$I$89,5,0)</f>
        <v>206.54920000000013</v>
      </c>
      <c r="CA41" s="13">
        <f t="shared" si="39"/>
        <v>51.180773446917421</v>
      </c>
      <c r="CB41" s="20">
        <f t="shared" si="10"/>
        <v>448.87970375338136</v>
      </c>
      <c r="CC41" s="59">
        <f t="shared" si="11"/>
        <v>742.21303708671462</v>
      </c>
      <c r="CD41" s="59">
        <f ca="1">AVERAGE(OFFSET($CC$3,0,0,'Données projet'!$E$12+1,1))-AVERAGE(OFFSET($H$3,0,0,'Données projet'!$E$12+1,1))</f>
        <v>314.69202393413491</v>
      </c>
      <c r="CE41" s="59">
        <f t="shared" si="40"/>
        <v>321.1728368524748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2.9858038503132156</v>
      </c>
      <c r="CL41" s="21">
        <f>EXP(-LN(2)/25)*CL40+(1-EXP(-LN(2)/25))/(LN(2)/25)*Calculateur!CG41*Calculateur!CI41*VLOOKUP('Données projet'!$B$12,Paramètres!$A$1:$I$89,3,0)*0.475*44/12</f>
        <v>17.094605434805207</v>
      </c>
      <c r="CM41" s="21">
        <f>EXP(-LN(2)/2)*CM40+(1-EXP(-LN(2)/2))/(LN(2)/2)*CG41*CJ41*VLOOKUP('Données projet'!$B$12,Paramètres!$A$1:$I$89,3,0)*0.475*44/12</f>
        <v>1.8939583822605635</v>
      </c>
      <c r="CN41" s="22">
        <f t="shared" si="12"/>
        <v>21.974367667378985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26.8</v>
      </c>
      <c r="N42" s="13">
        <f>IF('Données projet'!$A$36&gt;35,N41+M42-V41,IF(A42&lt;'Données projet'!$A$36,$K$205^A42,IF(A42='Données projet'!$A$36,'Données projet'!$B$36,N41+M42-V41)))</f>
        <v>500.2000000000001</v>
      </c>
      <c r="O42" s="13">
        <f>N42*VLOOKUP('Données projet'!$B$9,Paramètres!$A$1:$I$89,3,0)*VLOOKUP('Données projet'!$B$9,Paramètres!$A$1:$I$89,5,0)</f>
        <v>279.61180000000007</v>
      </c>
      <c r="P42" s="13">
        <f t="shared" si="33"/>
        <v>66.884964438617615</v>
      </c>
      <c r="Q42" s="20">
        <f t="shared" si="53"/>
        <v>603.48186473059241</v>
      </c>
      <c r="R42" s="59">
        <f t="shared" si="0"/>
        <v>896.81519806392566</v>
      </c>
      <c r="S42" s="59">
        <f ca="1">AVERAGE(OFFSET($R$3,0,0,'Données projet'!$E$9+1,1))-AVERAGE(OFFSET($H$3,0,0,'Données projet'!$E$9+1,1))</f>
        <v>415.91544298418842</v>
      </c>
      <c r="T42" s="59">
        <f t="shared" si="34"/>
        <v>422.79312683312583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9.5554946129702127</v>
      </c>
      <c r="AA42" s="21">
        <f>EXP(-LN(2)/25)*AA41+(1-EXP(-LN(2)/25))/(LN(2)/25)*Calculateur!V42*Calculateur!X42*VLOOKUP('Données projet'!$B$9,Paramètres!$A$1:$I$89,3,0)*0.475*44/12</f>
        <v>30.199959482414982</v>
      </c>
      <c r="AB42" s="21">
        <f>EXP(-LN(2)/2)*AB41+(1-EXP(-LN(2)/2))/(LN(2)/2)*V42*Y42*VLOOKUP('Données projet'!$B$9,Paramètres!$A$1:$I$89,3,0)*0.475*44/12</f>
        <v>1.6118451062402268</v>
      </c>
      <c r="AC42" s="22">
        <f t="shared" si="3"/>
        <v>41.367299201625421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10.000000000000004</v>
      </c>
      <c r="AI42" s="13">
        <f>IF('Données projet'!$A$62&gt;35,AI41+AH42-AQ41,IF(A42&lt;'Données projet'!$A$62,$AF$205^A42,IF(A42='Données projet'!$A$62,'Données projet'!$B$62,AI41+AH42-AQ41)))</f>
        <v>281.59999999999991</v>
      </c>
      <c r="AJ42" s="13">
        <f>AI42*VLOOKUP('Données projet'!$B$10,Paramètres!$A$1:$I$89,3,0)*VLOOKUP('Données projet'!$B$10,Paramètres!$A$1:$I$89,5,0)</f>
        <v>131.78879999999995</v>
      </c>
      <c r="AK42" s="13">
        <f t="shared" si="35"/>
        <v>34.409369159409614</v>
      </c>
      <c r="AL42" s="20">
        <f t="shared" si="4"/>
        <v>289.46181128597163</v>
      </c>
      <c r="AM42" s="59">
        <f t="shared" si="5"/>
        <v>582.79514461930489</v>
      </c>
      <c r="AN42" s="59">
        <f ca="1">AVERAGE(OFFSET($AM$3,0,0,'Données projet'!$E$10+1,1))-AVERAGE(OFFSET($H$3,0,0,'Données projet'!$E$10+1,1))</f>
        <v>215.23235148064941</v>
      </c>
      <c r="AO42" s="59">
        <f t="shared" si="36"/>
        <v>184.07239726900434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2.6228404150285667</v>
      </c>
      <c r="AV42" s="21">
        <f>EXP(-LN(2)/25)*AV41+(1-EXP(-LN(2)/25))/(LN(2)/25)*Calculateur!AQ42*Calculateur!AS42*VLOOKUP('Données projet'!$B$10,Paramètres!$A$1:$I$89,3,0)*0.475*44/12</f>
        <v>6.1206995814171732</v>
      </c>
      <c r="AW42" s="21">
        <f>EXP(-LN(2)/2)*AW41+(1-EXP(-LN(2)/2))/(LN(2)/2)*AQ42*AT42*VLOOKUP('Données projet'!$B$10,Paramètres!$A$1:$I$89,3,0)*0.475*44/12</f>
        <v>0.43452491644001107</v>
      </c>
      <c r="AX42" s="21">
        <f t="shared" si="6"/>
        <v>9.1780649128857519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15.1</v>
      </c>
      <c r="BD42" s="12">
        <f>IF('Données projet'!$A$88&gt;35,BD41+BC42-BL41,IF(A42&lt;'Données projet'!$A$88,$BA$205^A42,IF(A42='Données projet'!$A$88,'Données projet'!$B$88,BD41+BC42-BL41)))</f>
        <v>314.90000000000009</v>
      </c>
      <c r="BE42" s="13">
        <f>BD42*VLOOKUP('Données projet'!$B$11,Paramètres!$A$1:$I$89,3,0)*VLOOKUP('Données projet'!$B$11,Paramètres!$A$1:$I$89,5,0)</f>
        <v>196.49760000000006</v>
      </c>
      <c r="BF42" s="13">
        <f t="shared" si="37"/>
        <v>48.973656553237205</v>
      </c>
      <c r="BG42" s="20">
        <f t="shared" si="7"/>
        <v>427.5291051635549</v>
      </c>
      <c r="BH42" s="59">
        <f t="shared" si="8"/>
        <v>720.86243849688822</v>
      </c>
      <c r="BI42" s="59">
        <f ca="1">AVERAGE(OFFSET($BH$3,0,0,'Données projet'!$E$11+1,1))-AVERAGE(OFFSET($H$3,0,0,'Données projet'!$E$11+1,1))</f>
        <v>261.27638267284169</v>
      </c>
      <c r="BJ42" s="59">
        <f t="shared" si="38"/>
        <v>297.50513563712764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6.9817736537896478</v>
      </c>
      <c r="BQ42" s="21">
        <f>EXP(-LN(2)/25)*BQ41+(1-EXP(-LN(2)/25))/(LN(2)/25)*Calculateur!BL42*Calculateur!BN42*VLOOKUP('Données projet'!$B$11,Paramètres!$A$1:$I$89,3,0)*0.475*44/12</f>
        <v>21.715213759346341</v>
      </c>
      <c r="BR42" s="21">
        <f>EXP(-LN(2)/2)*BR41+(1-EXP(-LN(2)/2))/(LN(2)/2)*BL42*BO42*VLOOKUP('Données projet'!$B$11,Paramètres!$A$1:$I$89,3,0)*0.475*44/12</f>
        <v>1.078390482621217</v>
      </c>
      <c r="BS42" s="22">
        <f t="shared" si="9"/>
        <v>29.775377895757206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18.8</v>
      </c>
      <c r="BY42" s="12">
        <f>IF('Données projet'!$A$114&gt;35,BY41+BX42-CG41,IF(A42&lt;'Données projet'!$A$114,$BV$205^A42,IF(A42='Données projet'!$A$114,'Données projet'!$B$114,BY41+BX42-CG41)))</f>
        <v>364.20000000000022</v>
      </c>
      <c r="BZ42" s="13">
        <f>BY42*VLOOKUP('Données projet'!$B$12,Paramètres!$A$1:$I$89,3,0)*VLOOKUP('Données projet'!$B$12,Paramètres!$A$1:$I$89,5,0)</f>
        <v>217.79160000000013</v>
      </c>
      <c r="CA42" s="13">
        <f t="shared" si="39"/>
        <v>53.634619420976733</v>
      </c>
      <c r="CB42" s="20">
        <f t="shared" si="10"/>
        <v>472.73399882486802</v>
      </c>
      <c r="CC42" s="59">
        <f t="shared" si="11"/>
        <v>766.06733215820134</v>
      </c>
      <c r="CD42" s="59">
        <f ca="1">AVERAGE(OFFSET($CC$3,0,0,'Données projet'!$E$12+1,1))-AVERAGE(OFFSET($H$3,0,0,'Données projet'!$E$12+1,1))</f>
        <v>314.69202393413491</v>
      </c>
      <c r="CE42" s="59">
        <f t="shared" si="40"/>
        <v>321.1728368524748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2.9272540579690975</v>
      </c>
      <c r="CL42" s="21">
        <f>EXP(-LN(2)/25)*CL41+(1-EXP(-LN(2)/25))/(LN(2)/25)*Calculateur!CG42*Calculateur!CI42*VLOOKUP('Données projet'!$B$12,Paramètres!$A$1:$I$89,3,0)*0.475*44/12</f>
        <v>16.627152550224228</v>
      </c>
      <c r="CM42" s="21">
        <f>EXP(-LN(2)/2)*CM41+(1-EXP(-LN(2)/2))/(LN(2)/2)*CG42*CJ42*VLOOKUP('Données projet'!$B$12,Paramètres!$A$1:$I$89,3,0)*0.475*44/12</f>
        <v>1.3392308153815478</v>
      </c>
      <c r="CN42" s="22">
        <f t="shared" si="12"/>
        <v>20.893637423574873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527</v>
      </c>
      <c r="L43" s="12">
        <f>VLOOKUP(A43,'Données projet'!$A$35:$I$55,9,0)</f>
        <v>26.8</v>
      </c>
      <c r="M43" s="12">
        <f t="array" ref="M43">INDEX(L:L,MIN(IF(ISNUMBER(L43:L239),ROW(L43:L239),"")))</f>
        <v>26.8</v>
      </c>
      <c r="N43" s="13">
        <f>IF('Données projet'!$A$36&gt;35,N42+M43-V42,IF(A43&lt;'Données projet'!$A$36,$K$205^A43,IF(A43='Données projet'!$A$36,'Données projet'!$B$36,N42+M43-V42)))</f>
        <v>527.00000000000011</v>
      </c>
      <c r="O43" s="13">
        <f>N43*VLOOKUP('Données projet'!$B$9,Paramètres!$A$1:$I$89,3,0)*VLOOKUP('Données projet'!$B$9,Paramètres!$A$1:$I$89,5,0)</f>
        <v>294.59300000000007</v>
      </c>
      <c r="P43" s="13">
        <f t="shared" si="33"/>
        <v>70.041751529321004</v>
      </c>
      <c r="Q43" s="20">
        <f t="shared" si="53"/>
        <v>635.07219224690084</v>
      </c>
      <c r="R43" s="59">
        <f t="shared" si="0"/>
        <v>928.4055255802341</v>
      </c>
      <c r="S43" s="59">
        <f ca="1">AVERAGE(OFFSET($R$3,0,0,'Données projet'!$E$9+1,1))-AVERAGE(OFFSET($H$3,0,0,'Données projet'!$E$9+1,1))</f>
        <v>415.91544298418842</v>
      </c>
      <c r="T43" s="59">
        <f t="shared" si="34"/>
        <v>422.79312683312583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140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9.3681171918860855</v>
      </c>
      <c r="AA43" s="21">
        <f>EXP(-LN(2)/25)*AA42+(1-EXP(-LN(2)/25))/(LN(2)/25)*Calculateur!V43*Calculateur!X43*VLOOKUP('Données projet'!$B$9,Paramètres!$A$1:$I$89,3,0)*0.475*44/12</f>
        <v>29.374140002221498</v>
      </c>
      <c r="AB43" s="21">
        <f>EXP(-LN(2)/2)*AB42+(1-EXP(-LN(2)/2))/(LN(2)/2)*V43*Y43*VLOOKUP('Données projet'!$B$9,Paramètres!$A$1:$I$89,3,0)*0.475*44/12</f>
        <v>1.1397466048448155</v>
      </c>
      <c r="AC43" s="22">
        <f t="shared" si="3"/>
        <v>39.882003798952397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291.60000000000002</v>
      </c>
      <c r="AG43" s="12">
        <f>VLOOKUP(A43,'Données projet'!$A$61:$I$81,9,0)</f>
        <v>10.000000000000004</v>
      </c>
      <c r="AH43" s="12">
        <f t="array" ref="AH43">INDEX(AG:AG,MIN(IF(ISNUMBER(AG43:AG239),ROW(AG43:AG239),"")))</f>
        <v>10.000000000000004</v>
      </c>
      <c r="AI43" s="13">
        <f>IF('Données projet'!$A$62&gt;35,AI42+AH43-AQ42,IF(A43&lt;'Données projet'!$A$62,$AF$205^A43,IF(A43='Données projet'!$A$62,'Données projet'!$B$62,AI42+AH43-AQ42)))</f>
        <v>291.59999999999991</v>
      </c>
      <c r="AJ43" s="13">
        <f>AI43*VLOOKUP('Données projet'!$B$10,Paramètres!$A$1:$I$89,3,0)*VLOOKUP('Données projet'!$B$10,Paramètres!$A$1:$I$89,5,0)</f>
        <v>136.46879999999996</v>
      </c>
      <c r="AK43" s="13">
        <f t="shared" si="35"/>
        <v>35.486858352195874</v>
      </c>
      <c r="AL43" s="20">
        <f t="shared" si="4"/>
        <v>299.48943829674107</v>
      </c>
      <c r="AM43" s="59">
        <f t="shared" si="5"/>
        <v>592.82277163007439</v>
      </c>
      <c r="AN43" s="59">
        <f ca="1">AVERAGE(OFFSET($AM$3,0,0,'Données projet'!$E$10+1,1))-AVERAGE(OFFSET($H$3,0,0,'Données projet'!$E$10+1,1))</f>
        <v>215.23235148064941</v>
      </c>
      <c r="AO43" s="59">
        <f t="shared" si="36"/>
        <v>184.07239726900434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83.4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2.5714081142645449</v>
      </c>
      <c r="AV43" s="21">
        <f>EXP(-LN(2)/25)*AV42+(1-EXP(-LN(2)/25))/(LN(2)/25)*Calculateur!AQ43*Calculateur!AS43*VLOOKUP('Données projet'!$B$10,Paramètres!$A$1:$I$89,3,0)*0.475*44/12</f>
        <v>5.9533287294897184</v>
      </c>
      <c r="AW43" s="21">
        <f>EXP(-LN(2)/2)*AW42+(1-EXP(-LN(2)/2))/(LN(2)/2)*AQ43*AT43*VLOOKUP('Données projet'!$B$10,Paramètres!$A$1:$I$89,3,0)*0.475*44/12</f>
        <v>0.30725551500924975</v>
      </c>
      <c r="AX43" s="21">
        <f t="shared" si="6"/>
        <v>8.8319923587635127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330</v>
      </c>
      <c r="BB43" s="12">
        <f>VLOOKUP(A43,'Données projet'!$A$87:$I$107,9,0)</f>
        <v>15.1</v>
      </c>
      <c r="BC43" s="12">
        <f t="array" ref="BC43">INDEX(BB:BB,MIN(IF(ISNUMBER(BB43:BB239),ROW(BB43:BB239),"")))</f>
        <v>15.1</v>
      </c>
      <c r="BD43" s="12">
        <f>IF('Données projet'!$A$88&gt;35,BD42+BC43-BL42,IF(A43&lt;'Données projet'!$A$88,$BA$205^A43,IF(A43='Données projet'!$A$88,'Données projet'!$B$88,BD42+BC43-BL42)))</f>
        <v>330.00000000000011</v>
      </c>
      <c r="BE43" s="13">
        <f>BD43*VLOOKUP('Données projet'!$B$11,Paramètres!$A$1:$I$89,3,0)*VLOOKUP('Données projet'!$B$11,Paramètres!$A$1:$I$89,5,0)</f>
        <v>205.9200000000001</v>
      </c>
      <c r="BF43" s="13">
        <f t="shared" si="37"/>
        <v>51.042987531485686</v>
      </c>
      <c r="BG43" s="20">
        <f t="shared" si="7"/>
        <v>447.54386995067108</v>
      </c>
      <c r="BH43" s="59">
        <f t="shared" si="8"/>
        <v>740.87720328400439</v>
      </c>
      <c r="BI43" s="59">
        <f ca="1">AVERAGE(OFFSET($BH$3,0,0,'Données projet'!$E$11+1,1))-AVERAGE(OFFSET($H$3,0,0,'Données projet'!$E$11+1,1))</f>
        <v>261.27638267284169</v>
      </c>
      <c r="BJ43" s="59">
        <f t="shared" si="38"/>
        <v>297.50513563712764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82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6.8448653309002738</v>
      </c>
      <c r="BQ43" s="21">
        <f>EXP(-LN(2)/25)*BQ42+(1-EXP(-LN(2)/25))/(LN(2)/25)*Calculateur!BL43*Calculateur!BN43*VLOOKUP('Données projet'!$B$11,Paramètres!$A$1:$I$89,3,0)*0.475*44/12</f>
        <v>21.121410097143553</v>
      </c>
      <c r="BR43" s="21">
        <f>EXP(-LN(2)/2)*BR42+(1-EXP(-LN(2)/2))/(LN(2)/2)*BL43*BO43*VLOOKUP('Données projet'!$B$11,Paramètres!$A$1:$I$89,3,0)*0.475*44/12</f>
        <v>0.76253722302849625</v>
      </c>
      <c r="BS43" s="22">
        <f t="shared" si="9"/>
        <v>28.728812651072321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383</v>
      </c>
      <c r="BW43" s="12">
        <f>VLOOKUP(A43,'Données projet'!$A$113:$I$133,9,0)</f>
        <v>18.8</v>
      </c>
      <c r="BX43" s="12">
        <f t="array" ref="BX43">INDEX(BW:BW,MIN(IF(ISNUMBER(BW43:BW239),ROW(BW43:BW239),"")))</f>
        <v>18.8</v>
      </c>
      <c r="BY43" s="12">
        <f>IF('Données projet'!$A$114&gt;35,BY42+BX43-CG42,IF(A43&lt;'Données projet'!$A$114,$BV$205^A43,IF(A43='Données projet'!$A$114,'Données projet'!$B$114,BY42+BX43-CG42)))</f>
        <v>383.00000000000023</v>
      </c>
      <c r="BZ43" s="13">
        <f>BY43*VLOOKUP('Données projet'!$B$12,Paramètres!$A$1:$I$89,3,0)*VLOOKUP('Données projet'!$B$12,Paramètres!$A$1:$I$89,5,0)</f>
        <v>229.03400000000016</v>
      </c>
      <c r="CA43" s="13">
        <f t="shared" si="39"/>
        <v>56.073758609460775</v>
      </c>
      <c r="CB43" s="20">
        <f t="shared" si="10"/>
        <v>496.56267957814447</v>
      </c>
      <c r="CC43" s="59">
        <f t="shared" si="11"/>
        <v>789.89601291147778</v>
      </c>
      <c r="CD43" s="59">
        <f ca="1">AVERAGE(OFFSET($CC$3,0,0,'Données projet'!$E$12+1,1))-AVERAGE(OFFSET($H$3,0,0,'Données projet'!$E$12+1,1))</f>
        <v>314.69202393413491</v>
      </c>
      <c r="CE43" s="59">
        <f t="shared" si="40"/>
        <v>321.1728368524748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98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2.8698523913410003</v>
      </c>
      <c r="CL43" s="21">
        <f>EXP(-LN(2)/25)*CL42+(1-EXP(-LN(2)/25))/(LN(2)/25)*Calculateur!CG43*Calculateur!CI43*VLOOKUP('Données projet'!$B$12,Paramètres!$A$1:$I$89,3,0)*0.475*44/12</f>
        <v>16.172482189354394</v>
      </c>
      <c r="CM43" s="21">
        <f>EXP(-LN(2)/2)*CM42+(1-EXP(-LN(2)/2))/(LN(2)/2)*CG43*CJ43*VLOOKUP('Données projet'!$B$12,Paramètres!$A$1:$I$89,3,0)*0.475*44/12</f>
        <v>0.94697919113028173</v>
      </c>
      <c r="CN43" s="22">
        <f t="shared" si="12"/>
        <v>19.989313771825678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22.8</v>
      </c>
      <c r="N44" s="13">
        <f>IF('Données projet'!$A$36&gt;35,N43+M44-V43,IF(A44&lt;'Données projet'!$A$36,$K$205^A44,IF(A44='Données projet'!$A$36,'Données projet'!$B$36,N43+M44-V43)))</f>
        <v>409.80000000000007</v>
      </c>
      <c r="O44" s="13">
        <f>N44*VLOOKUP('Données projet'!$B$9,Paramètres!$A$1:$I$89,3,0)*VLOOKUP('Données projet'!$B$9,Paramètres!$A$1:$I$89,5,0)</f>
        <v>229.07820000000004</v>
      </c>
      <c r="P44" s="13">
        <f t="shared" si="33"/>
        <v>56.083320258718402</v>
      </c>
      <c r="Q44" s="20">
        <f t="shared" si="53"/>
        <v>496.65631445060126</v>
      </c>
      <c r="R44" s="59">
        <f t="shared" si="0"/>
        <v>789.98964778393452</v>
      </c>
      <c r="S44" s="59">
        <f ca="1">AVERAGE(OFFSET($R$3,0,0,'Données projet'!$E$9+1,1))-AVERAGE(OFFSET($H$3,0,0,'Données projet'!$E$9+1,1))</f>
        <v>415.91544298418842</v>
      </c>
      <c r="T44" s="59">
        <f t="shared" si="34"/>
        <v>422.79312683312583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9.1844141277404763</v>
      </c>
      <c r="AA44" s="21">
        <f>EXP(-LN(2)/25)*AA43+(1-EXP(-LN(2)/25))/(LN(2)/25)*Calculateur!V44*Calculateur!X44*VLOOKUP('Données projet'!$B$9,Paramètres!$A$1:$I$89,3,0)*0.475*44/12</f>
        <v>28.570902599141863</v>
      </c>
      <c r="AB44" s="21">
        <f>EXP(-LN(2)/2)*AB43+(1-EXP(-LN(2)/2))/(LN(2)/2)*V44*Y44*VLOOKUP('Données projet'!$B$9,Paramètres!$A$1:$I$89,3,0)*0.475*44/12</f>
        <v>0.80592255312011341</v>
      </c>
      <c r="AC44" s="22">
        <f t="shared" si="3"/>
        <v>38.561239280002454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11.499999999999996</v>
      </c>
      <c r="AI44" s="13">
        <f>IF('Données projet'!$A$62&gt;35,AI43+AH44-AQ43,IF(A44&lt;'Données projet'!$A$62,$AF$205^A44,IF(A44='Données projet'!$A$62,'Données projet'!$B$62,AI43+AH44-AQ43)))</f>
        <v>219.6999999999999</v>
      </c>
      <c r="AJ44" s="13">
        <f>AI44*VLOOKUP('Données projet'!$B$10,Paramètres!$A$1:$I$89,3,0)*VLOOKUP('Données projet'!$B$10,Paramètres!$A$1:$I$89,5,0)</f>
        <v>102.81959999999995</v>
      </c>
      <c r="AK44" s="13">
        <f t="shared" si="35"/>
        <v>27.632637448562328</v>
      </c>
      <c r="AL44" s="20">
        <f t="shared" si="4"/>
        <v>227.20431355624598</v>
      </c>
      <c r="AM44" s="59">
        <f t="shared" si="5"/>
        <v>520.53764688957926</v>
      </c>
      <c r="AN44" s="59">
        <f ca="1">AVERAGE(OFFSET($AM$3,0,0,'Données projet'!$E$10+1,1))-AVERAGE(OFFSET($H$3,0,0,'Données projet'!$E$10+1,1))</f>
        <v>215.23235148064941</v>
      </c>
      <c r="AO44" s="59">
        <f t="shared" si="36"/>
        <v>184.07239726900434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2.5209843695478997</v>
      </c>
      <c r="AV44" s="21">
        <f>EXP(-LN(2)/25)*AV43+(1-EXP(-LN(2)/25))/(LN(2)/25)*Calculateur!AQ44*Calculateur!AS44*VLOOKUP('Données projet'!$B$10,Paramètres!$A$1:$I$89,3,0)*0.475*44/12</f>
        <v>5.7905346423098703</v>
      </c>
      <c r="AW44" s="21">
        <f>EXP(-LN(2)/2)*AW43+(1-EXP(-LN(2)/2))/(LN(2)/2)*AQ44*AT44*VLOOKUP('Données projet'!$B$10,Paramètres!$A$1:$I$89,3,0)*0.475*44/12</f>
        <v>0.21726245822000553</v>
      </c>
      <c r="AX44" s="21">
        <f t="shared" si="6"/>
        <v>8.5287814700777762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12.4</v>
      </c>
      <c r="BD44" s="12">
        <f>IF('Données projet'!$A$88&gt;35,BD43+BC44-BL43,IF(A44&lt;'Données projet'!$A$88,$BA$205^A44,IF(A44='Données projet'!$A$88,'Données projet'!$B$88,BD43+BC44-BL43)))</f>
        <v>260.40000000000009</v>
      </c>
      <c r="BE44" s="13">
        <f>BD44*VLOOKUP('Données projet'!$B$11,Paramètres!$A$1:$I$89,3,0)*VLOOKUP('Données projet'!$B$11,Paramètres!$A$1:$I$89,5,0)</f>
        <v>162.48960000000005</v>
      </c>
      <c r="BF44" s="13">
        <f t="shared" si="37"/>
        <v>41.403546033820696</v>
      </c>
      <c r="BG44" s="20">
        <f t="shared" si="7"/>
        <v>355.11389600890448</v>
      </c>
      <c r="BH44" s="59">
        <f t="shared" si="8"/>
        <v>648.44722934223773</v>
      </c>
      <c r="BI44" s="59">
        <f ca="1">AVERAGE(OFFSET($BH$3,0,0,'Données projet'!$E$11+1,1))-AVERAGE(OFFSET($H$3,0,0,'Données projet'!$E$11+1,1))</f>
        <v>261.27638267284169</v>
      </c>
      <c r="BJ44" s="59">
        <f t="shared" si="38"/>
        <v>297.50513563712764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6.7106416967169285</v>
      </c>
      <c r="BQ44" s="21">
        <f>EXP(-LN(2)/25)*BQ43+(1-EXP(-LN(2)/25))/(LN(2)/25)*Calculateur!BL44*Calculateur!BN44*VLOOKUP('Données projet'!$B$11,Paramètres!$A$1:$I$89,3,0)*0.475*44/12</f>
        <v>20.543844027310477</v>
      </c>
      <c r="BR44" s="21">
        <f>EXP(-LN(2)/2)*BR43+(1-EXP(-LN(2)/2))/(LN(2)/2)*BL44*BO44*VLOOKUP('Données projet'!$B$11,Paramètres!$A$1:$I$89,3,0)*0.475*44/12</f>
        <v>0.53919524131060848</v>
      </c>
      <c r="BS44" s="22">
        <f t="shared" si="9"/>
        <v>27.793680965338012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17.100000000000001</v>
      </c>
      <c r="BY44" s="12">
        <f>IF('Données projet'!$A$114&gt;35,BY43+BX44-CG43,IF(A44&lt;'Données projet'!$A$114,$BV$205^A44,IF(A44='Données projet'!$A$114,'Données projet'!$B$114,BY43+BX44-CG43)))</f>
        <v>302.10000000000025</v>
      </c>
      <c r="BZ44" s="13">
        <f>BY44*VLOOKUP('Données projet'!$B$12,Paramètres!$A$1:$I$89,3,0)*VLOOKUP('Données projet'!$B$12,Paramètres!$A$1:$I$89,5,0)</f>
        <v>180.65580000000017</v>
      </c>
      <c r="CA44" s="13">
        <f t="shared" si="39"/>
        <v>45.468058688378271</v>
      </c>
      <c r="CB44" s="20">
        <f t="shared" si="10"/>
        <v>393.83238721559246</v>
      </c>
      <c r="CC44" s="59">
        <f t="shared" si="11"/>
        <v>687.16572054892572</v>
      </c>
      <c r="CD44" s="59">
        <f ca="1">AVERAGE(OFFSET($CC$3,0,0,'Données projet'!$E$12+1,1))-AVERAGE(OFFSET($H$3,0,0,'Données projet'!$E$12+1,1))</f>
        <v>314.69202393413491</v>
      </c>
      <c r="CE44" s="59">
        <f t="shared" si="40"/>
        <v>321.1728368524748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2.8135763363839206</v>
      </c>
      <c r="CL44" s="21">
        <f>EXP(-LN(2)/25)*CL43+(1-EXP(-LN(2)/25))/(LN(2)/25)*Calculateur!CG44*Calculateur!CI44*VLOOKUP('Données projet'!$B$12,Paramètres!$A$1:$I$89,3,0)*0.475*44/12</f>
        <v>15.730244813412622</v>
      </c>
      <c r="CM44" s="21">
        <f>EXP(-LN(2)/2)*CM43+(1-EXP(-LN(2)/2))/(LN(2)/2)*CG44*CJ44*VLOOKUP('Données projet'!$B$12,Paramètres!$A$1:$I$89,3,0)*0.475*44/12</f>
        <v>0.66961540769077388</v>
      </c>
      <c r="CN44" s="22">
        <f t="shared" si="12"/>
        <v>19.213436557487316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22.8</v>
      </c>
      <c r="N45" s="13">
        <f>IF('Données projet'!$A$36&gt;35,N44+M45-V44,IF(A45&lt;'Données projet'!$A$36,$K$205^A45,IF(A45='Données projet'!$A$36,'Données projet'!$B$36,N44+M45-V44)))</f>
        <v>432.60000000000008</v>
      </c>
      <c r="O45" s="13">
        <f>N45*VLOOKUP('Données projet'!$B$9,Paramètres!$A$1:$I$89,3,0)*VLOOKUP('Données projet'!$B$9,Paramètres!$A$1:$I$89,5,0)</f>
        <v>241.82340000000005</v>
      </c>
      <c r="P45" s="13">
        <f t="shared" si="33"/>
        <v>58.831670892221915</v>
      </c>
      <c r="Q45" s="20">
        <f t="shared" si="53"/>
        <v>523.64091513728647</v>
      </c>
      <c r="R45" s="59">
        <f t="shared" si="0"/>
        <v>816.97424847061984</v>
      </c>
      <c r="S45" s="59">
        <f ca="1">AVERAGE(OFFSET($R$3,0,0,'Données projet'!$E$9+1,1))-AVERAGE(OFFSET($H$3,0,0,'Données projet'!$E$9+1,1))</f>
        <v>415.91544298418842</v>
      </c>
      <c r="T45" s="59">
        <f t="shared" si="34"/>
        <v>422.79312683312583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9.004313368634957</v>
      </c>
      <c r="AA45" s="21">
        <f>EXP(-LN(2)/25)*AA44+(1-EXP(-LN(2)/25))/(LN(2)/25)*Calculateur!V45*Calculateur!X45*VLOOKUP('Données projet'!$B$9,Paramètres!$A$1:$I$89,3,0)*0.475*44/12</f>
        <v>27.78962976508986</v>
      </c>
      <c r="AB45" s="21">
        <f>EXP(-LN(2)/2)*AB44+(1-EXP(-LN(2)/2))/(LN(2)/2)*V45*Y45*VLOOKUP('Données projet'!$B$9,Paramètres!$A$1:$I$89,3,0)*0.475*44/12</f>
        <v>0.56987330242240775</v>
      </c>
      <c r="AC45" s="22">
        <f t="shared" si="3"/>
        <v>37.363816436147225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11.499999999999996</v>
      </c>
      <c r="AI45" s="13">
        <f>IF('Données projet'!$A$62&gt;35,AI44+AH45-AQ44,IF(A45&lt;'Données projet'!$A$62,$AF$205^A45,IF(A45='Données projet'!$A$62,'Données projet'!$B$62,AI44+AH45-AQ44)))</f>
        <v>231.1999999999999</v>
      </c>
      <c r="AJ45" s="13">
        <f>AI45*VLOOKUP('Données projet'!$B$10,Paramètres!$A$1:$I$89,3,0)*VLOOKUP('Données projet'!$B$10,Paramètres!$A$1:$I$89,5,0)</f>
        <v>108.20159999999994</v>
      </c>
      <c r="AK45" s="13">
        <f t="shared" si="35"/>
        <v>28.906861857161235</v>
      </c>
      <c r="AL45" s="20">
        <f t="shared" si="4"/>
        <v>238.79723773455569</v>
      </c>
      <c r="AM45" s="59">
        <f t="shared" si="5"/>
        <v>532.13057106788904</v>
      </c>
      <c r="AN45" s="59">
        <f ca="1">AVERAGE(OFFSET($AM$3,0,0,'Données projet'!$E$10+1,1))-AVERAGE(OFFSET($H$3,0,0,'Données projet'!$E$10+1,1))</f>
        <v>215.23235148064941</v>
      </c>
      <c r="AO45" s="59">
        <f t="shared" si="36"/>
        <v>184.07239726900434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2.4715494037097008</v>
      </c>
      <c r="AV45" s="21">
        <f>EXP(-LN(2)/25)*AV44+(1-EXP(-LN(2)/25))/(LN(2)/25)*Calculateur!AQ45*Calculateur!AS45*VLOOKUP('Données projet'!$B$10,Paramètres!$A$1:$I$89,3,0)*0.475*44/12</f>
        <v>5.6321921680049245</v>
      </c>
      <c r="AW45" s="21">
        <f>EXP(-LN(2)/2)*AW44+(1-EXP(-LN(2)/2))/(LN(2)/2)*AQ45*AT45*VLOOKUP('Données projet'!$B$10,Paramètres!$A$1:$I$89,3,0)*0.475*44/12</f>
        <v>0.15362775750462487</v>
      </c>
      <c r="AX45" s="21">
        <f t="shared" si="6"/>
        <v>8.2573693292192498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12.4</v>
      </c>
      <c r="BD45" s="12">
        <f>IF('Données projet'!$A$88&gt;35,BD44+BC45-BL44,IF(A45&lt;'Données projet'!$A$88,$BA$205^A45,IF(A45='Données projet'!$A$88,'Données projet'!$B$88,BD44+BC45-BL44)))</f>
        <v>272.80000000000007</v>
      </c>
      <c r="BE45" s="13">
        <f>BD45*VLOOKUP('Données projet'!$B$11,Paramètres!$A$1:$I$89,3,0)*VLOOKUP('Données projet'!$B$11,Paramètres!$A$1:$I$89,5,0)</f>
        <v>170.22720000000004</v>
      </c>
      <c r="BF45" s="13">
        <f t="shared" si="37"/>
        <v>43.140904871338378</v>
      </c>
      <c r="BG45" s="20">
        <f t="shared" si="7"/>
        <v>371.6161159842477</v>
      </c>
      <c r="BH45" s="59">
        <f t="shared" si="8"/>
        <v>664.94944931758096</v>
      </c>
      <c r="BI45" s="59">
        <f ca="1">AVERAGE(OFFSET($BH$3,0,0,'Données projet'!$E$11+1,1))-AVERAGE(OFFSET($H$3,0,0,'Données projet'!$E$11+1,1))</f>
        <v>261.27638267284169</v>
      </c>
      <c r="BJ45" s="59">
        <f t="shared" si="38"/>
        <v>297.50513563712764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6.5790501061315858</v>
      </c>
      <c r="BQ45" s="21">
        <f>EXP(-LN(2)/25)*BQ44+(1-EXP(-LN(2)/25))/(LN(2)/25)*Calculateur!BL45*Calculateur!BN45*VLOOKUP('Données projet'!$B$11,Paramètres!$A$1:$I$89,3,0)*0.475*44/12</f>
        <v>19.98207153202987</v>
      </c>
      <c r="BR45" s="21">
        <f>EXP(-LN(2)/2)*BR44+(1-EXP(-LN(2)/2))/(LN(2)/2)*BL45*BO45*VLOOKUP('Données projet'!$B$11,Paramètres!$A$1:$I$89,3,0)*0.475*44/12</f>
        <v>0.38126861151424812</v>
      </c>
      <c r="BS45" s="22">
        <f t="shared" si="9"/>
        <v>26.942390249675704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17.100000000000001</v>
      </c>
      <c r="BY45" s="12">
        <f>IF('Données projet'!$A$114&gt;35,BY44+BX45-CG44,IF(A45&lt;'Données projet'!$A$114,$BV$205^A45,IF(A45='Données projet'!$A$114,'Données projet'!$B$114,BY44+BX45-CG44)))</f>
        <v>319.20000000000027</v>
      </c>
      <c r="BZ45" s="13">
        <f>BY45*VLOOKUP('Données projet'!$B$12,Paramètres!$A$1:$I$89,3,0)*VLOOKUP('Données projet'!$B$12,Paramètres!$A$1:$I$89,5,0)</f>
        <v>190.88160000000019</v>
      </c>
      <c r="CA45" s="13">
        <f t="shared" si="39"/>
        <v>47.73480954989347</v>
      </c>
      <c r="CB45" s="20">
        <f t="shared" si="10"/>
        <v>415.59024663273141</v>
      </c>
      <c r="CC45" s="59">
        <f t="shared" si="11"/>
        <v>708.92357996606472</v>
      </c>
      <c r="CD45" s="59">
        <f ca="1">AVERAGE(OFFSET($CC$3,0,0,'Données projet'!$E$12+1,1))-AVERAGE(OFFSET($H$3,0,0,'Données projet'!$E$12+1,1))</f>
        <v>314.69202393413491</v>
      </c>
      <c r="CE45" s="59">
        <f t="shared" si="40"/>
        <v>321.1728368524748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2.7584038205395451</v>
      </c>
      <c r="CL45" s="21">
        <f>EXP(-LN(2)/25)*CL44+(1-EXP(-LN(2)/25))/(LN(2)/25)*Calculateur!CG45*Calculateur!CI45*VLOOKUP('Données projet'!$B$12,Paramètres!$A$1:$I$89,3,0)*0.475*44/12</f>
        <v>15.30010044177223</v>
      </c>
      <c r="CM45" s="21">
        <f>EXP(-LN(2)/2)*CM44+(1-EXP(-LN(2)/2))/(LN(2)/2)*CG45*CJ45*VLOOKUP('Données projet'!$B$12,Paramètres!$A$1:$I$89,3,0)*0.475*44/12</f>
        <v>0.47348959556514086</v>
      </c>
      <c r="CN45" s="22">
        <f t="shared" si="12"/>
        <v>18.531993857876916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22.8</v>
      </c>
      <c r="N46" s="13">
        <f>IF('Données projet'!$A$36&gt;35,N45+M46-V45,IF(A46&lt;'Données projet'!$A$36,$K$205^A46,IF(A46='Données projet'!$A$36,'Données projet'!$B$36,N45+M46-V45)))</f>
        <v>455.40000000000009</v>
      </c>
      <c r="O46" s="13">
        <f>N46*VLOOKUP('Données projet'!$B$9,Paramètres!$A$1:$I$89,3,0)*VLOOKUP('Données projet'!$B$9,Paramètres!$A$1:$I$89,5,0)</f>
        <v>254.56860000000006</v>
      </c>
      <c r="P46" s="13">
        <f t="shared" si="33"/>
        <v>61.563204302796244</v>
      </c>
      <c r="Q46" s="20">
        <f t="shared" si="53"/>
        <v>550.59622582737018</v>
      </c>
      <c r="R46" s="59">
        <f t="shared" si="0"/>
        <v>843.92955916070355</v>
      </c>
      <c r="S46" s="59">
        <f ca="1">AVERAGE(OFFSET($R$3,0,0,'Données projet'!$E$9+1,1))-AVERAGE(OFFSET($H$3,0,0,'Données projet'!$E$9+1,1))</f>
        <v>415.91544298418842</v>
      </c>
      <c r="T46" s="59">
        <f t="shared" si="34"/>
        <v>422.79312683312583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8.8277442755648821</v>
      </c>
      <c r="AA46" s="21">
        <f>EXP(-LN(2)/25)*AA45+(1-EXP(-LN(2)/25))/(LN(2)/25)*Calculateur!V46*Calculateur!X46*VLOOKUP('Données projet'!$B$9,Paramètres!$A$1:$I$89,3,0)*0.475*44/12</f>
        <v>27.029720877770362</v>
      </c>
      <c r="AB46" s="21">
        <f>EXP(-LN(2)/2)*AB45+(1-EXP(-LN(2)/2))/(LN(2)/2)*V46*Y46*VLOOKUP('Données projet'!$B$9,Paramètres!$A$1:$I$89,3,0)*0.475*44/12</f>
        <v>0.4029612765600567</v>
      </c>
      <c r="AC46" s="22">
        <f t="shared" si="3"/>
        <v>36.260426429895297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11.499999999999996</v>
      </c>
      <c r="AI46" s="13">
        <f>IF('Données projet'!$A$62&gt;35,AI45+AH46-AQ45,IF(A46&lt;'Données projet'!$A$62,$AF$205^A46,IF(A46='Données projet'!$A$62,'Données projet'!$B$62,AI45+AH46-AQ45)))</f>
        <v>242.6999999999999</v>
      </c>
      <c r="AJ46" s="13">
        <f>AI46*VLOOKUP('Données projet'!$B$10,Paramètres!$A$1:$I$89,3,0)*VLOOKUP('Données projet'!$B$10,Paramètres!$A$1:$I$89,5,0)</f>
        <v>113.58359999999995</v>
      </c>
      <c r="AK46" s="13">
        <f t="shared" si="35"/>
        <v>30.17372688298952</v>
      </c>
      <c r="AL46" s="20">
        <f t="shared" si="4"/>
        <v>250.37734432120666</v>
      </c>
      <c r="AM46" s="59">
        <f t="shared" si="5"/>
        <v>543.71067765453995</v>
      </c>
      <c r="AN46" s="59">
        <f ca="1">AVERAGE(OFFSET($AM$3,0,0,'Données projet'!$E$10+1,1))-AVERAGE(OFFSET($H$3,0,0,'Données projet'!$E$10+1,1))</f>
        <v>215.23235148064941</v>
      </c>
      <c r="AO46" s="59">
        <f t="shared" si="36"/>
        <v>184.07239726900434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2.4230838273992368</v>
      </c>
      <c r="AV46" s="21">
        <f>EXP(-LN(2)/25)*AV45+(1-EXP(-LN(2)/25))/(LN(2)/25)*Calculateur!AQ46*Calculateur!AS46*VLOOKUP('Données projet'!$B$10,Paramètres!$A$1:$I$89,3,0)*0.475*44/12</f>
        <v>5.4781795769867161</v>
      </c>
      <c r="AW46" s="21">
        <f>EXP(-LN(2)/2)*AW45+(1-EXP(-LN(2)/2))/(LN(2)/2)*AQ46*AT46*VLOOKUP('Données projet'!$B$10,Paramètres!$A$1:$I$89,3,0)*0.475*44/12</f>
        <v>0.10863122911000277</v>
      </c>
      <c r="AX46" s="21">
        <f t="shared" si="6"/>
        <v>8.0098946334959553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12.4</v>
      </c>
      <c r="BD46" s="12">
        <f>IF('Données projet'!$A$88&gt;35,BD45+BC46-BL45,IF(A46&lt;'Données projet'!$A$88,$BA$205^A46,IF(A46='Données projet'!$A$88,'Données projet'!$B$88,BD45+BC46-BL45)))</f>
        <v>285.20000000000005</v>
      </c>
      <c r="BE46" s="13">
        <f>BD46*VLOOKUP('Données projet'!$B$11,Paramètres!$A$1:$I$89,3,0)*VLOOKUP('Données projet'!$B$11,Paramètres!$A$1:$I$89,5,0)</f>
        <v>177.96480000000003</v>
      </c>
      <c r="BF46" s="13">
        <f t="shared" si="37"/>
        <v>44.869092441133326</v>
      </c>
      <c r="BG46" s="20">
        <f t="shared" si="7"/>
        <v>388.10236266830719</v>
      </c>
      <c r="BH46" s="59">
        <f t="shared" si="8"/>
        <v>681.43569600164051</v>
      </c>
      <c r="BI46" s="59">
        <f ca="1">AVERAGE(OFFSET($BH$3,0,0,'Données projet'!$E$11+1,1))-AVERAGE(OFFSET($H$3,0,0,'Données projet'!$E$11+1,1))</f>
        <v>261.27638267284169</v>
      </c>
      <c r="BJ46" s="59">
        <f t="shared" si="38"/>
        <v>297.50513563712764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6.4500389463746766</v>
      </c>
      <c r="BQ46" s="21">
        <f>EXP(-LN(2)/25)*BQ45+(1-EXP(-LN(2)/25))/(LN(2)/25)*Calculateur!BL46*Calculateur!BN46*VLOOKUP('Données projet'!$B$11,Paramètres!$A$1:$I$89,3,0)*0.475*44/12</f>
        <v>19.435660735175041</v>
      </c>
      <c r="BR46" s="21">
        <f>EXP(-LN(2)/2)*BR45+(1-EXP(-LN(2)/2))/(LN(2)/2)*BL46*BO46*VLOOKUP('Données projet'!$B$11,Paramètres!$A$1:$I$89,3,0)*0.475*44/12</f>
        <v>0.26959762065530424</v>
      </c>
      <c r="BS46" s="22">
        <f t="shared" si="9"/>
        <v>26.155297302205021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17.100000000000001</v>
      </c>
      <c r="BY46" s="12">
        <f>IF('Données projet'!$A$114&gt;35,BY45+BX46-CG45,IF(A46&lt;'Données projet'!$A$114,$BV$205^A46,IF(A46='Données projet'!$A$114,'Données projet'!$B$114,BY45+BX46-CG45)))</f>
        <v>336.3000000000003</v>
      </c>
      <c r="BZ46" s="13">
        <f>BY46*VLOOKUP('Données projet'!$B$12,Paramètres!$A$1:$I$89,3,0)*VLOOKUP('Données projet'!$B$12,Paramètres!$A$1:$I$89,5,0)</f>
        <v>201.10740000000021</v>
      </c>
      <c r="CA46" s="13">
        <f t="shared" si="39"/>
        <v>49.987462461070656</v>
      </c>
      <c r="CB46" s="20">
        <f t="shared" si="10"/>
        <v>437.32355211969843</v>
      </c>
      <c r="CC46" s="59">
        <f t="shared" si="11"/>
        <v>730.65688545303169</v>
      </c>
      <c r="CD46" s="59">
        <f ca="1">AVERAGE(OFFSET($CC$3,0,0,'Données projet'!$E$12+1,1))-AVERAGE(OFFSET($H$3,0,0,'Données projet'!$E$12+1,1))</f>
        <v>314.69202393413491</v>
      </c>
      <c r="CE46" s="59">
        <f t="shared" si="40"/>
        <v>321.1728368524748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2.7043132040789661</v>
      </c>
      <c r="CL46" s="21">
        <f>EXP(-LN(2)/25)*CL45+(1-EXP(-LN(2)/25))/(LN(2)/25)*Calculateur!CG46*Calculateur!CI46*VLOOKUP('Données projet'!$B$12,Paramètres!$A$1:$I$89,3,0)*0.475*44/12</f>
        <v>14.881718390594655</v>
      </c>
      <c r="CM46" s="21">
        <f>EXP(-LN(2)/2)*CM45+(1-EXP(-LN(2)/2))/(LN(2)/2)*CG46*CJ46*VLOOKUP('Données projet'!$B$12,Paramètres!$A$1:$I$89,3,0)*0.475*44/12</f>
        <v>0.33480770384538694</v>
      </c>
      <c r="CN46" s="22">
        <f t="shared" si="12"/>
        <v>17.920839298519006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22.8</v>
      </c>
      <c r="N47" s="13">
        <f>IF('Données projet'!$A$36&gt;35,N46+M47-V46,IF(A47&lt;'Données projet'!$A$36,$K$205^A47,IF(A47='Données projet'!$A$36,'Données projet'!$B$36,N46+M47-V46)))</f>
        <v>478.2000000000001</v>
      </c>
      <c r="O47" s="13">
        <f>N47*VLOOKUP('Données projet'!$B$9,Paramètres!$A$1:$I$89,3,0)*VLOOKUP('Données projet'!$B$9,Paramètres!$A$1:$I$89,5,0)</f>
        <v>267.31380000000007</v>
      </c>
      <c r="P47" s="13">
        <f t="shared" si="33"/>
        <v>64.278858533693665</v>
      </c>
      <c r="Q47" s="20">
        <f t="shared" si="53"/>
        <v>577.52388027951656</v>
      </c>
      <c r="R47" s="59">
        <f t="shared" si="0"/>
        <v>870.85721361284982</v>
      </c>
      <c r="S47" s="59">
        <f ca="1">AVERAGE(OFFSET($R$3,0,0,'Données projet'!$E$9+1,1))-AVERAGE(OFFSET($H$3,0,0,'Données projet'!$E$9+1,1))</f>
        <v>415.91544298418842</v>
      </c>
      <c r="T47" s="59">
        <f t="shared" si="34"/>
        <v>422.79312683312583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8.6546375947133978</v>
      </c>
      <c r="AA47" s="21">
        <f>EXP(-LN(2)/25)*AA46+(1-EXP(-LN(2)/25))/(LN(2)/25)*Calculateur!V47*Calculateur!X47*VLOOKUP('Données projet'!$B$9,Paramètres!$A$1:$I$89,3,0)*0.475*44/12</f>
        <v>26.290591738936488</v>
      </c>
      <c r="AB47" s="21">
        <f>EXP(-LN(2)/2)*AB46+(1-EXP(-LN(2)/2))/(LN(2)/2)*V47*Y47*VLOOKUP('Données projet'!$B$9,Paramètres!$A$1:$I$89,3,0)*0.475*44/12</f>
        <v>0.28493665121120387</v>
      </c>
      <c r="AC47" s="22">
        <f t="shared" si="3"/>
        <v>35.230165984861088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11.499999999999996</v>
      </c>
      <c r="AI47" s="13">
        <f>IF('Données projet'!$A$62&gt;35,AI46+AH47-AQ46,IF(A47&lt;'Données projet'!$A$62,$AF$205^A47,IF(A47='Données projet'!$A$62,'Données projet'!$B$62,AI46+AH47-AQ46)))</f>
        <v>254.1999999999999</v>
      </c>
      <c r="AJ47" s="13">
        <f>AI47*VLOOKUP('Données projet'!$B$10,Paramètres!$A$1:$I$89,3,0)*VLOOKUP('Données projet'!$B$10,Paramètres!$A$1:$I$89,5,0)</f>
        <v>118.96559999999995</v>
      </c>
      <c r="AK47" s="13">
        <f t="shared" si="35"/>
        <v>31.433621056182272</v>
      </c>
      <c r="AL47" s="20">
        <f t="shared" si="4"/>
        <v>261.945310006184</v>
      </c>
      <c r="AM47" s="59">
        <f t="shared" si="5"/>
        <v>555.27864333951732</v>
      </c>
      <c r="AN47" s="59">
        <f ca="1">AVERAGE(OFFSET($AM$3,0,0,'Données projet'!$E$10+1,1))-AVERAGE(OFFSET($H$3,0,0,'Données projet'!$E$10+1,1))</f>
        <v>215.23235148064941</v>
      </c>
      <c r="AO47" s="59">
        <f t="shared" si="36"/>
        <v>184.07239726900434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2.3755686314791387</v>
      </c>
      <c r="AV47" s="21">
        <f>EXP(-LN(2)/25)*AV46+(1-EXP(-LN(2)/25))/(LN(2)/25)*Calculateur!AQ47*Calculateur!AS47*VLOOKUP('Données projet'!$B$10,Paramètres!$A$1:$I$89,3,0)*0.475*44/12</f>
        <v>5.3283784683690714</v>
      </c>
      <c r="AW47" s="21">
        <f>EXP(-LN(2)/2)*AW46+(1-EXP(-LN(2)/2))/(LN(2)/2)*AQ47*AT47*VLOOKUP('Données projet'!$B$10,Paramètres!$A$1:$I$89,3,0)*0.475*44/12</f>
        <v>7.6813878752312437E-2</v>
      </c>
      <c r="AX47" s="21">
        <f t="shared" si="6"/>
        <v>7.7807609786005223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12.4</v>
      </c>
      <c r="BD47" s="12">
        <f>IF('Données projet'!$A$88&gt;35,BD46+BC47-BL46,IF(A47&lt;'Données projet'!$A$88,$BA$205^A47,IF(A47='Données projet'!$A$88,'Données projet'!$B$88,BD46+BC47-BL46)))</f>
        <v>297.60000000000002</v>
      </c>
      <c r="BE47" s="13">
        <f>BD47*VLOOKUP('Données projet'!$B$11,Paramètres!$A$1:$I$89,3,0)*VLOOKUP('Données projet'!$B$11,Paramètres!$A$1:$I$89,5,0)</f>
        <v>185.70240000000001</v>
      </c>
      <c r="BF47" s="13">
        <f t="shared" si="37"/>
        <v>46.588553069776829</v>
      </c>
      <c r="BG47" s="20">
        <f t="shared" si="7"/>
        <v>404.57340992986133</v>
      </c>
      <c r="BH47" s="59">
        <f t="shared" si="8"/>
        <v>697.90674326319458</v>
      </c>
      <c r="BI47" s="59">
        <f ca="1">AVERAGE(OFFSET($BH$3,0,0,'Données projet'!$E$11+1,1))-AVERAGE(OFFSET($H$3,0,0,'Données projet'!$E$11+1,1))</f>
        <v>261.27638267284169</v>
      </c>
      <c r="BJ47" s="59">
        <f t="shared" si="38"/>
        <v>297.50513563712764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6.3235576167715628</v>
      </c>
      <c r="BQ47" s="21">
        <f>EXP(-LN(2)/25)*BQ46+(1-EXP(-LN(2)/25))/(LN(2)/25)*Calculateur!BL47*Calculateur!BN47*VLOOKUP('Données projet'!$B$11,Paramètres!$A$1:$I$89,3,0)*0.475*44/12</f>
        <v>18.904191570294703</v>
      </c>
      <c r="BR47" s="21">
        <f>EXP(-LN(2)/2)*BR46+(1-EXP(-LN(2)/2))/(LN(2)/2)*BL47*BO47*VLOOKUP('Données projet'!$B$11,Paramètres!$A$1:$I$89,3,0)*0.475*44/12</f>
        <v>0.19063430575712406</v>
      </c>
      <c r="BS47" s="22">
        <f t="shared" si="9"/>
        <v>25.418383492823391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17.100000000000001</v>
      </c>
      <c r="BY47" s="12">
        <f>IF('Données projet'!$A$114&gt;35,BY46+BX47-CG46,IF(A47&lt;'Données projet'!$A$114,$BV$205^A47,IF(A47='Données projet'!$A$114,'Données projet'!$B$114,BY46+BX47-CG46)))</f>
        <v>353.40000000000032</v>
      </c>
      <c r="BZ47" s="13">
        <f>BY47*VLOOKUP('Données projet'!$B$12,Paramètres!$A$1:$I$89,3,0)*VLOOKUP('Données projet'!$B$12,Paramètres!$A$1:$I$89,5,0)</f>
        <v>211.33320000000023</v>
      </c>
      <c r="CA47" s="13">
        <f t="shared" si="39"/>
        <v>52.226816049120458</v>
      </c>
      <c r="CB47" s="20">
        <f t="shared" si="10"/>
        <v>459.03369461888519</v>
      </c>
      <c r="CC47" s="59">
        <f t="shared" si="11"/>
        <v>752.36702795221845</v>
      </c>
      <c r="CD47" s="59">
        <f ca="1">AVERAGE(OFFSET($CC$3,0,0,'Données projet'!$E$12+1,1))-AVERAGE(OFFSET($H$3,0,0,'Données projet'!$E$12+1,1))</f>
        <v>314.69202393413491</v>
      </c>
      <c r="CE47" s="59">
        <f t="shared" si="40"/>
        <v>321.1728368524748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2.6512832716151609</v>
      </c>
      <c r="CL47" s="21">
        <f>EXP(-LN(2)/25)*CL46+(1-EXP(-LN(2)/25))/(LN(2)/25)*Calculateur!CG47*Calculateur!CI47*VLOOKUP('Données projet'!$B$12,Paramètres!$A$1:$I$89,3,0)*0.475*44/12</f>
        <v>14.474777018608286</v>
      </c>
      <c r="CM47" s="21">
        <f>EXP(-LN(2)/2)*CM46+(1-EXP(-LN(2)/2))/(LN(2)/2)*CG47*CJ47*VLOOKUP('Données projet'!$B$12,Paramètres!$A$1:$I$89,3,0)*0.475*44/12</f>
        <v>0.23674479778257043</v>
      </c>
      <c r="CN47" s="22">
        <f t="shared" si="12"/>
        <v>17.362805088006017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22.8</v>
      </c>
      <c r="N48" s="13">
        <f>IF('Données projet'!$A$36&gt;35,N47+M48-V47,IF(A48&lt;'Données projet'!$A$36,$K$205^A48,IF(A48='Données projet'!$A$36,'Données projet'!$B$36,N47+M48-V47)))</f>
        <v>501.00000000000011</v>
      </c>
      <c r="O48" s="13">
        <f>N48*VLOOKUP('Données projet'!$B$9,Paramètres!$A$1:$I$89,3,0)*VLOOKUP('Données projet'!$B$9,Paramètres!$A$1:$I$89,5,0)</f>
        <v>280.05900000000008</v>
      </c>
      <c r="P48" s="13">
        <f t="shared" si="33"/>
        <v>66.979477124262175</v>
      </c>
      <c r="Q48" s="20">
        <f t="shared" si="53"/>
        <v>604.42534765809012</v>
      </c>
      <c r="R48" s="59">
        <f t="shared" si="0"/>
        <v>897.75868099142349</v>
      </c>
      <c r="S48" s="59">
        <f ca="1">AVERAGE(OFFSET($R$3,0,0,'Données projet'!$E$9+1,1))-AVERAGE(OFFSET($H$3,0,0,'Données projet'!$E$9+1,1))</f>
        <v>415.91544298418842</v>
      </c>
      <c r="T48" s="59">
        <f t="shared" si="34"/>
        <v>422.79312683312583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8.4849254302887616</v>
      </c>
      <c r="AA48" s="21">
        <f>EXP(-LN(2)/25)*AA47+(1-EXP(-LN(2)/25))/(LN(2)/25)*Calculateur!V48*Calculateur!X48*VLOOKUP('Données projet'!$B$9,Paramètres!$A$1:$I$89,3,0)*0.475*44/12</f>
        <v>25.571674125273137</v>
      </c>
      <c r="AB48" s="21">
        <f>EXP(-LN(2)/2)*AB47+(1-EXP(-LN(2)/2))/(LN(2)/2)*V48*Y48*VLOOKUP('Données projet'!$B$9,Paramètres!$A$1:$I$89,3,0)*0.475*44/12</f>
        <v>0.20148063828002835</v>
      </c>
      <c r="AC48" s="22">
        <f t="shared" si="3"/>
        <v>34.258080193841934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11.499999999999996</v>
      </c>
      <c r="AI48" s="13">
        <f>IF('Données projet'!$A$62&gt;35,AI47+AH48-AQ47,IF(A48&lt;'Données projet'!$A$62,$AF$205^A48,IF(A48='Données projet'!$A$62,'Données projet'!$B$62,AI47+AH48-AQ47)))</f>
        <v>265.69999999999987</v>
      </c>
      <c r="AJ48" s="13">
        <f>AI48*VLOOKUP('Données projet'!$B$10,Paramètres!$A$1:$I$89,3,0)*VLOOKUP('Données projet'!$B$10,Paramètres!$A$1:$I$89,5,0)</f>
        <v>124.34759999999994</v>
      </c>
      <c r="AK48" s="13">
        <f t="shared" si="35"/>
        <v>32.68689576547478</v>
      </c>
      <c r="AL48" s="20">
        <f t="shared" si="4"/>
        <v>273.50174679153514</v>
      </c>
      <c r="AM48" s="59">
        <f t="shared" si="5"/>
        <v>566.83508012486845</v>
      </c>
      <c r="AN48" s="59">
        <f ca="1">AVERAGE(OFFSET($AM$3,0,0,'Données projet'!$E$10+1,1))-AVERAGE(OFFSET($H$3,0,0,'Données projet'!$E$10+1,1))</f>
        <v>215.23235148064941</v>
      </c>
      <c r="AO48" s="59">
        <f t="shared" si="36"/>
        <v>184.07239726900434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2.3289851795696257</v>
      </c>
      <c r="AV48" s="21">
        <f>EXP(-LN(2)/25)*AV47+(1-EXP(-LN(2)/25))/(LN(2)/25)*Calculateur!AQ48*Calculateur!AS48*VLOOKUP('Données projet'!$B$10,Paramètres!$A$1:$I$89,3,0)*0.475*44/12</f>
        <v>5.1826736789442736</v>
      </c>
      <c r="AW48" s="21">
        <f>EXP(-LN(2)/2)*AW47+(1-EXP(-LN(2)/2))/(LN(2)/2)*AQ48*AT48*VLOOKUP('Données projet'!$B$10,Paramètres!$A$1:$I$89,3,0)*0.475*44/12</f>
        <v>5.4315614555001383E-2</v>
      </c>
      <c r="AX48" s="21">
        <f t="shared" si="6"/>
        <v>7.5659744730689003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12.4</v>
      </c>
      <c r="BD48" s="12">
        <f>IF('Données projet'!$A$88&gt;35,BD47+BC48-BL47,IF(A48&lt;'Données projet'!$A$88,$BA$205^A48,IF(A48='Données projet'!$A$88,'Données projet'!$B$88,BD47+BC48-BL47)))</f>
        <v>310</v>
      </c>
      <c r="BE48" s="13">
        <f>BD48*VLOOKUP('Données projet'!$B$11,Paramètres!$A$1:$I$89,3,0)*VLOOKUP('Données projet'!$B$11,Paramètres!$A$1:$I$89,5,0)</f>
        <v>193.44</v>
      </c>
      <c r="BF48" s="13">
        <f t="shared" si="37"/>
        <v>48.299691961776745</v>
      </c>
      <c r="BG48" s="20">
        <f t="shared" si="7"/>
        <v>421.02996350009448</v>
      </c>
      <c r="BH48" s="59">
        <f t="shared" si="8"/>
        <v>714.36329683342774</v>
      </c>
      <c r="BI48" s="59">
        <f ca="1">AVERAGE(OFFSET($BH$3,0,0,'Données projet'!$E$11+1,1))-AVERAGE(OFFSET($H$3,0,0,'Données projet'!$E$11+1,1))</f>
        <v>261.27638267284169</v>
      </c>
      <c r="BJ48" s="59">
        <f t="shared" si="38"/>
        <v>297.50513563712764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6.1995565088959728</v>
      </c>
      <c r="BQ48" s="21">
        <f>EXP(-LN(2)/25)*BQ47+(1-EXP(-LN(2)/25))/(LN(2)/25)*Calculateur!BL48*Calculateur!BN48*VLOOKUP('Données projet'!$B$11,Paramètres!$A$1:$I$89,3,0)*0.475*44/12</f>
        <v>18.387255457676766</v>
      </c>
      <c r="BR48" s="21">
        <f>EXP(-LN(2)/2)*BR47+(1-EXP(-LN(2)/2))/(LN(2)/2)*BL48*BO48*VLOOKUP('Données projet'!$B$11,Paramètres!$A$1:$I$89,3,0)*0.475*44/12</f>
        <v>0.13479881032765212</v>
      </c>
      <c r="BS48" s="22">
        <f t="shared" si="9"/>
        <v>24.721610776900391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17.100000000000001</v>
      </c>
      <c r="BY48" s="12">
        <f>IF('Données projet'!$A$114&gt;35,BY47+BX48-CG47,IF(A48&lt;'Données projet'!$A$114,$BV$205^A48,IF(A48='Données projet'!$A$114,'Données projet'!$B$114,BY47+BX48-CG47)))</f>
        <v>370.50000000000034</v>
      </c>
      <c r="BZ48" s="13">
        <f>BY48*VLOOKUP('Données projet'!$B$12,Paramètres!$A$1:$I$89,3,0)*VLOOKUP('Données projet'!$B$12,Paramètres!$A$1:$I$89,5,0)</f>
        <v>221.55900000000022</v>
      </c>
      <c r="CA48" s="13">
        <f t="shared" si="39"/>
        <v>54.453587288087114</v>
      </c>
      <c r="CB48" s="20">
        <f t="shared" si="10"/>
        <v>480.72192286008544</v>
      </c>
      <c r="CC48" s="59">
        <f t="shared" si="11"/>
        <v>774.0552561934187</v>
      </c>
      <c r="CD48" s="59">
        <f ca="1">AVERAGE(OFFSET($CC$3,0,0,'Données projet'!$E$12+1,1))-AVERAGE(OFFSET($H$3,0,0,'Données projet'!$E$12+1,1))</f>
        <v>314.69202393413491</v>
      </c>
      <c r="CE48" s="59">
        <f t="shared" si="40"/>
        <v>321.1728368524748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2.5992932237819057</v>
      </c>
      <c r="CL48" s="21">
        <f>EXP(-LN(2)/25)*CL47+(1-EXP(-LN(2)/25))/(LN(2)/25)*Calculateur!CG48*Calculateur!CI48*VLOOKUP('Données projet'!$B$12,Paramètres!$A$1:$I$89,3,0)*0.475*44/12</f>
        <v>14.078963479839002</v>
      </c>
      <c r="CM48" s="21">
        <f>EXP(-LN(2)/2)*CM47+(1-EXP(-LN(2)/2))/(LN(2)/2)*CG48*CJ48*VLOOKUP('Données projet'!$B$12,Paramètres!$A$1:$I$89,3,0)*0.475*44/12</f>
        <v>0.16740385192269347</v>
      </c>
      <c r="CN48" s="22">
        <f t="shared" si="12"/>
        <v>16.845660555543599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22.8</v>
      </c>
      <c r="N49" s="13">
        <f>IF('Données projet'!$A$36&gt;35,N48+M49-V48,IF(A49&lt;'Données projet'!$A$36,$K$205^A49,IF(A49='Données projet'!$A$36,'Données projet'!$B$36,N48+M49-V48)))</f>
        <v>523.80000000000007</v>
      </c>
      <c r="O49" s="13">
        <f>N49*VLOOKUP('Données projet'!$B$9,Paramètres!$A$1:$I$89,3,0)*VLOOKUP('Données projet'!$B$9,Paramètres!$A$1:$I$89,5,0)</f>
        <v>292.80420000000004</v>
      </c>
      <c r="P49" s="13">
        <f t="shared" si="33"/>
        <v>69.665822496730271</v>
      </c>
      <c r="Q49" s="20">
        <f t="shared" si="53"/>
        <v>631.30195584847183</v>
      </c>
      <c r="R49" s="59">
        <f t="shared" si="0"/>
        <v>924.63528918180509</v>
      </c>
      <c r="S49" s="59">
        <f ca="1">AVERAGE(OFFSET($R$3,0,0,'Données projet'!$E$9+1,1))-AVERAGE(OFFSET($H$3,0,0,'Données projet'!$E$9+1,1))</f>
        <v>415.91544298418842</v>
      </c>
      <c r="T49" s="59">
        <f t="shared" si="34"/>
        <v>422.79312683312583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8.3185412178942943</v>
      </c>
      <c r="AA49" s="21">
        <f>EXP(-LN(2)/25)*AA48+(1-EXP(-LN(2)/25))/(LN(2)/25)*Calculateur!V49*Calculateur!X49*VLOOKUP('Données projet'!$B$9,Paramètres!$A$1:$I$89,3,0)*0.475*44/12</f>
        <v>24.872415351561646</v>
      </c>
      <c r="AB49" s="21">
        <f>EXP(-LN(2)/2)*AB48+(1-EXP(-LN(2)/2))/(LN(2)/2)*V49*Y49*VLOOKUP('Données projet'!$B$9,Paramètres!$A$1:$I$89,3,0)*0.475*44/12</f>
        <v>0.14246832560560194</v>
      </c>
      <c r="AC49" s="22">
        <f t="shared" si="3"/>
        <v>33.33342489506154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11.499999999999996</v>
      </c>
      <c r="AI49" s="13">
        <f>IF('Données projet'!$A$62&gt;35,AI48+AH49-AQ48,IF(A49&lt;'Données projet'!$A$62,$AF$205^A49,IF(A49='Données projet'!$A$62,'Données projet'!$B$62,AI48+AH49-AQ48)))</f>
        <v>277.19999999999987</v>
      </c>
      <c r="AJ49" s="13">
        <f>AI49*VLOOKUP('Données projet'!$B$10,Paramètres!$A$1:$I$89,3,0)*VLOOKUP('Données projet'!$B$10,Paramètres!$A$1:$I$89,5,0)</f>
        <v>129.72959999999992</v>
      </c>
      <c r="AK49" s="13">
        <f t="shared" si="35"/>
        <v>33.933870261867483</v>
      </c>
      <c r="AL49" s="20">
        <f t="shared" si="4"/>
        <v>285.04721070608576</v>
      </c>
      <c r="AM49" s="59">
        <f t="shared" si="5"/>
        <v>578.38054403941908</v>
      </c>
      <c r="AN49" s="59">
        <f ca="1">AVERAGE(OFFSET($AM$3,0,0,'Données projet'!$E$10+1,1))-AVERAGE(OFFSET($H$3,0,0,'Données projet'!$E$10+1,1))</f>
        <v>215.23235148064941</v>
      </c>
      <c r="AO49" s="59">
        <f t="shared" si="36"/>
        <v>184.07239726900434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2.2833152007389583</v>
      </c>
      <c r="AV49" s="21">
        <f>EXP(-LN(2)/25)*AV48+(1-EXP(-LN(2)/25))/(LN(2)/25)*Calculateur!AQ49*Calculateur!AS49*VLOOKUP('Données projet'!$B$10,Paramètres!$A$1:$I$89,3,0)*0.475*44/12</f>
        <v>5.040953194648579</v>
      </c>
      <c r="AW49" s="21">
        <f>EXP(-LN(2)/2)*AW48+(1-EXP(-LN(2)/2))/(LN(2)/2)*AQ49*AT49*VLOOKUP('Données projet'!$B$10,Paramètres!$A$1:$I$89,3,0)*0.475*44/12</f>
        <v>3.8406939376156218E-2</v>
      </c>
      <c r="AX49" s="21">
        <f t="shared" si="6"/>
        <v>7.3626753347636944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12.4</v>
      </c>
      <c r="BD49" s="12">
        <f>IF('Données projet'!$A$88&gt;35,BD48+BC49-BL48,IF(A49&lt;'Données projet'!$A$88,$BA$205^A49,IF(A49='Données projet'!$A$88,'Données projet'!$B$88,BD48+BC49-BL48)))</f>
        <v>322.39999999999998</v>
      </c>
      <c r="BE49" s="13">
        <f>BD49*VLOOKUP('Données projet'!$B$11,Paramètres!$A$1:$I$89,3,0)*VLOOKUP('Données projet'!$B$11,Paramètres!$A$1:$I$89,5,0)</f>
        <v>201.17759999999998</v>
      </c>
      <c r="BF49" s="13">
        <f t="shared" si="37"/>
        <v>50.002880070410733</v>
      </c>
      <c r="BG49" s="20">
        <f t="shared" si="7"/>
        <v>437.47266945596533</v>
      </c>
      <c r="BH49" s="59">
        <f t="shared" si="8"/>
        <v>730.80600278929865</v>
      </c>
      <c r="BI49" s="59">
        <f ca="1">AVERAGE(OFFSET($BH$3,0,0,'Données projet'!$E$11+1,1))-AVERAGE(OFFSET($H$3,0,0,'Données projet'!$E$11+1,1))</f>
        <v>261.27638267284169</v>
      </c>
      <c r="BJ49" s="59">
        <f t="shared" si="38"/>
        <v>297.50513563712764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6.0779869871126149</v>
      </c>
      <c r="BQ49" s="21">
        <f>EXP(-LN(2)/25)*BQ48+(1-EXP(-LN(2)/25))/(LN(2)/25)*Calculateur!BL49*Calculateur!BN49*VLOOKUP('Données projet'!$B$11,Paramètres!$A$1:$I$89,3,0)*0.475*44/12</f>
        <v>17.884454990242855</v>
      </c>
      <c r="BR49" s="21">
        <f>EXP(-LN(2)/2)*BR48+(1-EXP(-LN(2)/2))/(LN(2)/2)*BL49*BO49*VLOOKUP('Données projet'!$B$11,Paramètres!$A$1:$I$89,3,0)*0.475*44/12</f>
        <v>9.5317152878562031E-2</v>
      </c>
      <c r="BS49" s="22">
        <f t="shared" si="9"/>
        <v>24.057759130234029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17.100000000000001</v>
      </c>
      <c r="BY49" s="12">
        <f>IF('Données projet'!$A$114&gt;35,BY48+BX49-CG48,IF(A49&lt;'Données projet'!$A$114,$BV$205^A49,IF(A49='Données projet'!$A$114,'Données projet'!$B$114,BY48+BX49-CG48)))</f>
        <v>387.60000000000036</v>
      </c>
      <c r="BZ49" s="13">
        <f>BY49*VLOOKUP('Données projet'!$B$12,Paramètres!$A$1:$I$89,3,0)*VLOOKUP('Données projet'!$B$12,Paramètres!$A$1:$I$89,5,0)</f>
        <v>231.78480000000022</v>
      </c>
      <c r="CA49" s="13">
        <f t="shared" si="39"/>
        <v>56.668423229243544</v>
      </c>
      <c r="CB49" s="20">
        <f t="shared" si="10"/>
        <v>502.3893637909328</v>
      </c>
      <c r="CC49" s="59">
        <f t="shared" si="11"/>
        <v>795.72269712426612</v>
      </c>
      <c r="CD49" s="59">
        <f ca="1">AVERAGE(OFFSET($CC$3,0,0,'Données projet'!$E$12+1,1))-AVERAGE(OFFSET($H$3,0,0,'Données projet'!$E$12+1,1))</f>
        <v>314.69202393413491</v>
      </c>
      <c r="CE49" s="59">
        <f t="shared" si="40"/>
        <v>321.1728368524748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2.5483226690758625</v>
      </c>
      <c r="CL49" s="21">
        <f>EXP(-LN(2)/25)*CL48+(1-EXP(-LN(2)/25))/(LN(2)/25)*Calculateur!CG49*Calculateur!CI49*VLOOKUP('Données projet'!$B$12,Paramètres!$A$1:$I$89,3,0)*0.475*44/12</f>
        <v>13.693973483102294</v>
      </c>
      <c r="CM49" s="21">
        <f>EXP(-LN(2)/2)*CM48+(1-EXP(-LN(2)/2))/(LN(2)/2)*CG49*CJ49*VLOOKUP('Données projet'!$B$12,Paramètres!$A$1:$I$89,3,0)*0.475*44/12</f>
        <v>0.11837239889128522</v>
      </c>
      <c r="CN49" s="22">
        <f t="shared" si="12"/>
        <v>16.360668551069441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22.8</v>
      </c>
      <c r="N50" s="13">
        <f>IF('Données projet'!$A$36&gt;35,N49+M50-V49,IF(A50&lt;'Données projet'!$A$36,$K$205^A50,IF(A50='Données projet'!$A$36,'Données projet'!$B$36,N49+M50-V49)))</f>
        <v>546.6</v>
      </c>
      <c r="O50" s="13">
        <f>N50*VLOOKUP('Données projet'!$B$9,Paramètres!$A$1:$I$89,3,0)*VLOOKUP('Données projet'!$B$9,Paramètres!$A$1:$I$89,5,0)</f>
        <v>305.54940000000005</v>
      </c>
      <c r="P50" s="13">
        <f t="shared" si="33"/>
        <v>72.338586946416783</v>
      </c>
      <c r="Q50" s="20">
        <f t="shared" si="53"/>
        <v>658.15491059834255</v>
      </c>
      <c r="R50" s="59">
        <f t="shared" si="0"/>
        <v>951.48824393167592</v>
      </c>
      <c r="S50" s="59">
        <f ca="1">AVERAGE(OFFSET($R$3,0,0,'Données projet'!$E$9+1,1))-AVERAGE(OFFSET($H$3,0,0,'Données projet'!$E$9+1,1))</f>
        <v>415.91544298418842</v>
      </c>
      <c r="T50" s="59">
        <f t="shared" si="34"/>
        <v>422.79312683312583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8.1554196984205323</v>
      </c>
      <c r="AA50" s="21">
        <f>EXP(-LN(2)/25)*AA49+(1-EXP(-LN(2)/25))/(LN(2)/25)*Calculateur!V50*Calculateur!X50*VLOOKUP('Données projet'!$B$9,Paramètres!$A$1:$I$89,3,0)*0.475*44/12</f>
        <v>24.192277845789715</v>
      </c>
      <c r="AB50" s="21">
        <f>EXP(-LN(2)/2)*AB49+(1-EXP(-LN(2)/2))/(LN(2)/2)*V50*Y50*VLOOKUP('Données projet'!$B$9,Paramètres!$A$1:$I$89,3,0)*0.475*44/12</f>
        <v>0.10074031914001418</v>
      </c>
      <c r="AC50" s="22">
        <f t="shared" si="3"/>
        <v>32.448437863350264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11.499999999999996</v>
      </c>
      <c r="AI50" s="13">
        <f>IF('Données projet'!$A$62&gt;35,AI49+AH50-AQ49,IF(A50&lt;'Données projet'!$A$62,$AF$205^A50,IF(A50='Données projet'!$A$62,'Données projet'!$B$62,AI49+AH50-AQ49)))</f>
        <v>288.69999999999987</v>
      </c>
      <c r="AJ50" s="13">
        <f>AI50*VLOOKUP('Données projet'!$B$10,Paramètres!$A$1:$I$89,3,0)*VLOOKUP('Données projet'!$B$10,Paramètres!$A$1:$I$89,5,0)</f>
        <v>135.11159999999992</v>
      </c>
      <c r="AK50" s="13">
        <f t="shared" si="35"/>
        <v>35.174835808562257</v>
      </c>
      <c r="AL50" s="20">
        <f t="shared" si="4"/>
        <v>296.58220903324576</v>
      </c>
      <c r="AM50" s="59">
        <f t="shared" si="5"/>
        <v>589.91554236657907</v>
      </c>
      <c r="AN50" s="59">
        <f ca="1">AVERAGE(OFFSET($AM$3,0,0,'Données projet'!$E$10+1,1))-AVERAGE(OFFSET($H$3,0,0,'Données projet'!$E$10+1,1))</f>
        <v>215.23235148064941</v>
      </c>
      <c r="AO50" s="59">
        <f t="shared" si="36"/>
        <v>184.07239726900434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2.2385407823372234</v>
      </c>
      <c r="AV50" s="21">
        <f>EXP(-LN(2)/25)*AV49+(1-EXP(-LN(2)/25))/(LN(2)/25)*Calculateur!AQ50*Calculateur!AS50*VLOOKUP('Données projet'!$B$10,Paramètres!$A$1:$I$89,3,0)*0.475*44/12</f>
        <v>4.9031080644487064</v>
      </c>
      <c r="AW50" s="21">
        <f>EXP(-LN(2)/2)*AW49+(1-EXP(-LN(2)/2))/(LN(2)/2)*AQ50*AT50*VLOOKUP('Données projet'!$B$10,Paramètres!$A$1:$I$89,3,0)*0.475*44/12</f>
        <v>2.7157807277500692E-2</v>
      </c>
      <c r="AX50" s="21">
        <f t="shared" si="6"/>
        <v>7.168806654063431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12.4</v>
      </c>
      <c r="BD50" s="12">
        <f>IF('Données projet'!$A$88&gt;35,BD49+BC50-BL49,IF(A50&lt;'Données projet'!$A$88,$BA$205^A50,IF(A50='Données projet'!$A$88,'Données projet'!$B$88,BD49+BC50-BL49)))</f>
        <v>334.79999999999995</v>
      </c>
      <c r="BE50" s="13">
        <f>BD50*VLOOKUP('Données projet'!$B$11,Paramètres!$A$1:$I$89,3,0)*VLOOKUP('Données projet'!$B$11,Paramètres!$A$1:$I$89,5,0)</f>
        <v>208.91519999999997</v>
      </c>
      <c r="BF50" s="13">
        <f t="shared" si="37"/>
        <v>51.698458198123326</v>
      </c>
      <c r="BG50" s="20">
        <f t="shared" si="7"/>
        <v>453.90212136173136</v>
      </c>
      <c r="BH50" s="59">
        <f t="shared" si="8"/>
        <v>747.23545469506462</v>
      </c>
      <c r="BI50" s="59">
        <f ca="1">AVERAGE(OFFSET($BH$3,0,0,'Données projet'!$E$11+1,1))-AVERAGE(OFFSET($H$3,0,0,'Données projet'!$E$11+1,1))</f>
        <v>261.27638267284169</v>
      </c>
      <c r="BJ50" s="59">
        <f t="shared" si="38"/>
        <v>297.50513563712764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5.9588013695013426</v>
      </c>
      <c r="BQ50" s="21">
        <f>EXP(-LN(2)/25)*BQ49+(1-EXP(-LN(2)/25))/(LN(2)/25)*Calculateur!BL50*Calculateur!BN50*VLOOKUP('Données projet'!$B$11,Paramètres!$A$1:$I$89,3,0)*0.475*44/12</f>
        <v>17.395403628032053</v>
      </c>
      <c r="BR50" s="21">
        <f>EXP(-LN(2)/2)*BR49+(1-EXP(-LN(2)/2))/(LN(2)/2)*BL50*BO50*VLOOKUP('Données projet'!$B$11,Paramètres!$A$1:$I$89,3,0)*0.475*44/12</f>
        <v>6.7399405163826059E-2</v>
      </c>
      <c r="BS50" s="22">
        <f t="shared" si="9"/>
        <v>23.42160440269722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17.100000000000001</v>
      </c>
      <c r="BY50" s="12">
        <f>IF('Données projet'!$A$114&gt;35,BY49+BX50-CG49,IF(A50&lt;'Données projet'!$A$114,$BV$205^A50,IF(A50='Données projet'!$A$114,'Données projet'!$B$114,BY49+BX50-CG49)))</f>
        <v>404.70000000000039</v>
      </c>
      <c r="BZ50" s="13">
        <f>BY50*VLOOKUP('Données projet'!$B$12,Paramètres!$A$1:$I$89,3,0)*VLOOKUP('Données projet'!$B$12,Paramètres!$A$1:$I$89,5,0)</f>
        <v>242.01060000000024</v>
      </c>
      <c r="CA50" s="13">
        <f t="shared" si="39"/>
        <v>58.871910602973614</v>
      </c>
      <c r="CB50" s="20">
        <f t="shared" si="10"/>
        <v>524.03703930017934</v>
      </c>
      <c r="CC50" s="59">
        <f t="shared" si="11"/>
        <v>817.37037263351272</v>
      </c>
      <c r="CD50" s="59">
        <f ca="1">AVERAGE(OFFSET($CC$3,0,0,'Données projet'!$E$12+1,1))-AVERAGE(OFFSET($H$3,0,0,'Données projet'!$E$12+1,1))</f>
        <v>314.69202393413491</v>
      </c>
      <c r="CE50" s="59">
        <f t="shared" si="40"/>
        <v>321.1728368524748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2.4983516158586361</v>
      </c>
      <c r="CL50" s="21">
        <f>EXP(-LN(2)/25)*CL49+(1-EXP(-LN(2)/25))/(LN(2)/25)*Calculateur!CG50*Calculateur!CI50*VLOOKUP('Données projet'!$B$12,Paramètres!$A$1:$I$89,3,0)*0.475*44/12</f>
        <v>13.319511058072095</v>
      </c>
      <c r="CM50" s="21">
        <f>EXP(-LN(2)/2)*CM49+(1-EXP(-LN(2)/2))/(LN(2)/2)*CG50*CJ50*VLOOKUP('Données projet'!$B$12,Paramètres!$A$1:$I$89,3,0)*0.475*44/12</f>
        <v>8.3701925961346735E-2</v>
      </c>
      <c r="CN50" s="22">
        <f t="shared" si="12"/>
        <v>15.901564599892078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22.8</v>
      </c>
      <c r="N51" s="13">
        <f>IF('Données projet'!$A$36&gt;35,N50+M51-V50,IF(A51&lt;'Données projet'!$A$36,$K$205^A51,IF(A51='Données projet'!$A$36,'Données projet'!$B$36,N50+M51-V50)))</f>
        <v>569.4</v>
      </c>
      <c r="O51" s="13">
        <f>N51*VLOOKUP('Données projet'!$B$9,Paramètres!$A$1:$I$89,3,0)*VLOOKUP('Données projet'!$B$9,Paramètres!$A$1:$I$89,5,0)</f>
        <v>318.2946</v>
      </c>
      <c r="P51" s="13">
        <f t="shared" si="33"/>
        <v>74.998401746556283</v>
      </c>
      <c r="Q51" s="20">
        <f t="shared" si="53"/>
        <v>684.98531137525208</v>
      </c>
      <c r="R51" s="59">
        <f t="shared" si="0"/>
        <v>978.31864470858545</v>
      </c>
      <c r="S51" s="59">
        <f ca="1">AVERAGE(OFFSET($R$3,0,0,'Données projet'!$E$9+1,1))-AVERAGE(OFFSET($H$3,0,0,'Données projet'!$E$9+1,1))</f>
        <v>415.91544298418842</v>
      </c>
      <c r="T51" s="59">
        <f t="shared" si="34"/>
        <v>422.79312683312583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7.9954968924493492</v>
      </c>
      <c r="AA51" s="21">
        <f>EXP(-LN(2)/25)*AA50+(1-EXP(-LN(2)/25))/(LN(2)/25)*Calculateur!V51*Calculateur!X51*VLOOKUP('Données projet'!$B$9,Paramètres!$A$1:$I$89,3,0)*0.475*44/12</f>
        <v>23.530738735879996</v>
      </c>
      <c r="AB51" s="21">
        <f>EXP(-LN(2)/2)*AB50+(1-EXP(-LN(2)/2))/(LN(2)/2)*V51*Y51*VLOOKUP('Données projet'!$B$9,Paramètres!$A$1:$I$89,3,0)*0.475*44/12</f>
        <v>7.1234162802800968E-2</v>
      </c>
      <c r="AC51" s="22">
        <f t="shared" si="3"/>
        <v>31.597469791132145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11.499999999999996</v>
      </c>
      <c r="AI51" s="13">
        <f>IF('Données projet'!$A$62&gt;35,AI50+AH51-AQ50,IF(A51&lt;'Données projet'!$A$62,$AF$205^A51,IF(A51='Données projet'!$A$62,'Données projet'!$B$62,AI50+AH51-AQ50)))</f>
        <v>300.19999999999987</v>
      </c>
      <c r="AJ51" s="13">
        <f>AI51*VLOOKUP('Données projet'!$B$10,Paramètres!$A$1:$I$89,3,0)*VLOOKUP('Données projet'!$B$10,Paramètres!$A$1:$I$89,5,0)</f>
        <v>140.49359999999993</v>
      </c>
      <c r="AK51" s="13">
        <f t="shared" si="35"/>
        <v>36.410059151057915</v>
      </c>
      <c r="AL51" s="20">
        <f t="shared" si="4"/>
        <v>308.10720635475906</v>
      </c>
      <c r="AM51" s="59">
        <f t="shared" si="5"/>
        <v>601.44053968809237</v>
      </c>
      <c r="AN51" s="59">
        <f ca="1">AVERAGE(OFFSET($AM$3,0,0,'Données projet'!$E$10+1,1))-AVERAGE(OFFSET($H$3,0,0,'Données projet'!$E$10+1,1))</f>
        <v>215.23235148064941</v>
      </c>
      <c r="AO51" s="59">
        <f t="shared" si="36"/>
        <v>184.07239726900434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2.194644362970648</v>
      </c>
      <c r="AV51" s="21">
        <f>EXP(-LN(2)/25)*AV50+(1-EXP(-LN(2)/25))/(LN(2)/25)*Calculateur!AQ51*Calculateur!AS51*VLOOKUP('Données projet'!$B$10,Paramètres!$A$1:$I$89,3,0)*0.475*44/12</f>
        <v>4.7690323165831092</v>
      </c>
      <c r="AW51" s="21">
        <f>EXP(-LN(2)/2)*AW50+(1-EXP(-LN(2)/2))/(LN(2)/2)*AQ51*AT51*VLOOKUP('Données projet'!$B$10,Paramètres!$A$1:$I$89,3,0)*0.475*44/12</f>
        <v>1.9203469688078109E-2</v>
      </c>
      <c r="AX51" s="21">
        <f t="shared" si="6"/>
        <v>6.9828801492418346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12.4</v>
      </c>
      <c r="BD51" s="12">
        <f>IF('Données projet'!$A$88&gt;35,BD50+BC51-BL50,IF(A51&lt;'Données projet'!$A$88,$BA$205^A51,IF(A51='Données projet'!$A$88,'Données projet'!$B$88,BD50+BC51-BL50)))</f>
        <v>347.19999999999993</v>
      </c>
      <c r="BE51" s="13">
        <f>BD51*VLOOKUP('Données projet'!$B$11,Paramètres!$A$1:$I$89,3,0)*VLOOKUP('Données projet'!$B$11,Paramètres!$A$1:$I$89,5,0)</f>
        <v>216.65279999999993</v>
      </c>
      <c r="BF51" s="13">
        <f t="shared" si="37"/>
        <v>53.38674047237982</v>
      </c>
      <c r="BG51" s="20">
        <f t="shared" si="7"/>
        <v>470.31886632272807</v>
      </c>
      <c r="BH51" s="59">
        <f t="shared" si="8"/>
        <v>763.65219965606138</v>
      </c>
      <c r="BI51" s="59">
        <f ca="1">AVERAGE(OFFSET($BH$3,0,0,'Données projet'!$E$11+1,1))-AVERAGE(OFFSET($H$3,0,0,'Données projet'!$E$11+1,1))</f>
        <v>261.27638267284169</v>
      </c>
      <c r="BJ51" s="59">
        <f t="shared" si="38"/>
        <v>297.50513563712764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5.8419529091553786</v>
      </c>
      <c r="BQ51" s="21">
        <f>EXP(-LN(2)/25)*BQ50+(1-EXP(-LN(2)/25))/(LN(2)/25)*Calculateur!BL51*Calculateur!BN51*VLOOKUP('Données projet'!$B$11,Paramètres!$A$1:$I$89,3,0)*0.475*44/12</f>
        <v>16.919725401038999</v>
      </c>
      <c r="BR51" s="21">
        <f>EXP(-LN(2)/2)*BR50+(1-EXP(-LN(2)/2))/(LN(2)/2)*BL51*BO51*VLOOKUP('Données projet'!$B$11,Paramètres!$A$1:$I$89,3,0)*0.475*44/12</f>
        <v>4.7658576439281015E-2</v>
      </c>
      <c r="BS51" s="22">
        <f t="shared" si="9"/>
        <v>22.809336886633659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17.100000000000001</v>
      </c>
      <c r="BY51" s="12">
        <f>IF('Données projet'!$A$114&gt;35,BY50+BX51-CG50,IF(A51&lt;'Données projet'!$A$114,$BV$205^A51,IF(A51='Données projet'!$A$114,'Données projet'!$B$114,BY50+BX51-CG50)))</f>
        <v>421.80000000000041</v>
      </c>
      <c r="BZ51" s="13">
        <f>BY51*VLOOKUP('Données projet'!$B$12,Paramètres!$A$1:$I$89,3,0)*VLOOKUP('Données projet'!$B$12,Paramètres!$A$1:$I$89,5,0)</f>
        <v>252.23640000000026</v>
      </c>
      <c r="CA51" s="13">
        <f t="shared" si="39"/>
        <v>61.064583752052897</v>
      </c>
      <c r="CB51" s="20">
        <f t="shared" si="10"/>
        <v>545.66588003482593</v>
      </c>
      <c r="CC51" s="59">
        <f t="shared" si="11"/>
        <v>838.99921336815919</v>
      </c>
      <c r="CD51" s="59">
        <f ca="1">AVERAGE(OFFSET($CC$3,0,0,'Données projet'!$E$12+1,1))-AVERAGE(OFFSET($H$3,0,0,'Données projet'!$E$12+1,1))</f>
        <v>314.69202393413491</v>
      </c>
      <c r="CE51" s="59">
        <f t="shared" si="40"/>
        <v>321.1728368524748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2.4493604645156668</v>
      </c>
      <c r="CL51" s="21">
        <f>EXP(-LN(2)/25)*CL50+(1-EXP(-LN(2)/25))/(LN(2)/25)*Calculateur!CG51*Calculateur!CI51*VLOOKUP('Données projet'!$B$12,Paramètres!$A$1:$I$89,3,0)*0.475*44/12</f>
        <v>12.955288327746469</v>
      </c>
      <c r="CM51" s="21">
        <f>EXP(-LN(2)/2)*CM50+(1-EXP(-LN(2)/2))/(LN(2)/2)*CG51*CJ51*VLOOKUP('Données projet'!$B$12,Paramètres!$A$1:$I$89,3,0)*0.475*44/12</f>
        <v>5.9186199445642608E-2</v>
      </c>
      <c r="CN51" s="22">
        <f t="shared" si="12"/>
        <v>15.463834991707779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22.8</v>
      </c>
      <c r="N52" s="13">
        <f>IF('Données projet'!$A$36&gt;35,N51+M52-V51,IF(A52&lt;'Données projet'!$A$36,$K$205^A52,IF(A52='Données projet'!$A$36,'Données projet'!$B$36,N51+M52-V51)))</f>
        <v>592.19999999999993</v>
      </c>
      <c r="O52" s="13">
        <f>N52*VLOOKUP('Données projet'!$B$9,Paramètres!$A$1:$I$89,3,0)*VLOOKUP('Données projet'!$B$9,Paramètres!$A$1:$I$89,5,0)</f>
        <v>331.03979999999996</v>
      </c>
      <c r="P52" s="13">
        <f t="shared" si="33"/>
        <v>77.64584475376725</v>
      </c>
      <c r="Q52" s="20">
        <f t="shared" si="53"/>
        <v>711.79416461281119</v>
      </c>
      <c r="R52" s="59">
        <f t="shared" si="0"/>
        <v>1005.1274979461446</v>
      </c>
      <c r="S52" s="59">
        <f ca="1">AVERAGE(OFFSET($R$3,0,0,'Données projet'!$E$9+1,1))-AVERAGE(OFFSET($H$3,0,0,'Données projet'!$E$9+1,1))</f>
        <v>415.91544298418842</v>
      </c>
      <c r="T52" s="59">
        <f t="shared" si="34"/>
        <v>422.79312683312583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7.8387100751599803</v>
      </c>
      <c r="AA52" s="21">
        <f>EXP(-LN(2)/25)*AA51+(1-EXP(-LN(2)/25))/(LN(2)/25)*Calculateur!V52*Calculateur!X52*VLOOKUP('Données projet'!$B$9,Paramètres!$A$1:$I$89,3,0)*0.475*44/12</f>
        <v>22.887289447719589</v>
      </c>
      <c r="AB52" s="21">
        <f>EXP(-LN(2)/2)*AB51+(1-EXP(-LN(2)/2))/(LN(2)/2)*V52*Y52*VLOOKUP('Données projet'!$B$9,Paramètres!$A$1:$I$89,3,0)*0.475*44/12</f>
        <v>5.0370159570007088E-2</v>
      </c>
      <c r="AC52" s="22">
        <f t="shared" si="3"/>
        <v>30.776369682449577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11.499999999999996</v>
      </c>
      <c r="AI52" s="13">
        <f>IF('Données projet'!$A$62&gt;35,AI51+AH52-AQ51,IF(A52&lt;'Données projet'!$A$62,$AF$205^A52,IF(A52='Données projet'!$A$62,'Données projet'!$B$62,AI51+AH52-AQ51)))</f>
        <v>311.69999999999987</v>
      </c>
      <c r="AJ52" s="13">
        <f>AI52*VLOOKUP('Données projet'!$B$10,Paramètres!$A$1:$I$89,3,0)*VLOOKUP('Données projet'!$B$10,Paramètres!$A$1:$I$89,5,0)</f>
        <v>145.87559999999993</v>
      </c>
      <c r="AK52" s="13">
        <f t="shared" si="35"/>
        <v>37.639785440563628</v>
      </c>
      <c r="AL52" s="20">
        <f t="shared" si="4"/>
        <v>319.62262964231485</v>
      </c>
      <c r="AM52" s="59">
        <f t="shared" si="5"/>
        <v>612.95596297564816</v>
      </c>
      <c r="AN52" s="59">
        <f ca="1">AVERAGE(OFFSET($AM$3,0,0,'Données projet'!$E$10+1,1))-AVERAGE(OFFSET($H$3,0,0,'Données projet'!$E$10+1,1))</f>
        <v>215.23235148064941</v>
      </c>
      <c r="AO52" s="59">
        <f t="shared" si="36"/>
        <v>184.07239726900434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2.1516087256136793</v>
      </c>
      <c r="AV52" s="21">
        <f>EXP(-LN(2)/25)*AV51+(1-EXP(-LN(2)/25))/(LN(2)/25)*Calculateur!AQ52*Calculateur!AS52*VLOOKUP('Données projet'!$B$10,Paramètres!$A$1:$I$89,3,0)*0.475*44/12</f>
        <v>4.638622877093634</v>
      </c>
      <c r="AW52" s="21">
        <f>EXP(-LN(2)/2)*AW51+(1-EXP(-LN(2)/2))/(LN(2)/2)*AQ52*AT52*VLOOKUP('Données projet'!$B$10,Paramètres!$A$1:$I$89,3,0)*0.475*44/12</f>
        <v>1.3578903638750346E-2</v>
      </c>
      <c r="AX52" s="21">
        <f t="shared" si="6"/>
        <v>6.8038105063460641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12.4</v>
      </c>
      <c r="BD52" s="12">
        <f>IF('Données projet'!$A$88&gt;35,BD51+BC52-BL51,IF(A52&lt;'Données projet'!$A$88,$BA$205^A52,IF(A52='Données projet'!$A$88,'Données projet'!$B$88,BD51+BC52-BL51)))</f>
        <v>359.59999999999991</v>
      </c>
      <c r="BE52" s="13">
        <f>BD52*VLOOKUP('Données projet'!$B$11,Paramètres!$A$1:$I$89,3,0)*VLOOKUP('Données projet'!$B$11,Paramètres!$A$1:$I$89,5,0)</f>
        <v>224.39039999999994</v>
      </c>
      <c r="BF52" s="13">
        <f t="shared" si="37"/>
        <v>55.068017311015858</v>
      </c>
      <c r="BG52" s="20">
        <f t="shared" si="7"/>
        <v>486.72341015001916</v>
      </c>
      <c r="BH52" s="59">
        <f t="shared" si="8"/>
        <v>780.05674348335242</v>
      </c>
      <c r="BI52" s="59">
        <f ca="1">AVERAGE(OFFSET($BH$3,0,0,'Données projet'!$E$11+1,1))-AVERAGE(OFFSET($H$3,0,0,'Données projet'!$E$11+1,1))</f>
        <v>261.27638267284169</v>
      </c>
      <c r="BJ52" s="59">
        <f t="shared" si="38"/>
        <v>297.50513563712764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5.7273957758462757</v>
      </c>
      <c r="BQ52" s="21">
        <f>EXP(-LN(2)/25)*BQ51+(1-EXP(-LN(2)/25))/(LN(2)/25)*Calculateur!BL52*Calculateur!BN52*VLOOKUP('Données projet'!$B$11,Paramètres!$A$1:$I$89,3,0)*0.475*44/12</f>
        <v>16.4570546201779</v>
      </c>
      <c r="BR52" s="21">
        <f>EXP(-LN(2)/2)*BR51+(1-EXP(-LN(2)/2))/(LN(2)/2)*BL52*BO52*VLOOKUP('Données projet'!$B$11,Paramètres!$A$1:$I$89,3,0)*0.475*44/12</f>
        <v>3.369970258191303E-2</v>
      </c>
      <c r="BS52" s="22">
        <f t="shared" si="9"/>
        <v>22.218150098606088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17.100000000000001</v>
      </c>
      <c r="BY52" s="12">
        <f>IF('Données projet'!$A$114&gt;35,BY51+BX52-CG51,IF(A52&lt;'Données projet'!$A$114,$BV$205^A52,IF(A52='Données projet'!$A$114,'Données projet'!$B$114,BY51+BX52-CG51)))</f>
        <v>438.90000000000043</v>
      </c>
      <c r="BZ52" s="13">
        <f>BY52*VLOOKUP('Données projet'!$B$12,Paramètres!$A$1:$I$89,3,0)*VLOOKUP('Données projet'!$B$12,Paramètres!$A$1:$I$89,5,0)</f>
        <v>262.46220000000028</v>
      </c>
      <c r="CA52" s="13">
        <f t="shared" si="39"/>
        <v>63.246931242227284</v>
      </c>
      <c r="CB52" s="20">
        <f t="shared" si="10"/>
        <v>567.2767369135463</v>
      </c>
      <c r="CC52" s="59">
        <f t="shared" si="11"/>
        <v>860.61007024687956</v>
      </c>
      <c r="CD52" s="59">
        <f ca="1">AVERAGE(OFFSET($CC$3,0,0,'Données projet'!$E$12+1,1))-AVERAGE(OFFSET($H$3,0,0,'Données projet'!$E$12+1,1))</f>
        <v>314.69202393413491</v>
      </c>
      <c r="CE52" s="59">
        <f t="shared" si="40"/>
        <v>321.1728368524748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2.4013299997688815</v>
      </c>
      <c r="CL52" s="21">
        <f>EXP(-LN(2)/25)*CL51+(1-EXP(-LN(2)/25))/(LN(2)/25)*Calculateur!CG52*Calculateur!CI52*VLOOKUP('Données projet'!$B$12,Paramètres!$A$1:$I$89,3,0)*0.475*44/12</f>
        <v>12.601025287135238</v>
      </c>
      <c r="CM52" s="21">
        <f>EXP(-LN(2)/2)*CM51+(1-EXP(-LN(2)/2))/(LN(2)/2)*CG52*CJ52*VLOOKUP('Données projet'!$B$12,Paramètres!$A$1:$I$89,3,0)*0.475*44/12</f>
        <v>4.1850962980673367E-2</v>
      </c>
      <c r="CN52" s="22">
        <f t="shared" si="12"/>
        <v>15.044206249884793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615</v>
      </c>
      <c r="L53" s="12">
        <f>VLOOKUP(A53,'Données projet'!$A$35:$I$55,9,0)</f>
        <v>22.8</v>
      </c>
      <c r="M53" s="12">
        <f t="array" ref="M53">INDEX(L:L,MIN(IF(ISNUMBER(L53:L249),ROW(L53:L249),"")))</f>
        <v>22.8</v>
      </c>
      <c r="N53" s="13">
        <f>IF('Données projet'!$A$36&gt;35,N52+M53-V52,IF(A53&lt;'Données projet'!$A$36,$K$205^A53,IF(A53='Données projet'!$A$36,'Données projet'!$B$36,N52+M53-V52)))</f>
        <v>614.99999999999989</v>
      </c>
      <c r="O53" s="13">
        <f>N53*VLOOKUP('Données projet'!$B$9,Paramètres!$A$1:$I$89,3,0)*VLOOKUP('Données projet'!$B$9,Paramètres!$A$1:$I$89,5,0)</f>
        <v>343.78499999999991</v>
      </c>
      <c r="P53" s="13">
        <f t="shared" si="33"/>
        <v>80.281446809317075</v>
      </c>
      <c r="Q53" s="20">
        <f t="shared" si="53"/>
        <v>738.58239485956028</v>
      </c>
      <c r="R53" s="59">
        <f t="shared" si="0"/>
        <v>1031.9157281928935</v>
      </c>
      <c r="S53" s="59">
        <f ca="1">AVERAGE(OFFSET($R$3,0,0,'Données projet'!$E$9+1,1))-AVERAGE(OFFSET($H$3,0,0,'Données projet'!$E$9+1,1))</f>
        <v>415.91544298418842</v>
      </c>
      <c r="T53" s="59">
        <f t="shared" si="34"/>
        <v>422.79312683312583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129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7.6849977517271402</v>
      </c>
      <c r="AA53" s="21">
        <f>EXP(-LN(2)/25)*AA52+(1-EXP(-LN(2)/25))/(LN(2)/25)*Calculateur!V53*Calculateur!X53*VLOOKUP('Données projet'!$B$9,Paramètres!$A$1:$I$89,3,0)*0.475*44/12</f>
        <v>22.261435314181455</v>
      </c>
      <c r="AB53" s="21">
        <f>EXP(-LN(2)/2)*AB52+(1-EXP(-LN(2)/2))/(LN(2)/2)*V53*Y53*VLOOKUP('Données projet'!$B$9,Paramètres!$A$1:$I$89,3,0)*0.475*44/12</f>
        <v>3.5617081401400484E-2</v>
      </c>
      <c r="AC53" s="22">
        <f t="shared" si="3"/>
        <v>29.982050147309995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323.2</v>
      </c>
      <c r="AG53" s="12">
        <f>VLOOKUP(A53,'Données projet'!$A$61:$I$81,9,0)</f>
        <v>11.499999999999996</v>
      </c>
      <c r="AH53" s="12">
        <f t="array" ref="AH53">INDEX(AG:AG,MIN(IF(ISNUMBER(AG53:AG249),ROW(AG53:AG249),"")))</f>
        <v>11.499999999999996</v>
      </c>
      <c r="AI53" s="13">
        <f>IF('Données projet'!$A$62&gt;35,AI52+AH53-AQ52,IF(A53&lt;'Données projet'!$A$62,$AF$205^A53,IF(A53='Données projet'!$A$62,'Données projet'!$B$62,AI52+AH53-AQ52)))</f>
        <v>323.19999999999987</v>
      </c>
      <c r="AJ53" s="13">
        <f>AI53*VLOOKUP('Données projet'!$B$10,Paramètres!$A$1:$I$89,3,0)*VLOOKUP('Données projet'!$B$10,Paramètres!$A$1:$I$89,5,0)</f>
        <v>151.25759999999994</v>
      </c>
      <c r="AK53" s="13">
        <f t="shared" si="35"/>
        <v>38.864240713854024</v>
      </c>
      <c r="AL53" s="20">
        <f t="shared" si="4"/>
        <v>331.12887257662896</v>
      </c>
      <c r="AM53" s="59">
        <f t="shared" si="5"/>
        <v>624.46220590996222</v>
      </c>
      <c r="AN53" s="59">
        <f ca="1">AVERAGE(OFFSET($AM$3,0,0,'Données projet'!$E$10+1,1))-AVERAGE(OFFSET($H$3,0,0,'Données projet'!$E$10+1,1))</f>
        <v>215.23235148064941</v>
      </c>
      <c r="AO53" s="59">
        <f t="shared" si="36"/>
        <v>184.07239726900434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83.4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2.1094169908561335</v>
      </c>
      <c r="AV53" s="21">
        <f>EXP(-LN(2)/25)*AV52+(1-EXP(-LN(2)/25))/(LN(2)/25)*Calculateur!AQ53*Calculateur!AS53*VLOOKUP('Données projet'!$B$10,Paramètres!$A$1:$I$89,3,0)*0.475*44/12</f>
        <v>4.5117794905849333</v>
      </c>
      <c r="AW53" s="21">
        <f>EXP(-LN(2)/2)*AW52+(1-EXP(-LN(2)/2))/(LN(2)/2)*AQ53*AT53*VLOOKUP('Données projet'!$B$10,Paramètres!$A$1:$I$89,3,0)*0.475*44/12</f>
        <v>9.6017348440390546E-3</v>
      </c>
      <c r="AX53" s="21">
        <f t="shared" si="6"/>
        <v>6.6307982162851058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372</v>
      </c>
      <c r="BB53" s="12">
        <f>VLOOKUP(A53,'Données projet'!$A$87:$I$107,9,0)</f>
        <v>12.4</v>
      </c>
      <c r="BC53" s="12">
        <f t="array" ref="BC53">INDEX(BB:BB,MIN(IF(ISNUMBER(BB53:BB249),ROW(BB53:BB249),"")))</f>
        <v>12.4</v>
      </c>
      <c r="BD53" s="12">
        <f>IF('Données projet'!$A$88&gt;35,BD52+BC53-BL52,IF(A53&lt;'Données projet'!$A$88,$BA$205^A53,IF(A53='Données projet'!$A$88,'Données projet'!$B$88,BD52+BC53-BL52)))</f>
        <v>371.99999999999989</v>
      </c>
      <c r="BE53" s="13">
        <f>BD53*VLOOKUP('Données projet'!$B$11,Paramètres!$A$1:$I$89,3,0)*VLOOKUP('Données projet'!$B$11,Paramètres!$A$1:$I$89,5,0)</f>
        <v>232.12799999999993</v>
      </c>
      <c r="BF53" s="13">
        <f t="shared" si="37"/>
        <v>56.742557967082398</v>
      </c>
      <c r="BG53" s="20">
        <f t="shared" si="7"/>
        <v>503.11622179266834</v>
      </c>
      <c r="BH53" s="59">
        <f t="shared" si="8"/>
        <v>796.44955512600166</v>
      </c>
      <c r="BI53" s="59">
        <f ca="1">AVERAGE(OFFSET($BH$3,0,0,'Données projet'!$E$11+1,1))-AVERAGE(OFFSET($H$3,0,0,'Données projet'!$E$11+1,1))</f>
        <v>261.27638267284169</v>
      </c>
      <c r="BJ53" s="59">
        <f t="shared" si="38"/>
        <v>297.50513563712764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68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5.6150850380484121</v>
      </c>
      <c r="BQ53" s="21">
        <f>EXP(-LN(2)/25)*BQ52+(1-EXP(-LN(2)/25))/(LN(2)/25)*Calculateur!BL53*Calculateur!BN53*VLOOKUP('Données projet'!$B$11,Paramètres!$A$1:$I$89,3,0)*0.475*44/12</f>
        <v>16.007035596150246</v>
      </c>
      <c r="BR53" s="21">
        <f>EXP(-LN(2)/2)*BR52+(1-EXP(-LN(2)/2))/(LN(2)/2)*BL53*BO53*VLOOKUP('Données projet'!$B$11,Paramètres!$A$1:$I$89,3,0)*0.475*44/12</f>
        <v>2.3829288219640508E-2</v>
      </c>
      <c r="BS53" s="22">
        <f t="shared" si="9"/>
        <v>21.6459499224183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456</v>
      </c>
      <c r="BW53" s="12">
        <f>VLOOKUP(A53,'Données projet'!$A$113:$I$133,9,0)</f>
        <v>17.100000000000001</v>
      </c>
      <c r="BX53" s="12">
        <f t="array" ref="BX53">INDEX(BW:BW,MIN(IF(ISNUMBER(BW53:BW249),ROW(BW53:BW249),"")))</f>
        <v>17.100000000000001</v>
      </c>
      <c r="BY53" s="12">
        <f>IF('Données projet'!$A$114&gt;35,BY52+BX53-CG52,IF(A53&lt;'Données projet'!$A$114,$BV$205^A53,IF(A53='Données projet'!$A$114,'Données projet'!$B$114,BY52+BX53-CG52)))</f>
        <v>456.00000000000045</v>
      </c>
      <c r="BZ53" s="13">
        <f>BY53*VLOOKUP('Données projet'!$B$12,Paramètres!$A$1:$I$89,3,0)*VLOOKUP('Données projet'!$B$12,Paramètres!$A$1:$I$89,5,0)</f>
        <v>272.68800000000027</v>
      </c>
      <c r="CA53" s="13">
        <f t="shared" si="39"/>
        <v>65.419401413587593</v>
      </c>
      <c r="CB53" s="20">
        <f t="shared" si="10"/>
        <v>588.87039079533213</v>
      </c>
      <c r="CC53" s="59">
        <f t="shared" si="11"/>
        <v>882.2037241286655</v>
      </c>
      <c r="CD53" s="59">
        <f ca="1">AVERAGE(OFFSET($CC$3,0,0,'Données projet'!$E$12+1,1))-AVERAGE(OFFSET($H$3,0,0,'Données projet'!$E$12+1,1))</f>
        <v>314.69202393413491</v>
      </c>
      <c r="CE53" s="59">
        <f t="shared" si="40"/>
        <v>321.1728368524748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94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2.3542413831400899</v>
      </c>
      <c r="CL53" s="21">
        <f>EXP(-LN(2)/25)*CL52+(1-EXP(-LN(2)/25))/(LN(2)/25)*Calculateur!CG53*Calculateur!CI53*VLOOKUP('Données projet'!$B$12,Paramètres!$A$1:$I$89,3,0)*0.475*44/12</f>
        <v>12.256449587999406</v>
      </c>
      <c r="CM53" s="21">
        <f>EXP(-LN(2)/2)*CM52+(1-EXP(-LN(2)/2))/(LN(2)/2)*CG53*CJ53*VLOOKUP('Données projet'!$B$12,Paramètres!$A$1:$I$89,3,0)*0.475*44/12</f>
        <v>2.9593099722821304E-2</v>
      </c>
      <c r="CN53" s="22">
        <f t="shared" si="12"/>
        <v>14.640284070862316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19.3</v>
      </c>
      <c r="N54" s="13">
        <f>IF('Données projet'!$A$36&gt;35,N53+M54-V53,IF(A54&lt;'Données projet'!$A$36,$K$205^A54,IF(A54='Données projet'!$A$36,'Données projet'!$B$36,N53+M54-V53)))</f>
        <v>505.29999999999984</v>
      </c>
      <c r="O54" s="13">
        <f>N54*VLOOKUP('Données projet'!$B$9,Paramètres!$A$1:$I$89,3,0)*VLOOKUP('Données projet'!$B$9,Paramètres!$A$1:$I$89,5,0)</f>
        <v>282.46269999999993</v>
      </c>
      <c r="P54" s="13">
        <f t="shared" si="33"/>
        <v>67.487182645718548</v>
      </c>
      <c r="Q54" s="20">
        <f t="shared" si="53"/>
        <v>609.49604560795967</v>
      </c>
      <c r="R54" s="59">
        <f t="shared" si="0"/>
        <v>902.82937894129304</v>
      </c>
      <c r="S54" s="59">
        <f ca="1">AVERAGE(OFFSET($R$3,0,0,'Données projet'!$E$9+1,1))-AVERAGE(OFFSET($H$3,0,0,'Données projet'!$E$9+1,1))</f>
        <v>415.91544298418842</v>
      </c>
      <c r="T54" s="59">
        <f t="shared" si="34"/>
        <v>422.79312683312583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7.5342996332015586</v>
      </c>
      <c r="AA54" s="21">
        <f>EXP(-LN(2)/25)*AA53+(1-EXP(-LN(2)/25))/(LN(2)/25)*Calculateur!V54*Calculateur!X54*VLOOKUP('Données projet'!$B$9,Paramètres!$A$1:$I$89,3,0)*0.475*44/12</f>
        <v>21.652695194837158</v>
      </c>
      <c r="AB54" s="21">
        <f>EXP(-LN(2)/2)*AB53+(1-EXP(-LN(2)/2))/(LN(2)/2)*V54*Y54*VLOOKUP('Données projet'!$B$9,Paramètres!$A$1:$I$89,3,0)*0.475*44/12</f>
        <v>2.5185079785003544E-2</v>
      </c>
      <c r="AC54" s="22">
        <f t="shared" si="3"/>
        <v>29.212179907823721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13.499999999999996</v>
      </c>
      <c r="AI54" s="13">
        <f>IF('Données projet'!$A$62&gt;35,AI53+AH54-AQ53,IF(A54&lt;'Données projet'!$A$62,$AF$205^A54,IF(A54='Données projet'!$A$62,'Données projet'!$B$62,AI53+AH54-AQ53)))</f>
        <v>253.29999999999987</v>
      </c>
      <c r="AJ54" s="13">
        <f>AI54*VLOOKUP('Données projet'!$B$10,Paramètres!$A$1:$I$89,3,0)*VLOOKUP('Données projet'!$B$10,Paramètres!$A$1:$I$89,5,0)</f>
        <v>118.54439999999994</v>
      </c>
      <c r="AK54" s="13">
        <f t="shared" si="35"/>
        <v>31.3352637371359</v>
      </c>
      <c r="AL54" s="20">
        <f t="shared" si="4"/>
        <v>261.04041434217822</v>
      </c>
      <c r="AM54" s="59">
        <f t="shared" si="5"/>
        <v>554.37374767551159</v>
      </c>
      <c r="AN54" s="59">
        <f ca="1">AVERAGE(OFFSET($AM$3,0,0,'Données projet'!$E$10+1,1))-AVERAGE(OFFSET($H$3,0,0,'Données projet'!$E$10+1,1))</f>
        <v>215.23235148064941</v>
      </c>
      <c r="AO54" s="59">
        <f t="shared" si="36"/>
        <v>184.07239726900434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2.0680526102827663</v>
      </c>
      <c r="AV54" s="21">
        <f>EXP(-LN(2)/25)*AV53+(1-EXP(-LN(2)/25))/(LN(2)/25)*Calculateur!AQ54*Calculateur!AS54*VLOOKUP('Données projet'!$B$10,Paramètres!$A$1:$I$89,3,0)*0.475*44/12</f>
        <v>4.3884046431507171</v>
      </c>
      <c r="AW54" s="21">
        <f>EXP(-LN(2)/2)*AW53+(1-EXP(-LN(2)/2))/(LN(2)/2)*AQ54*AT54*VLOOKUP('Données projet'!$B$10,Paramètres!$A$1:$I$89,3,0)*0.475*44/12</f>
        <v>6.7894518193751729E-3</v>
      </c>
      <c r="AX54" s="21">
        <f t="shared" si="6"/>
        <v>6.4632467052528586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10</v>
      </c>
      <c r="BD54" s="12">
        <f>IF('Données projet'!$A$88&gt;35,BD53+BC54-BL53,IF(A54&lt;'Données projet'!$A$88,$BA$205^A54,IF(A54='Données projet'!$A$88,'Données projet'!$B$88,BD53+BC54-BL53)))</f>
        <v>313.99999999999989</v>
      </c>
      <c r="BE54" s="13">
        <f>BD54*VLOOKUP('Données projet'!$B$11,Paramètres!$A$1:$I$89,3,0)*VLOOKUP('Données projet'!$B$11,Paramètres!$A$1:$I$89,5,0)</f>
        <v>195.93599999999992</v>
      </c>
      <c r="BF54" s="13">
        <f t="shared" si="37"/>
        <v>48.849959202565856</v>
      </c>
      <c r="BG54" s="20">
        <f t="shared" si="7"/>
        <v>426.33554561113533</v>
      </c>
      <c r="BH54" s="59">
        <f t="shared" si="8"/>
        <v>719.66887894446859</v>
      </c>
      <c r="BI54" s="59">
        <f ca="1">AVERAGE(OFFSET($BH$3,0,0,'Données projet'!$E$11+1,1))-AVERAGE(OFFSET($H$3,0,0,'Données projet'!$E$11+1,1))</f>
        <v>261.27638267284169</v>
      </c>
      <c r="BJ54" s="59">
        <f t="shared" si="38"/>
        <v>297.50513563712764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5.5049766453159785</v>
      </c>
      <c r="BQ54" s="21">
        <f>EXP(-LN(2)/25)*BQ53+(1-EXP(-LN(2)/25))/(LN(2)/25)*Calculateur!BL54*Calculateur!BN54*VLOOKUP('Données projet'!$B$11,Paramètres!$A$1:$I$89,3,0)*0.475*44/12</f>
        <v>15.569322366000099</v>
      </c>
      <c r="BR54" s="21">
        <f>EXP(-LN(2)/2)*BR53+(1-EXP(-LN(2)/2))/(LN(2)/2)*BL54*BO54*VLOOKUP('Données projet'!$B$11,Paramètres!$A$1:$I$89,3,0)*0.475*44/12</f>
        <v>1.6849851290956515E-2</v>
      </c>
      <c r="BS54" s="22">
        <f t="shared" si="9"/>
        <v>21.091148862607035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14.4</v>
      </c>
      <c r="BY54" s="12">
        <f>IF('Données projet'!$A$114&gt;35,BY53+BX54-CG53,IF(A54&lt;'Données projet'!$A$114,$BV$205^A54,IF(A54='Données projet'!$A$114,'Données projet'!$B$114,BY53+BX54-CG53)))</f>
        <v>376.40000000000043</v>
      </c>
      <c r="BZ54" s="13">
        <f>BY54*VLOOKUP('Données projet'!$B$12,Paramètres!$A$1:$I$89,3,0)*VLOOKUP('Données projet'!$B$12,Paramètres!$A$1:$I$89,5,0)</f>
        <v>225.08720000000028</v>
      </c>
      <c r="CA54" s="13">
        <f t="shared" si="39"/>
        <v>55.219088139446988</v>
      </c>
      <c r="CB54" s="20">
        <f t="shared" si="10"/>
        <v>488.20011850953728</v>
      </c>
      <c r="CC54" s="59">
        <f t="shared" si="11"/>
        <v>781.53345184287059</v>
      </c>
      <c r="CD54" s="59">
        <f ca="1">AVERAGE(OFFSET($CC$3,0,0,'Données projet'!$E$12+1,1))-AVERAGE(OFFSET($H$3,0,0,'Données projet'!$E$12+1,1))</f>
        <v>314.69202393413491</v>
      </c>
      <c r="CE54" s="59">
        <f t="shared" si="40"/>
        <v>321.1728368524748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2.3080761455621688</v>
      </c>
      <c r="CL54" s="21">
        <f>EXP(-LN(2)/25)*CL53+(1-EXP(-LN(2)/25))/(LN(2)/25)*Calculateur!CG54*Calculateur!CI54*VLOOKUP('Données projet'!$B$12,Paramètres!$A$1:$I$89,3,0)*0.475*44/12</f>
        <v>11.92129632947689</v>
      </c>
      <c r="CM54" s="21">
        <f>EXP(-LN(2)/2)*CM53+(1-EXP(-LN(2)/2))/(LN(2)/2)*CG54*CJ54*VLOOKUP('Données projet'!$B$12,Paramètres!$A$1:$I$89,3,0)*0.475*44/12</f>
        <v>2.0925481490336684E-2</v>
      </c>
      <c r="CN54" s="22">
        <f t="shared" si="12"/>
        <v>14.250297956529396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19.3</v>
      </c>
      <c r="N55" s="13">
        <f>IF('Données projet'!$A$36&gt;35,N54+M55-V54,IF(A55&lt;'Données projet'!$A$36,$K$205^A55,IF(A55='Données projet'!$A$36,'Données projet'!$B$36,N54+M55-V54)))</f>
        <v>524.5999999999998</v>
      </c>
      <c r="O55" s="13">
        <f>N55*VLOOKUP('Données projet'!$B$9,Paramètres!$A$1:$I$89,3,0)*VLOOKUP('Données projet'!$B$9,Paramètres!$A$1:$I$89,5,0)</f>
        <v>293.25139999999988</v>
      </c>
      <c r="P55" s="13">
        <f t="shared" si="33"/>
        <v>69.759829754702025</v>
      </c>
      <c r="Q55" s="20">
        <f t="shared" si="53"/>
        <v>632.2445584894391</v>
      </c>
      <c r="R55" s="59">
        <f t="shared" si="0"/>
        <v>925.57789182277247</v>
      </c>
      <c r="S55" s="59">
        <f ca="1">AVERAGE(OFFSET($R$3,0,0,'Données projet'!$E$9+1,1))-AVERAGE(OFFSET($H$3,0,0,'Données projet'!$E$9+1,1))</f>
        <v>415.91544298418842</v>
      </c>
      <c r="T55" s="59">
        <f t="shared" si="34"/>
        <v>422.79312683312583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7.3865566128634876</v>
      </c>
      <c r="AA55" s="21">
        <f>EXP(-LN(2)/25)*AA54+(1-EXP(-LN(2)/25))/(LN(2)/25)*Calculateur!V55*Calculateur!X55*VLOOKUP('Données projet'!$B$9,Paramètres!$A$1:$I$89,3,0)*0.475*44/12</f>
        <v>21.060601106068582</v>
      </c>
      <c r="AB55" s="21">
        <f>EXP(-LN(2)/2)*AB54+(1-EXP(-LN(2)/2))/(LN(2)/2)*V55*Y55*VLOOKUP('Données projet'!$B$9,Paramètres!$A$1:$I$89,3,0)*0.475*44/12</f>
        <v>1.7808540700700242E-2</v>
      </c>
      <c r="AC55" s="22">
        <f t="shared" si="3"/>
        <v>28.464966259632767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13.499999999999996</v>
      </c>
      <c r="AI55" s="13">
        <f>IF('Données projet'!$A$62&gt;35,AI54+AH55-AQ54,IF(A55&lt;'Données projet'!$A$62,$AF$205^A55,IF(A55='Données projet'!$A$62,'Données projet'!$B$62,AI54+AH55-AQ54)))</f>
        <v>266.79999999999984</v>
      </c>
      <c r="AJ55" s="13">
        <f>AI55*VLOOKUP('Données projet'!$B$10,Paramètres!$A$1:$I$89,3,0)*VLOOKUP('Données projet'!$B$10,Paramètres!$A$1:$I$89,5,0)</f>
        <v>124.86239999999994</v>
      </c>
      <c r="AK55" s="13">
        <f t="shared" si="35"/>
        <v>32.80643928056157</v>
      </c>
      <c r="AL55" s="20">
        <f t="shared" si="4"/>
        <v>274.60656174697795</v>
      </c>
      <c r="AM55" s="59">
        <f t="shared" si="5"/>
        <v>567.93989508031132</v>
      </c>
      <c r="AN55" s="59">
        <f ca="1">AVERAGE(OFFSET($AM$3,0,0,'Données projet'!$E$10+1,1))-AVERAGE(OFFSET($H$3,0,0,'Données projet'!$E$10+1,1))</f>
        <v>215.23235148064941</v>
      </c>
      <c r="AO55" s="59">
        <f t="shared" si="36"/>
        <v>184.07239726900434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2.0274993599826621</v>
      </c>
      <c r="AV55" s="21">
        <f>EXP(-LN(2)/25)*AV54+(1-EXP(-LN(2)/25))/(LN(2)/25)*Calculateur!AQ55*Calculateur!AS55*VLOOKUP('Données projet'!$B$10,Paramètres!$A$1:$I$89,3,0)*0.475*44/12</f>
        <v>4.26840348740759</v>
      </c>
      <c r="AW55" s="21">
        <f>EXP(-LN(2)/2)*AW54+(1-EXP(-LN(2)/2))/(LN(2)/2)*AQ55*AT55*VLOOKUP('Données projet'!$B$10,Paramètres!$A$1:$I$89,3,0)*0.475*44/12</f>
        <v>4.8008674220195273E-3</v>
      </c>
      <c r="AX55" s="21">
        <f t="shared" si="6"/>
        <v>6.300703714812272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10</v>
      </c>
      <c r="BD55" s="12">
        <f>IF('Données projet'!$A$88&gt;35,BD54+BC55-BL54,IF(A55&lt;'Données projet'!$A$88,$BA$205^A55,IF(A55='Données projet'!$A$88,'Données projet'!$B$88,BD54+BC55-BL54)))</f>
        <v>323.99999999999989</v>
      </c>
      <c r="BE55" s="13">
        <f>BD55*VLOOKUP('Données projet'!$B$11,Paramètres!$A$1:$I$89,3,0)*VLOOKUP('Données projet'!$B$11,Paramètres!$A$1:$I$89,5,0)</f>
        <v>202.17599999999996</v>
      </c>
      <c r="BF55" s="13">
        <f t="shared" si="37"/>
        <v>50.22208506756467</v>
      </c>
      <c r="BG55" s="20">
        <f t="shared" si="7"/>
        <v>439.59333149267508</v>
      </c>
      <c r="BH55" s="59">
        <f t="shared" si="8"/>
        <v>732.92666482600839</v>
      </c>
      <c r="BI55" s="59">
        <f ca="1">AVERAGE(OFFSET($BH$3,0,0,'Données projet'!$E$11+1,1))-AVERAGE(OFFSET($H$3,0,0,'Données projet'!$E$11+1,1))</f>
        <v>261.27638267284169</v>
      </c>
      <c r="BJ55" s="59">
        <f t="shared" si="38"/>
        <v>297.50513563712764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5.3970274110055403</v>
      </c>
      <c r="BQ55" s="21">
        <f>EXP(-LN(2)/25)*BQ54+(1-EXP(-LN(2)/25))/(LN(2)/25)*Calculateur!BL55*Calculateur!BN55*VLOOKUP('Données projet'!$B$11,Paramètres!$A$1:$I$89,3,0)*0.475*44/12</f>
        <v>15.143578427146748</v>
      </c>
      <c r="BR55" s="21">
        <f>EXP(-LN(2)/2)*BR54+(1-EXP(-LN(2)/2))/(LN(2)/2)*BL55*BO55*VLOOKUP('Données projet'!$B$11,Paramètres!$A$1:$I$89,3,0)*0.475*44/12</f>
        <v>1.1914644109820254E-2</v>
      </c>
      <c r="BS55" s="22">
        <f t="shared" si="9"/>
        <v>20.552520482262107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14.4</v>
      </c>
      <c r="BY55" s="12">
        <f>IF('Données projet'!$A$114&gt;35,BY54+BX55-CG54,IF(A55&lt;'Données projet'!$A$114,$BV$205^A55,IF(A55='Données projet'!$A$114,'Données projet'!$B$114,BY54+BX55-CG54)))</f>
        <v>390.80000000000041</v>
      </c>
      <c r="BZ55" s="13">
        <f>BY55*VLOOKUP('Données projet'!$B$12,Paramètres!$A$1:$I$89,3,0)*VLOOKUP('Données projet'!$B$12,Paramètres!$A$1:$I$89,5,0)</f>
        <v>233.69840000000028</v>
      </c>
      <c r="CA55" s="13">
        <f t="shared" si="39"/>
        <v>57.081618134454224</v>
      </c>
      <c r="CB55" s="20">
        <f t="shared" si="10"/>
        <v>506.44186491750833</v>
      </c>
      <c r="CC55" s="59">
        <f t="shared" si="11"/>
        <v>799.77519825084164</v>
      </c>
      <c r="CD55" s="59">
        <f ca="1">AVERAGE(OFFSET($CC$3,0,0,'Données projet'!$E$12+1,1))-AVERAGE(OFFSET($H$3,0,0,'Données projet'!$E$12+1,1))</f>
        <v>314.69202393413491</v>
      </c>
      <c r="CE55" s="59">
        <f t="shared" si="40"/>
        <v>321.1728368524748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2.2628161801351361</v>
      </c>
      <c r="CL55" s="21">
        <f>EXP(-LN(2)/25)*CL54+(1-EXP(-LN(2)/25))/(LN(2)/25)*Calculateur!CG55*Calculateur!CI55*VLOOKUP('Données projet'!$B$12,Paramètres!$A$1:$I$89,3,0)*0.475*44/12</f>
        <v>11.595307854433617</v>
      </c>
      <c r="CM55" s="21">
        <f>EXP(-LN(2)/2)*CM54+(1-EXP(-LN(2)/2))/(LN(2)/2)*CG55*CJ55*VLOOKUP('Données projet'!$B$12,Paramètres!$A$1:$I$89,3,0)*0.475*44/12</f>
        <v>1.4796549861410652E-2</v>
      </c>
      <c r="CN55" s="22">
        <f t="shared" si="12"/>
        <v>13.872920584430164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19.3</v>
      </c>
      <c r="N56" s="13">
        <f>IF('Données projet'!$A$36&gt;35,N55+M56-V55,IF(A56&lt;'Données projet'!$A$36,$K$205^A56,IF(A56='Données projet'!$A$36,'Données projet'!$B$36,N55+M56-V55)))</f>
        <v>543.89999999999975</v>
      </c>
      <c r="O56" s="13">
        <f>N56*VLOOKUP('Données projet'!$B$9,Paramètres!$A$1:$I$89,3,0)*VLOOKUP('Données projet'!$B$9,Paramètres!$A$1:$I$89,5,0)</f>
        <v>304.04009999999988</v>
      </c>
      <c r="P56" s="13">
        <f t="shared" si="33"/>
        <v>72.022763091018376</v>
      </c>
      <c r="Q56" s="20">
        <f t="shared" si="53"/>
        <v>654.97615321685669</v>
      </c>
      <c r="R56" s="59">
        <f t="shared" si="0"/>
        <v>948.30948655019006</v>
      </c>
      <c r="S56" s="59">
        <f ca="1">AVERAGE(OFFSET($R$3,0,0,'Données projet'!$E$9+1,1))-AVERAGE(OFFSET($H$3,0,0,'Données projet'!$E$9+1,1))</f>
        <v>415.91544298418842</v>
      </c>
      <c r="T56" s="59">
        <f t="shared" si="34"/>
        <v>422.79312683312583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7.2417107430399019</v>
      </c>
      <c r="AA56" s="21">
        <f>EXP(-LN(2)/25)*AA55+(1-EXP(-LN(2)/25))/(LN(2)/25)*Calculateur!V56*Calculateur!X56*VLOOKUP('Données projet'!$B$9,Paramètres!$A$1:$I$89,3,0)*0.475*44/12</f>
        <v>20.484697861294258</v>
      </c>
      <c r="AB56" s="21">
        <f>EXP(-LN(2)/2)*AB55+(1-EXP(-LN(2)/2))/(LN(2)/2)*V56*Y56*VLOOKUP('Données projet'!$B$9,Paramètres!$A$1:$I$89,3,0)*0.475*44/12</f>
        <v>1.2592539892501772E-2</v>
      </c>
      <c r="AC56" s="22">
        <f t="shared" si="3"/>
        <v>27.739001144226663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13.499999999999996</v>
      </c>
      <c r="AI56" s="13">
        <f>IF('Données projet'!$A$62&gt;35,AI55+AH56-AQ55,IF(A56&lt;'Données projet'!$A$62,$AF$205^A56,IF(A56='Données projet'!$A$62,'Données projet'!$B$62,AI55+AH56-AQ55)))</f>
        <v>280.29999999999984</v>
      </c>
      <c r="AJ56" s="13">
        <f>AI56*VLOOKUP('Données projet'!$B$10,Paramètres!$A$1:$I$89,3,0)*VLOOKUP('Données projet'!$B$10,Paramètres!$A$1:$I$89,5,0)</f>
        <v>131.18039999999993</v>
      </c>
      <c r="AK56" s="13">
        <f t="shared" si="35"/>
        <v>34.268971460239172</v>
      </c>
      <c r="AL56" s="20">
        <f t="shared" si="4"/>
        <v>288.15765529324972</v>
      </c>
      <c r="AM56" s="59">
        <f t="shared" si="5"/>
        <v>581.49098862658298</v>
      </c>
      <c r="AN56" s="59">
        <f ca="1">AVERAGE(OFFSET($AM$3,0,0,'Données projet'!$E$10+1,1))-AVERAGE(OFFSET($H$3,0,0,'Données projet'!$E$10+1,1))</f>
        <v>215.23235148064941</v>
      </c>
      <c r="AO56" s="59">
        <f t="shared" si="36"/>
        <v>184.07239726900434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1.9877413341859023</v>
      </c>
      <c r="AV56" s="21">
        <f>EXP(-LN(2)/25)*AV55+(1-EXP(-LN(2)/25))/(LN(2)/25)*Calculateur!AQ56*Calculateur!AS56*VLOOKUP('Données projet'!$B$10,Paramètres!$A$1:$I$89,3,0)*0.475*44/12</f>
        <v>4.1516837695788453</v>
      </c>
      <c r="AW56" s="21">
        <f>EXP(-LN(2)/2)*AW55+(1-EXP(-LN(2)/2))/(LN(2)/2)*AQ56*AT56*VLOOKUP('Données projet'!$B$10,Paramètres!$A$1:$I$89,3,0)*0.475*44/12</f>
        <v>3.3947259096875865E-3</v>
      </c>
      <c r="AX56" s="21">
        <f t="shared" si="6"/>
        <v>6.1428198296744343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10</v>
      </c>
      <c r="BD56" s="12">
        <f>IF('Données projet'!$A$88&gt;35,BD55+BC56-BL55,IF(A56&lt;'Données projet'!$A$88,$BA$205^A56,IF(A56='Données projet'!$A$88,'Données projet'!$B$88,BD55+BC56-BL55)))</f>
        <v>333.99999999999989</v>
      </c>
      <c r="BE56" s="13">
        <f>BD56*VLOOKUP('Données projet'!$B$11,Paramètres!$A$1:$I$89,3,0)*VLOOKUP('Données projet'!$B$11,Paramètres!$A$1:$I$89,5,0)</f>
        <v>208.41599999999991</v>
      </c>
      <c r="BF56" s="13">
        <f t="shared" si="37"/>
        <v>51.589289462027516</v>
      </c>
      <c r="BG56" s="20">
        <f t="shared" si="7"/>
        <v>452.84254581303099</v>
      </c>
      <c r="BH56" s="59">
        <f t="shared" si="8"/>
        <v>746.17587914636431</v>
      </c>
      <c r="BI56" s="59">
        <f ca="1">AVERAGE(OFFSET($BH$3,0,0,'Données projet'!$E$11+1,1))-AVERAGE(OFFSET($H$3,0,0,'Données projet'!$E$11+1,1))</f>
        <v>261.27638267284169</v>
      </c>
      <c r="BJ56" s="59">
        <f t="shared" si="38"/>
        <v>297.50513563712764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5.2911949953373982</v>
      </c>
      <c r="BQ56" s="21">
        <f>EXP(-LN(2)/25)*BQ55+(1-EXP(-LN(2)/25))/(LN(2)/25)*Calculateur!BL56*Calculateur!BN56*VLOOKUP('Données projet'!$B$11,Paramètres!$A$1:$I$89,3,0)*0.475*44/12</f>
        <v>14.729476478690241</v>
      </c>
      <c r="BR56" s="21">
        <f>EXP(-LN(2)/2)*BR55+(1-EXP(-LN(2)/2))/(LN(2)/2)*BL56*BO56*VLOOKUP('Données projet'!$B$11,Paramètres!$A$1:$I$89,3,0)*0.475*44/12</f>
        <v>8.4249256454782574E-3</v>
      </c>
      <c r="BS56" s="22">
        <f t="shared" si="9"/>
        <v>20.029096399673119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14.4</v>
      </c>
      <c r="BY56" s="12">
        <f>IF('Données projet'!$A$114&gt;35,BY55+BX56-CG55,IF(A56&lt;'Données projet'!$A$114,$BV$205^A56,IF(A56='Données projet'!$A$114,'Données projet'!$B$114,BY55+BX56-CG55)))</f>
        <v>405.20000000000039</v>
      </c>
      <c r="BZ56" s="13">
        <f>BY56*VLOOKUP('Données projet'!$B$12,Paramètres!$A$1:$I$89,3,0)*VLOOKUP('Données projet'!$B$12,Paramètres!$A$1:$I$89,5,0)</f>
        <v>242.30960000000027</v>
      </c>
      <c r="CA56" s="13">
        <f t="shared" si="39"/>
        <v>58.936174849921215</v>
      </c>
      <c r="CB56" s="20">
        <f t="shared" si="10"/>
        <v>524.66972453027984</v>
      </c>
      <c r="CC56" s="59">
        <f t="shared" si="11"/>
        <v>818.00305786361309</v>
      </c>
      <c r="CD56" s="59">
        <f ca="1">AVERAGE(OFFSET($CC$3,0,0,'Données projet'!$E$12+1,1))-AVERAGE(OFFSET($H$3,0,0,'Données projet'!$E$12+1,1))</f>
        <v>314.69202393413491</v>
      </c>
      <c r="CE56" s="59">
        <f t="shared" si="40"/>
        <v>321.1728368524748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2.2184437350242745</v>
      </c>
      <c r="CL56" s="21">
        <f>EXP(-LN(2)/25)*CL55+(1-EXP(-LN(2)/25))/(LN(2)/25)*Calculateur!CG56*Calculateur!CI56*VLOOKUP('Données projet'!$B$12,Paramètres!$A$1:$I$89,3,0)*0.475*44/12</f>
        <v>11.278233551383391</v>
      </c>
      <c r="CM56" s="21">
        <f>EXP(-LN(2)/2)*CM55+(1-EXP(-LN(2)/2))/(LN(2)/2)*CG56*CJ56*VLOOKUP('Données projet'!$B$12,Paramètres!$A$1:$I$89,3,0)*0.475*44/12</f>
        <v>1.0462740745168342E-2</v>
      </c>
      <c r="CN56" s="22">
        <f t="shared" si="12"/>
        <v>13.507140027152834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19.3</v>
      </c>
      <c r="N57" s="13">
        <f>IF('Données projet'!$A$36&gt;35,N56+M57-V56,IF(A57&lt;'Données projet'!$A$36,$K$205^A57,IF(A57='Données projet'!$A$36,'Données projet'!$B$36,N56+M57-V56)))</f>
        <v>563.1999999999997</v>
      </c>
      <c r="O57" s="13">
        <f>N57*VLOOKUP('Données projet'!$B$9,Paramètres!$A$1:$I$89,3,0)*VLOOKUP('Données projet'!$B$9,Paramètres!$A$1:$I$89,5,0)</f>
        <v>314.82879999999983</v>
      </c>
      <c r="P57" s="13">
        <f t="shared" si="33"/>
        <v>74.276366834686527</v>
      </c>
      <c r="Q57" s="20">
        <f t="shared" si="53"/>
        <v>677.69149890374536</v>
      </c>
      <c r="R57" s="59">
        <f t="shared" si="0"/>
        <v>971.02483223707873</v>
      </c>
      <c r="S57" s="59">
        <f ca="1">AVERAGE(OFFSET($R$3,0,0,'Données projet'!$E$9+1,1))-AVERAGE(OFFSET($H$3,0,0,'Données projet'!$E$9+1,1))</f>
        <v>415.91544298418842</v>
      </c>
      <c r="T57" s="59">
        <f t="shared" si="34"/>
        <v>422.79312683312583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7.0997052123762998</v>
      </c>
      <c r="AA57" s="21">
        <f>EXP(-LN(2)/25)*AA56+(1-EXP(-LN(2)/25))/(LN(2)/25)*Calculateur!V57*Calculateur!X57*VLOOKUP('Données projet'!$B$9,Paramètres!$A$1:$I$89,3,0)*0.475*44/12</f>
        <v>19.924542721033724</v>
      </c>
      <c r="AB57" s="21">
        <f>EXP(-LN(2)/2)*AB56+(1-EXP(-LN(2)/2))/(LN(2)/2)*V57*Y57*VLOOKUP('Données projet'!$B$9,Paramètres!$A$1:$I$89,3,0)*0.475*44/12</f>
        <v>8.904270350350121E-3</v>
      </c>
      <c r="AC57" s="22">
        <f t="shared" si="3"/>
        <v>27.033152203760373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13.499999999999996</v>
      </c>
      <c r="AI57" s="13">
        <f>IF('Données projet'!$A$62&gt;35,AI56+AH57-AQ56,IF(A57&lt;'Données projet'!$A$62,$AF$205^A57,IF(A57='Données projet'!$A$62,'Données projet'!$B$62,AI56+AH57-AQ56)))</f>
        <v>293.79999999999984</v>
      </c>
      <c r="AJ57" s="13">
        <f>AI57*VLOOKUP('Données projet'!$B$10,Paramètres!$A$1:$I$89,3,0)*VLOOKUP('Données projet'!$B$10,Paramètres!$A$1:$I$89,5,0)</f>
        <v>137.49839999999992</v>
      </c>
      <c r="AK57" s="13">
        <f t="shared" si="35"/>
        <v>35.723324086274197</v>
      </c>
      <c r="AL57" s="20">
        <f t="shared" si="4"/>
        <v>301.69450278359409</v>
      </c>
      <c r="AM57" s="59">
        <f t="shared" si="5"/>
        <v>595.02783611692735</v>
      </c>
      <c r="AN57" s="59">
        <f ca="1">AVERAGE(OFFSET($AM$3,0,0,'Données projet'!$E$10+1,1))-AVERAGE(OFFSET($H$3,0,0,'Données projet'!$E$10+1,1))</f>
        <v>215.23235148064941</v>
      </c>
      <c r="AO57" s="59">
        <f t="shared" si="36"/>
        <v>184.07239726900434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1.9487629390250159</v>
      </c>
      <c r="AV57" s="21">
        <f>EXP(-LN(2)/25)*AV56+(1-EXP(-LN(2)/25))/(LN(2)/25)*Calculateur!AQ57*Calculateur!AS57*VLOOKUP('Données projet'!$B$10,Paramètres!$A$1:$I$89,3,0)*0.475*44/12</f>
        <v>4.0381557585721515</v>
      </c>
      <c r="AW57" s="21">
        <f>EXP(-LN(2)/2)*AW56+(1-EXP(-LN(2)/2))/(LN(2)/2)*AQ57*AT57*VLOOKUP('Données projet'!$B$10,Paramètres!$A$1:$I$89,3,0)*0.475*44/12</f>
        <v>2.4004337110097636E-3</v>
      </c>
      <c r="AX57" s="21">
        <f t="shared" si="6"/>
        <v>5.9893191313081768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10</v>
      </c>
      <c r="BD57" s="12">
        <f>IF('Données projet'!$A$88&gt;35,BD56+BC57-BL56,IF(A57&lt;'Données projet'!$A$88,$BA$205^A57,IF(A57='Données projet'!$A$88,'Données projet'!$B$88,BD56+BC57-BL56)))</f>
        <v>343.99999999999989</v>
      </c>
      <c r="BE57" s="13">
        <f>BD57*VLOOKUP('Données projet'!$B$11,Paramètres!$A$1:$I$89,3,0)*VLOOKUP('Données projet'!$B$11,Paramètres!$A$1:$I$89,5,0)</f>
        <v>214.65599999999995</v>
      </c>
      <c r="BF57" s="13">
        <f t="shared" si="37"/>
        <v>52.951736650296546</v>
      </c>
      <c r="BG57" s="20">
        <f t="shared" si="7"/>
        <v>466.08347466593301</v>
      </c>
      <c r="BH57" s="59">
        <f t="shared" si="8"/>
        <v>759.41680799926633</v>
      </c>
      <c r="BI57" s="59">
        <f ca="1">AVERAGE(OFFSET($BH$3,0,0,'Données projet'!$E$11+1,1))-AVERAGE(OFFSET($H$3,0,0,'Données projet'!$E$11+1,1))</f>
        <v>261.27638267284169</v>
      </c>
      <c r="BJ57" s="59">
        <f t="shared" si="38"/>
        <v>297.50513563712764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5.1874378887891082</v>
      </c>
      <c r="BQ57" s="21">
        <f>EXP(-LN(2)/25)*BQ56+(1-EXP(-LN(2)/25))/(LN(2)/25)*Calculateur!BL57*Calculateur!BN57*VLOOKUP('Données projet'!$B$11,Paramètres!$A$1:$I$89,3,0)*0.475*44/12</f>
        <v>14.326698169790953</v>
      </c>
      <c r="BR57" s="21">
        <f>EXP(-LN(2)/2)*BR56+(1-EXP(-LN(2)/2))/(LN(2)/2)*BL57*BO57*VLOOKUP('Données projet'!$B$11,Paramètres!$A$1:$I$89,3,0)*0.475*44/12</f>
        <v>5.9573220549101269E-3</v>
      </c>
      <c r="BS57" s="22">
        <f t="shared" si="9"/>
        <v>19.520093380634972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14.4</v>
      </c>
      <c r="BY57" s="12">
        <f>IF('Données projet'!$A$114&gt;35,BY56+BX57-CG56,IF(A57&lt;'Données projet'!$A$114,$BV$205^A57,IF(A57='Données projet'!$A$114,'Données projet'!$B$114,BY56+BX57-CG56)))</f>
        <v>419.60000000000036</v>
      </c>
      <c r="BZ57" s="13">
        <f>BY57*VLOOKUP('Données projet'!$B$12,Paramètres!$A$1:$I$89,3,0)*VLOOKUP('Données projet'!$B$12,Paramètres!$A$1:$I$89,5,0)</f>
        <v>250.92080000000021</v>
      </c>
      <c r="CA57" s="13">
        <f t="shared" si="39"/>
        <v>60.783074104551602</v>
      </c>
      <c r="CB57" s="20">
        <f t="shared" si="10"/>
        <v>542.88424739876098</v>
      </c>
      <c r="CC57" s="59">
        <f t="shared" si="11"/>
        <v>836.21758073209435</v>
      </c>
      <c r="CD57" s="59">
        <f ca="1">AVERAGE(OFFSET($CC$3,0,0,'Données projet'!$E$12+1,1))-AVERAGE(OFFSET($H$3,0,0,'Données projet'!$E$12+1,1))</f>
        <v>314.69202393413491</v>
      </c>
      <c r="CE57" s="59">
        <f t="shared" si="40"/>
        <v>321.1728368524748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2.1749414064975174</v>
      </c>
      <c r="CL57" s="21">
        <f>EXP(-LN(2)/25)*CL56+(1-EXP(-LN(2)/25))/(LN(2)/25)*Calculateur!CG57*Calculateur!CI57*VLOOKUP('Données projet'!$B$12,Paramètres!$A$1:$I$89,3,0)*0.475*44/12</f>
        <v>10.969829661824287</v>
      </c>
      <c r="CM57" s="21">
        <f>EXP(-LN(2)/2)*CM56+(1-EXP(-LN(2)/2))/(LN(2)/2)*CG57*CJ57*VLOOKUP('Données projet'!$B$12,Paramètres!$A$1:$I$89,3,0)*0.475*44/12</f>
        <v>7.398274930705326E-3</v>
      </c>
      <c r="CN57" s="22">
        <f t="shared" si="12"/>
        <v>13.15216934325251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19.3</v>
      </c>
      <c r="N58" s="13">
        <f>IF('Données projet'!$A$36&gt;35,N57+M58-V57,IF(A58&lt;'Données projet'!$A$36,$K$205^A58,IF(A58='Données projet'!$A$36,'Données projet'!$B$36,N57+M58-V57)))</f>
        <v>582.49999999999966</v>
      </c>
      <c r="O58" s="13">
        <f>N58*VLOOKUP('Données projet'!$B$9,Paramètres!$A$1:$I$89,3,0)*VLOOKUP('Données projet'!$B$9,Paramètres!$A$1:$I$89,5,0)</f>
        <v>325.61749999999984</v>
      </c>
      <c r="P58" s="13">
        <f t="shared" si="33"/>
        <v>76.520997341690872</v>
      </c>
      <c r="Q58" s="20">
        <f t="shared" si="53"/>
        <v>700.39121620344451</v>
      </c>
      <c r="R58" s="59">
        <f t="shared" si="0"/>
        <v>993.72454953677789</v>
      </c>
      <c r="S58" s="59">
        <f ca="1">AVERAGE(OFFSET($R$3,0,0,'Données projet'!$E$9+1,1))-AVERAGE(OFFSET($H$3,0,0,'Données projet'!$E$9+1,1))</f>
        <v>415.91544298418842</v>
      </c>
      <c r="T58" s="59">
        <f t="shared" si="34"/>
        <v>422.79312683312583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6.9604843235541898</v>
      </c>
      <c r="AA58" s="21">
        <f>EXP(-LN(2)/25)*AA57+(1-EXP(-LN(2)/25))/(LN(2)/25)*Calculateur!V58*Calculateur!X58*VLOOKUP('Données projet'!$B$9,Paramètres!$A$1:$I$89,3,0)*0.475*44/12</f>
        <v>19.379705052540892</v>
      </c>
      <c r="AB58" s="21">
        <f>EXP(-LN(2)/2)*AB57+(1-EXP(-LN(2)/2))/(LN(2)/2)*V58*Y58*VLOOKUP('Données projet'!$B$9,Paramètres!$A$1:$I$89,3,0)*0.475*44/12</f>
        <v>6.296269946250886E-3</v>
      </c>
      <c r="AC58" s="22">
        <f t="shared" si="3"/>
        <v>26.346485646041334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13.499999999999996</v>
      </c>
      <c r="AI58" s="13">
        <f>IF('Données projet'!$A$62&gt;35,AI57+AH58-AQ57,IF(A58&lt;'Données projet'!$A$62,$AF$205^A58,IF(A58='Données projet'!$A$62,'Données projet'!$B$62,AI57+AH58-AQ57)))</f>
        <v>307.29999999999984</v>
      </c>
      <c r="AJ58" s="13">
        <f>AI58*VLOOKUP('Données projet'!$B$10,Paramètres!$A$1:$I$89,3,0)*VLOOKUP('Données projet'!$B$10,Paramètres!$A$1:$I$89,5,0)</f>
        <v>143.81639999999993</v>
      </c>
      <c r="AK58" s="13">
        <f t="shared" si="35"/>
        <v>37.169915935828818</v>
      </c>
      <c r="AL58" s="20">
        <f t="shared" si="4"/>
        <v>315.21783358823507</v>
      </c>
      <c r="AM58" s="59">
        <f t="shared" si="5"/>
        <v>608.55116692156844</v>
      </c>
      <c r="AN58" s="59">
        <f ca="1">AVERAGE(OFFSET($AM$3,0,0,'Données projet'!$E$10+1,1))-AVERAGE(OFFSET($H$3,0,0,'Données projet'!$E$10+1,1))</f>
        <v>215.23235148064941</v>
      </c>
      <c r="AO58" s="59">
        <f t="shared" si="36"/>
        <v>184.07239726900434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1.9105488864187608</v>
      </c>
      <c r="AV58" s="21">
        <f>EXP(-LN(2)/25)*AV57+(1-EXP(-LN(2)/25))/(LN(2)/25)*Calculateur!AQ58*Calculateur!AS58*VLOOKUP('Données projet'!$B$10,Paramètres!$A$1:$I$89,3,0)*0.475*44/12</f>
        <v>3.927732176996614</v>
      </c>
      <c r="AW58" s="21">
        <f>EXP(-LN(2)/2)*AW57+(1-EXP(-LN(2)/2))/(LN(2)/2)*AQ58*AT58*VLOOKUP('Données projet'!$B$10,Paramètres!$A$1:$I$89,3,0)*0.475*44/12</f>
        <v>1.6973629548437932E-3</v>
      </c>
      <c r="AX58" s="21">
        <f t="shared" si="6"/>
        <v>5.8399784263702186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10</v>
      </c>
      <c r="BD58" s="12">
        <f>IF('Données projet'!$A$88&gt;35,BD57+BC58-BL57,IF(A58&lt;'Données projet'!$A$88,$BA$205^A58,IF(A58='Données projet'!$A$88,'Données projet'!$B$88,BD57+BC58-BL57)))</f>
        <v>353.99999999999989</v>
      </c>
      <c r="BE58" s="13">
        <f>BD58*VLOOKUP('Données projet'!$B$11,Paramètres!$A$1:$I$89,3,0)*VLOOKUP('Données projet'!$B$11,Paramètres!$A$1:$I$89,5,0)</f>
        <v>220.89599999999993</v>
      </c>
      <c r="BF58" s="13">
        <f t="shared" si="37"/>
        <v>54.309580803412238</v>
      </c>
      <c r="BG58" s="20">
        <f t="shared" si="7"/>
        <v>479.31638656594276</v>
      </c>
      <c r="BH58" s="59">
        <f t="shared" si="8"/>
        <v>772.64971989927608</v>
      </c>
      <c r="BI58" s="59">
        <f ca="1">AVERAGE(OFFSET($BH$3,0,0,'Données projet'!$E$11+1,1))-AVERAGE(OFFSET($H$3,0,0,'Données projet'!$E$11+1,1))</f>
        <v>261.27638267284169</v>
      </c>
      <c r="BJ58" s="59">
        <f t="shared" si="38"/>
        <v>297.50513563712764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5.0857153958146446</v>
      </c>
      <c r="BQ58" s="21">
        <f>EXP(-LN(2)/25)*BQ57+(1-EXP(-LN(2)/25))/(LN(2)/25)*Calculateur!BL58*Calculateur!BN58*VLOOKUP('Données projet'!$B$11,Paramètres!$A$1:$I$89,3,0)*0.475*44/12</f>
        <v>13.934933854929707</v>
      </c>
      <c r="BR58" s="21">
        <f>EXP(-LN(2)/2)*BR57+(1-EXP(-LN(2)/2))/(LN(2)/2)*BL58*BO58*VLOOKUP('Données projet'!$B$11,Paramètres!$A$1:$I$89,3,0)*0.475*44/12</f>
        <v>4.2124628227391287E-3</v>
      </c>
      <c r="BS58" s="22">
        <f t="shared" si="9"/>
        <v>19.024861713567091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14.4</v>
      </c>
      <c r="BY58" s="12">
        <f>IF('Données projet'!$A$114&gt;35,BY57+BX58-CG57,IF(A58&lt;'Données projet'!$A$114,$BV$205^A58,IF(A58='Données projet'!$A$114,'Données projet'!$B$114,BY57+BX58-CG57)))</f>
        <v>434.00000000000034</v>
      </c>
      <c r="BZ58" s="13">
        <f>BY58*VLOOKUP('Données projet'!$B$12,Paramètres!$A$1:$I$89,3,0)*VLOOKUP('Données projet'!$B$12,Paramètres!$A$1:$I$89,5,0)</f>
        <v>259.53200000000021</v>
      </c>
      <c r="CA58" s="13">
        <f t="shared" si="39"/>
        <v>62.622608810743898</v>
      </c>
      <c r="CB58" s="20">
        <f t="shared" si="10"/>
        <v>561.08594367871262</v>
      </c>
      <c r="CC58" s="59">
        <f t="shared" si="11"/>
        <v>854.419277012046</v>
      </c>
      <c r="CD58" s="59">
        <f ca="1">AVERAGE(OFFSET($CC$3,0,0,'Données projet'!$E$12+1,1))-AVERAGE(OFFSET($H$3,0,0,'Données projet'!$E$12+1,1))</f>
        <v>314.69202393413491</v>
      </c>
      <c r="CE58" s="59">
        <f t="shared" si="40"/>
        <v>321.1728368524748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2.1322921320993697</v>
      </c>
      <c r="CL58" s="21">
        <f>EXP(-LN(2)/25)*CL57+(1-EXP(-LN(2)/25))/(LN(2)/25)*Calculateur!CG58*Calculateur!CI58*VLOOKUP('Données projet'!$B$12,Paramètres!$A$1:$I$89,3,0)*0.475*44/12</f>
        <v>10.669859092843431</v>
      </c>
      <c r="CM58" s="21">
        <f>EXP(-LN(2)/2)*CM57+(1-EXP(-LN(2)/2))/(LN(2)/2)*CG58*CJ58*VLOOKUP('Données projet'!$B$12,Paramètres!$A$1:$I$89,3,0)*0.475*44/12</f>
        <v>5.2313703725841709E-3</v>
      </c>
      <c r="CN58" s="22">
        <f t="shared" si="12"/>
        <v>12.807382595315385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19.3</v>
      </c>
      <c r="N59" s="13">
        <f>IF('Données projet'!$A$36&gt;35,N58+M59-V58,IF(A59&lt;'Données projet'!$A$36,$K$205^A59,IF(A59='Données projet'!$A$36,'Données projet'!$B$36,N58+M59-V58)))</f>
        <v>601.79999999999961</v>
      </c>
      <c r="O59" s="13">
        <f>N59*VLOOKUP('Données projet'!$B$9,Paramètres!$A$1:$I$89,3,0)*VLOOKUP('Données projet'!$B$9,Paramètres!$A$1:$I$89,5,0)</f>
        <v>336.40619999999979</v>
      </c>
      <c r="P59" s="13">
        <f t="shared" si="33"/>
        <v>78.756986013586328</v>
      </c>
      <c r="Q59" s="20">
        <f t="shared" si="53"/>
        <v>723.07588230699582</v>
      </c>
      <c r="R59" s="59">
        <f t="shared" si="0"/>
        <v>1016.4092156403292</v>
      </c>
      <c r="S59" s="59">
        <f ca="1">AVERAGE(OFFSET($R$3,0,0,'Données projet'!$E$9+1,1))-AVERAGE(OFFSET($H$3,0,0,'Données projet'!$E$9+1,1))</f>
        <v>415.91544298418842</v>
      </c>
      <c r="T59" s="59">
        <f t="shared" si="34"/>
        <v>422.79312683312583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6.8239934714455233</v>
      </c>
      <c r="AA59" s="21">
        <f>EXP(-LN(2)/25)*AA58+(1-EXP(-LN(2)/25))/(LN(2)/25)*Calculateur!V59*Calculateur!X59*VLOOKUP('Données projet'!$B$9,Paramètres!$A$1:$I$89,3,0)*0.475*44/12</f>
        <v>18.849765998744765</v>
      </c>
      <c r="AB59" s="21">
        <f>EXP(-LN(2)/2)*AB58+(1-EXP(-LN(2)/2))/(LN(2)/2)*V59*Y59*VLOOKUP('Données projet'!$B$9,Paramètres!$A$1:$I$89,3,0)*0.475*44/12</f>
        <v>4.4521351751750605E-3</v>
      </c>
      <c r="AC59" s="22">
        <f t="shared" si="3"/>
        <v>25.678211605365462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13.499999999999996</v>
      </c>
      <c r="AI59" s="13">
        <f>IF('Données projet'!$A$62&gt;35,AI58+AH59-AQ58,IF(A59&lt;'Données projet'!$A$62,$AF$205^A59,IF(A59='Données projet'!$A$62,'Données projet'!$B$62,AI58+AH59-AQ58)))</f>
        <v>320.79999999999984</v>
      </c>
      <c r="AJ59" s="13">
        <f>AI59*VLOOKUP('Données projet'!$B$10,Paramètres!$A$1:$I$89,3,0)*VLOOKUP('Données projet'!$B$10,Paramètres!$A$1:$I$89,5,0)</f>
        <v>150.13439999999994</v>
      </c>
      <c r="AK59" s="13">
        <f t="shared" si="35"/>
        <v>38.609126910934812</v>
      </c>
      <c r="AL59" s="20">
        <f t="shared" si="4"/>
        <v>328.72830936987799</v>
      </c>
      <c r="AM59" s="59">
        <f t="shared" si="5"/>
        <v>622.06164270321131</v>
      </c>
      <c r="AN59" s="59">
        <f ca="1">AVERAGE(OFFSET($AM$3,0,0,'Données projet'!$E$10+1,1))-AVERAGE(OFFSET($H$3,0,0,'Données projet'!$E$10+1,1))</f>
        <v>215.23235148064941</v>
      </c>
      <c r="AO59" s="59">
        <f t="shared" si="36"/>
        <v>184.07239726900434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1.8730841880758438</v>
      </c>
      <c r="AV59" s="21">
        <f>EXP(-LN(2)/25)*AV58+(1-EXP(-LN(2)/25))/(LN(2)/25)*Calculateur!AQ59*Calculateur!AS59*VLOOKUP('Données projet'!$B$10,Paramètres!$A$1:$I$89,3,0)*0.475*44/12</f>
        <v>3.8203281340661834</v>
      </c>
      <c r="AW59" s="21">
        <f>EXP(-LN(2)/2)*AW58+(1-EXP(-LN(2)/2))/(LN(2)/2)*AQ59*AT59*VLOOKUP('Données projet'!$B$10,Paramètres!$A$1:$I$89,3,0)*0.475*44/12</f>
        <v>1.2002168555048818E-3</v>
      </c>
      <c r="AX59" s="21">
        <f t="shared" si="6"/>
        <v>5.6946125389975322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10</v>
      </c>
      <c r="BD59" s="12">
        <f>IF('Données projet'!$A$88&gt;35,BD58+BC59-BL58,IF(A59&lt;'Données projet'!$A$88,$BA$205^A59,IF(A59='Données projet'!$A$88,'Données projet'!$B$88,BD58+BC59-BL58)))</f>
        <v>363.99999999999989</v>
      </c>
      <c r="BE59" s="13">
        <f>BD59*VLOOKUP('Données projet'!$B$11,Paramètres!$A$1:$I$89,3,0)*VLOOKUP('Données projet'!$B$11,Paramètres!$A$1:$I$89,5,0)</f>
        <v>227.13599999999994</v>
      </c>
      <c r="BF59" s="13">
        <f t="shared" si="37"/>
        <v>55.662966886685133</v>
      </c>
      <c r="BG59" s="20">
        <f t="shared" si="7"/>
        <v>492.54153399430987</v>
      </c>
      <c r="BH59" s="59">
        <f t="shared" si="8"/>
        <v>785.87486732764319</v>
      </c>
      <c r="BI59" s="59">
        <f ca="1">AVERAGE(OFFSET($BH$3,0,0,'Données projet'!$E$11+1,1))-AVERAGE(OFFSET($H$3,0,0,'Données projet'!$E$11+1,1))</f>
        <v>261.27638267284169</v>
      </c>
      <c r="BJ59" s="59">
        <f t="shared" si="38"/>
        <v>297.50513563712764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4.9859876188828158</v>
      </c>
      <c r="BQ59" s="21">
        <f>EXP(-LN(2)/25)*BQ58+(1-EXP(-LN(2)/25))/(LN(2)/25)*Calculateur!BL59*Calculateur!BN59*VLOOKUP('Données projet'!$B$11,Paramètres!$A$1:$I$89,3,0)*0.475*44/12</f>
        <v>13.553882355860331</v>
      </c>
      <c r="BR59" s="21">
        <f>EXP(-LN(2)/2)*BR58+(1-EXP(-LN(2)/2))/(LN(2)/2)*BL59*BO59*VLOOKUP('Données projet'!$B$11,Paramètres!$A$1:$I$89,3,0)*0.475*44/12</f>
        <v>2.9786610274550635E-3</v>
      </c>
      <c r="BS59" s="22">
        <f t="shared" si="9"/>
        <v>18.542848635770603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14.4</v>
      </c>
      <c r="BY59" s="12">
        <f>IF('Données projet'!$A$114&gt;35,BY58+BX59-CG58,IF(A59&lt;'Données projet'!$A$114,$BV$205^A59,IF(A59='Données projet'!$A$114,'Données projet'!$B$114,BY58+BX59-CG58)))</f>
        <v>448.40000000000032</v>
      </c>
      <c r="BZ59" s="13">
        <f>BY59*VLOOKUP('Données projet'!$B$12,Paramètres!$A$1:$I$89,3,0)*VLOOKUP('Données projet'!$B$12,Paramètres!$A$1:$I$89,5,0)</f>
        <v>268.14320000000021</v>
      </c>
      <c r="CA59" s="13">
        <f t="shared" si="39"/>
        <v>64.455051340339139</v>
      </c>
      <c r="CB59" s="20">
        <f t="shared" si="10"/>
        <v>579.27528775109101</v>
      </c>
      <c r="CC59" s="59">
        <f t="shared" si="11"/>
        <v>872.60862108442439</v>
      </c>
      <c r="CD59" s="59">
        <f ca="1">AVERAGE(OFFSET($CC$3,0,0,'Données projet'!$E$12+1,1))-AVERAGE(OFFSET($H$3,0,0,'Données projet'!$E$12+1,1))</f>
        <v>314.69202393413491</v>
      </c>
      <c r="CE59" s="59">
        <f t="shared" si="40"/>
        <v>321.1728368524748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2.0904791839586809</v>
      </c>
      <c r="CL59" s="21">
        <f>EXP(-LN(2)/25)*CL58+(1-EXP(-LN(2)/25))/(LN(2)/25)*Calculateur!CG59*Calculateur!CI59*VLOOKUP('Données projet'!$B$12,Paramètres!$A$1:$I$89,3,0)*0.475*44/12</f>
        <v>10.378091234846124</v>
      </c>
      <c r="CM59" s="21">
        <f>EXP(-LN(2)/2)*CM58+(1-EXP(-LN(2)/2))/(LN(2)/2)*CG59*CJ59*VLOOKUP('Données projet'!$B$12,Paramètres!$A$1:$I$89,3,0)*0.475*44/12</f>
        <v>3.699137465352663E-3</v>
      </c>
      <c r="CN59" s="22">
        <f t="shared" si="12"/>
        <v>12.472269556270158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19.3</v>
      </c>
      <c r="N60" s="13">
        <f>IF('Données projet'!$A$36&gt;35,N59+M60-V59,IF(A60&lt;'Données projet'!$A$36,$K$205^A60,IF(A60='Données projet'!$A$36,'Données projet'!$B$36,N59+M60-V59)))</f>
        <v>621.09999999999957</v>
      </c>
      <c r="O60" s="13">
        <f>N60*VLOOKUP('Données projet'!$B$9,Paramètres!$A$1:$I$89,3,0)*VLOOKUP('Données projet'!$B$9,Paramètres!$A$1:$I$89,5,0)</f>
        <v>347.19489999999979</v>
      </c>
      <c r="P60" s="13">
        <f t="shared" si="33"/>
        <v>80.984641788647266</v>
      </c>
      <c r="Q60" s="20">
        <f t="shared" si="53"/>
        <v>745.74603528189357</v>
      </c>
      <c r="R60" s="59">
        <f t="shared" si="0"/>
        <v>1039.0793686152269</v>
      </c>
      <c r="S60" s="59">
        <f ca="1">AVERAGE(OFFSET($R$3,0,0,'Données projet'!$E$9+1,1))-AVERAGE(OFFSET($H$3,0,0,'Données projet'!$E$9+1,1))</f>
        <v>415.91544298418842</v>
      </c>
      <c r="T60" s="59">
        <f t="shared" si="34"/>
        <v>422.79312683312583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6.6901791216955084</v>
      </c>
      <c r="AA60" s="21">
        <f>EXP(-LN(2)/25)*AA59+(1-EXP(-LN(2)/25))/(LN(2)/25)*Calculateur!V60*Calculateur!X60*VLOOKUP('Données projet'!$B$9,Paramètres!$A$1:$I$89,3,0)*0.475*44/12</f>
        <v>18.334318156242976</v>
      </c>
      <c r="AB60" s="21">
        <f>EXP(-LN(2)/2)*AB59+(1-EXP(-LN(2)/2))/(LN(2)/2)*V60*Y60*VLOOKUP('Données projet'!$B$9,Paramètres!$A$1:$I$89,3,0)*0.475*44/12</f>
        <v>3.148134973125443E-3</v>
      </c>
      <c r="AC60" s="22">
        <f t="shared" si="3"/>
        <v>25.027645412911607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13.499999999999996</v>
      </c>
      <c r="AI60" s="13">
        <f>IF('Données projet'!$A$62&gt;35,AI59+AH60-AQ59,IF(A60&lt;'Données projet'!$A$62,$AF$205^A60,IF(A60='Données projet'!$A$62,'Données projet'!$B$62,AI59+AH60-AQ59)))</f>
        <v>334.29999999999984</v>
      </c>
      <c r="AJ60" s="13">
        <f>AI60*VLOOKUP('Données projet'!$B$10,Paramètres!$A$1:$I$89,3,0)*VLOOKUP('Données projet'!$B$10,Paramètres!$A$1:$I$89,5,0)</f>
        <v>156.45239999999993</v>
      </c>
      <c r="AK60" s="13">
        <f t="shared" si="35"/>
        <v>40.041303130551007</v>
      </c>
      <c r="AL60" s="20">
        <f t="shared" si="4"/>
        <v>342.2265329523762</v>
      </c>
      <c r="AM60" s="59">
        <f t="shared" si="5"/>
        <v>635.55986628570952</v>
      </c>
      <c r="AN60" s="59">
        <f ca="1">AVERAGE(OFFSET($AM$3,0,0,'Données projet'!$E$10+1,1))-AVERAGE(OFFSET($H$3,0,0,'Données projet'!$E$10+1,1))</f>
        <v>215.23235148064941</v>
      </c>
      <c r="AO60" s="59">
        <f t="shared" si="36"/>
        <v>184.07239726900434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1.8363541496162219</v>
      </c>
      <c r="AV60" s="21">
        <f>EXP(-LN(2)/25)*AV59+(1-EXP(-LN(2)/25))/(LN(2)/25)*Calculateur!AQ60*Calculateur!AS60*VLOOKUP('Données projet'!$B$10,Paramètres!$A$1:$I$89,3,0)*0.475*44/12</f>
        <v>3.7158610603378186</v>
      </c>
      <c r="AW60" s="21">
        <f>EXP(-LN(2)/2)*AW59+(1-EXP(-LN(2)/2))/(LN(2)/2)*AQ60*AT60*VLOOKUP('Données projet'!$B$10,Paramètres!$A$1:$I$89,3,0)*0.475*44/12</f>
        <v>8.4868147742189661E-4</v>
      </c>
      <c r="AX60" s="21">
        <f t="shared" si="6"/>
        <v>5.5530638914314618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10</v>
      </c>
      <c r="BD60" s="12">
        <f>IF('Données projet'!$A$88&gt;35,BD59+BC60-BL59,IF(A60&lt;'Données projet'!$A$88,$BA$205^A60,IF(A60='Données projet'!$A$88,'Données projet'!$B$88,BD59+BC60-BL59)))</f>
        <v>373.99999999999989</v>
      </c>
      <c r="BE60" s="13">
        <f>BD60*VLOOKUP('Données projet'!$B$11,Paramètres!$A$1:$I$89,3,0)*VLOOKUP('Données projet'!$B$11,Paramètres!$A$1:$I$89,5,0)</f>
        <v>233.37599999999992</v>
      </c>
      <c r="BF60" s="13">
        <f t="shared" si="37"/>
        <v>57.012031446990107</v>
      </c>
      <c r="BG60" s="20">
        <f t="shared" si="7"/>
        <v>505.75915477017423</v>
      </c>
      <c r="BH60" s="59">
        <f t="shared" si="8"/>
        <v>799.09248810350755</v>
      </c>
      <c r="BI60" s="59">
        <f ca="1">AVERAGE(OFFSET($BH$3,0,0,'Données projet'!$E$11+1,1))-AVERAGE(OFFSET($H$3,0,0,'Données projet'!$E$11+1,1))</f>
        <v>261.27638267284169</v>
      </c>
      <c r="BJ60" s="59">
        <f t="shared" si="38"/>
        <v>297.50513563712764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4.8882154428286828</v>
      </c>
      <c r="BQ60" s="21">
        <f>EXP(-LN(2)/25)*BQ59+(1-EXP(-LN(2)/25))/(LN(2)/25)*Calculateur!BL60*Calculateur!BN60*VLOOKUP('Données projet'!$B$11,Paramètres!$A$1:$I$89,3,0)*0.475*44/12</f>
        <v>13.183250730071634</v>
      </c>
      <c r="BR60" s="21">
        <f>EXP(-LN(2)/2)*BR59+(1-EXP(-LN(2)/2))/(LN(2)/2)*BL60*BO60*VLOOKUP('Données projet'!$B$11,Paramètres!$A$1:$I$89,3,0)*0.475*44/12</f>
        <v>2.1062314113695644E-3</v>
      </c>
      <c r="BS60" s="22">
        <f t="shared" si="9"/>
        <v>18.073572404311683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14.4</v>
      </c>
      <c r="BY60" s="12">
        <f>IF('Données projet'!$A$114&gt;35,BY59+BX60-CG59,IF(A60&lt;'Données projet'!$A$114,$BV$205^A60,IF(A60='Données projet'!$A$114,'Données projet'!$B$114,BY59+BX60-CG59)))</f>
        <v>462.8000000000003</v>
      </c>
      <c r="BZ60" s="13">
        <f>BY60*VLOOKUP('Données projet'!$B$12,Paramètres!$A$1:$I$89,3,0)*VLOOKUP('Données projet'!$B$12,Paramètres!$A$1:$I$89,5,0)</f>
        <v>276.7544000000002</v>
      </c>
      <c r="CA60" s="13">
        <f t="shared" si="39"/>
        <v>66.28065557793542</v>
      </c>
      <c r="CB60" s="20">
        <f t="shared" si="10"/>
        <v>597.4527217982378</v>
      </c>
      <c r="CC60" s="59">
        <f t="shared" si="11"/>
        <v>890.78605513157117</v>
      </c>
      <c r="CD60" s="59">
        <f ca="1">AVERAGE(OFFSET($CC$3,0,0,'Données projet'!$E$12+1,1))-AVERAGE(OFFSET($H$3,0,0,'Données projet'!$E$12+1,1))</f>
        <v>314.69202393413491</v>
      </c>
      <c r="CE60" s="59">
        <f t="shared" si="40"/>
        <v>321.1728368524748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2.0494861622276512</v>
      </c>
      <c r="CL60" s="21">
        <f>EXP(-LN(2)/25)*CL59+(1-EXP(-LN(2)/25))/(LN(2)/25)*Calculateur!CG60*Calculateur!CI60*VLOOKUP('Données projet'!$B$12,Paramètres!$A$1:$I$89,3,0)*0.475*44/12</f>
        <v>10.094301784269158</v>
      </c>
      <c r="CM60" s="21">
        <f>EXP(-LN(2)/2)*CM59+(1-EXP(-LN(2)/2))/(LN(2)/2)*CG60*CJ60*VLOOKUP('Données projet'!$B$12,Paramètres!$A$1:$I$89,3,0)*0.475*44/12</f>
        <v>2.6156851862920855E-3</v>
      </c>
      <c r="CN60" s="22">
        <f t="shared" si="12"/>
        <v>12.146403631683102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19.3</v>
      </c>
      <c r="N61" s="13">
        <f>IF('Données projet'!$A$36&gt;35,N60+M61-V60,IF(A61&lt;'Données projet'!$A$36,$K$205^A61,IF(A61='Données projet'!$A$36,'Données projet'!$B$36,N60+M61-V60)))</f>
        <v>640.39999999999952</v>
      </c>
      <c r="O61" s="13">
        <f>N61*VLOOKUP('Données projet'!$B$9,Paramètres!$A$1:$I$89,3,0)*VLOOKUP('Données projet'!$B$9,Paramètres!$A$1:$I$89,5,0)</f>
        <v>357.98359999999974</v>
      </c>
      <c r="P61" s="13">
        <f t="shared" si="33"/>
        <v>83.204253314675796</v>
      </c>
      <c r="Q61" s="20">
        <f t="shared" si="53"/>
        <v>768.40217785639322</v>
      </c>
      <c r="R61" s="59">
        <f t="shared" si="0"/>
        <v>1061.7355111897266</v>
      </c>
      <c r="S61" s="59">
        <f ca="1">AVERAGE(OFFSET($R$3,0,0,'Données projet'!$E$9+1,1))-AVERAGE(OFFSET($H$3,0,0,'Données projet'!$E$9+1,1))</f>
        <v>415.91544298418842</v>
      </c>
      <c r="T61" s="59">
        <f t="shared" si="34"/>
        <v>422.79312683312583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6.5589887897253973</v>
      </c>
      <c r="AA61" s="21">
        <f>EXP(-LN(2)/25)*AA60+(1-EXP(-LN(2)/25))/(LN(2)/25)*Calculateur!V61*Calculateur!X61*VLOOKUP('Données projet'!$B$9,Paramètres!$A$1:$I$89,3,0)*0.475*44/12</f>
        <v>17.832965262100622</v>
      </c>
      <c r="AB61" s="21">
        <f>EXP(-LN(2)/2)*AB60+(1-EXP(-LN(2)/2))/(LN(2)/2)*V61*Y61*VLOOKUP('Données projet'!$B$9,Paramètres!$A$1:$I$89,3,0)*0.475*44/12</f>
        <v>2.2260675875875303E-3</v>
      </c>
      <c r="AC61" s="22">
        <f t="shared" si="3"/>
        <v>24.394180119413608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13.499999999999996</v>
      </c>
      <c r="AI61" s="13">
        <f>IF('Données projet'!$A$62&gt;35,AI60+AH61-AQ60,IF(A61&lt;'Données projet'!$A$62,$AF$205^A61,IF(A61='Données projet'!$A$62,'Données projet'!$B$62,AI60+AH61-AQ60)))</f>
        <v>347.79999999999984</v>
      </c>
      <c r="AJ61" s="13">
        <f>AI61*VLOOKUP('Données projet'!$B$10,Paramètres!$A$1:$I$89,3,0)*VLOOKUP('Données projet'!$B$10,Paramètres!$A$1:$I$89,5,0)</f>
        <v>162.77039999999994</v>
      </c>
      <c r="AK61" s="13">
        <f t="shared" si="35"/>
        <v>41.466761176934256</v>
      </c>
      <c r="AL61" s="20">
        <f t="shared" si="4"/>
        <v>355.71305571649367</v>
      </c>
      <c r="AM61" s="59">
        <f t="shared" si="5"/>
        <v>649.04638904982698</v>
      </c>
      <c r="AN61" s="59">
        <f ca="1">AVERAGE(OFFSET($AM$3,0,0,'Données projet'!$E$10+1,1))-AVERAGE(OFFSET($H$3,0,0,'Données projet'!$E$10+1,1))</f>
        <v>215.23235148064941</v>
      </c>
      <c r="AO61" s="59">
        <f t="shared" si="36"/>
        <v>184.07239726900434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1.8003443648076818</v>
      </c>
      <c r="AV61" s="21">
        <f>EXP(-LN(2)/25)*AV60+(1-EXP(-LN(2)/25))/(LN(2)/25)*Calculateur!AQ61*Calculateur!AS61*VLOOKUP('Données projet'!$B$10,Paramètres!$A$1:$I$89,3,0)*0.475*44/12</f>
        <v>3.6142506442342404</v>
      </c>
      <c r="AW61" s="21">
        <f>EXP(-LN(2)/2)*AW60+(1-EXP(-LN(2)/2))/(LN(2)/2)*AQ61*AT61*VLOOKUP('Données projet'!$B$10,Paramètres!$A$1:$I$89,3,0)*0.475*44/12</f>
        <v>6.0010842775244091E-4</v>
      </c>
      <c r="AX61" s="21">
        <f t="shared" si="6"/>
        <v>5.4151951174696746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10</v>
      </c>
      <c r="BD61" s="12">
        <f>IF('Données projet'!$A$88&gt;35,BD60+BC61-BL60,IF(A61&lt;'Données projet'!$A$88,$BA$205^A61,IF(A61='Données projet'!$A$88,'Données projet'!$B$88,BD60+BC61-BL60)))</f>
        <v>383.99999999999989</v>
      </c>
      <c r="BE61" s="13">
        <f>BD61*VLOOKUP('Données projet'!$B$11,Paramètres!$A$1:$I$89,3,0)*VLOOKUP('Données projet'!$B$11,Paramètres!$A$1:$I$89,5,0)</f>
        <v>239.61599999999993</v>
      </c>
      <c r="BF61" s="13">
        <f t="shared" si="37"/>
        <v>58.356903313490157</v>
      </c>
      <c r="BG61" s="20">
        <f t="shared" si="7"/>
        <v>518.96947327099519</v>
      </c>
      <c r="BH61" s="59">
        <f t="shared" si="8"/>
        <v>812.30280660432845</v>
      </c>
      <c r="BI61" s="59">
        <f ca="1">AVERAGE(OFFSET($BH$3,0,0,'Données projet'!$E$11+1,1))-AVERAGE(OFFSET($H$3,0,0,'Données projet'!$E$11+1,1))</f>
        <v>261.27638267284169</v>
      </c>
      <c r="BJ61" s="59">
        <f t="shared" si="38"/>
        <v>297.50513563712764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4.7923605195118322</v>
      </c>
      <c r="BQ61" s="21">
        <f>EXP(-LN(2)/25)*BQ60+(1-EXP(-LN(2)/25))/(LN(2)/25)*Calculateur!BL61*Calculateur!BN61*VLOOKUP('Données projet'!$B$11,Paramètres!$A$1:$I$89,3,0)*0.475*44/12</f>
        <v>12.822754045580801</v>
      </c>
      <c r="BR61" s="21">
        <f>EXP(-LN(2)/2)*BR60+(1-EXP(-LN(2)/2))/(LN(2)/2)*BL61*BO61*VLOOKUP('Données projet'!$B$11,Paramètres!$A$1:$I$89,3,0)*0.475*44/12</f>
        <v>1.4893305137275317E-3</v>
      </c>
      <c r="BS61" s="22">
        <f t="shared" si="9"/>
        <v>17.61660389560636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14.4</v>
      </c>
      <c r="BY61" s="12">
        <f>IF('Données projet'!$A$114&gt;35,BY60+BX61-CG60,IF(A61&lt;'Données projet'!$A$114,$BV$205^A61,IF(A61='Données projet'!$A$114,'Données projet'!$B$114,BY60+BX61-CG60)))</f>
        <v>477.20000000000027</v>
      </c>
      <c r="BZ61" s="13">
        <f>BY61*VLOOKUP('Données projet'!$B$12,Paramètres!$A$1:$I$89,3,0)*VLOOKUP('Données projet'!$B$12,Paramètres!$A$1:$I$89,5,0)</f>
        <v>285.3656000000002</v>
      </c>
      <c r="CA61" s="13">
        <f t="shared" si="39"/>
        <v>68.099658711467967</v>
      </c>
      <c r="CB61" s="20">
        <f t="shared" si="10"/>
        <v>615.61865892247363</v>
      </c>
      <c r="CC61" s="59">
        <f t="shared" si="11"/>
        <v>908.951992255807</v>
      </c>
      <c r="CD61" s="59">
        <f ca="1">AVERAGE(OFFSET($CC$3,0,0,'Données projet'!$E$12+1,1))-AVERAGE(OFFSET($H$3,0,0,'Données projet'!$E$12+1,1))</f>
        <v>314.69202393413491</v>
      </c>
      <c r="CE61" s="59">
        <f t="shared" si="40"/>
        <v>321.1728368524748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2.0092969886494925</v>
      </c>
      <c r="CL61" s="21">
        <f>EXP(-LN(2)/25)*CL60+(1-EXP(-LN(2)/25))/(LN(2)/25)*Calculateur!CG61*Calculateur!CI61*VLOOKUP('Données projet'!$B$12,Paramètres!$A$1:$I$89,3,0)*0.475*44/12</f>
        <v>9.8182725711420584</v>
      </c>
      <c r="CM61" s="21">
        <f>EXP(-LN(2)/2)*CM60+(1-EXP(-LN(2)/2))/(LN(2)/2)*CG61*CJ61*VLOOKUP('Données projet'!$B$12,Paramètres!$A$1:$I$89,3,0)*0.475*44/12</f>
        <v>1.8495687326763315E-3</v>
      </c>
      <c r="CN61" s="22">
        <f t="shared" si="12"/>
        <v>11.829419128524227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19.3</v>
      </c>
      <c r="N62" s="13">
        <f>IF('Données projet'!$A$36&gt;35,N61+M62-V61,IF(A62&lt;'Données projet'!$A$36,$K$205^A62,IF(A62='Données projet'!$A$36,'Données projet'!$B$36,N61+M62-V61)))</f>
        <v>659.69999999999948</v>
      </c>
      <c r="O62" s="13">
        <f>N62*VLOOKUP('Données projet'!$B$9,Paramètres!$A$1:$I$89,3,0)*VLOOKUP('Données projet'!$B$9,Paramètres!$A$1:$I$89,5,0)</f>
        <v>368.77229999999969</v>
      </c>
      <c r="P62" s="13">
        <f t="shared" si="33"/>
        <v>85.416090852521961</v>
      </c>
      <c r="Q62" s="20">
        <f t="shared" si="53"/>
        <v>791.04478073480857</v>
      </c>
      <c r="R62" s="59">
        <f t="shared" si="0"/>
        <v>1084.3781140681419</v>
      </c>
      <c r="S62" s="59">
        <f ca="1">AVERAGE(OFFSET($R$3,0,0,'Données projet'!$E$9+1,1))-AVERAGE(OFFSET($H$3,0,0,'Données projet'!$E$9+1,1))</f>
        <v>415.91544298418842</v>
      </c>
      <c r="T62" s="59">
        <f t="shared" si="34"/>
        <v>422.79312683312583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6.4303710201470183</v>
      </c>
      <c r="AA62" s="21">
        <f>EXP(-LN(2)/25)*AA61+(1-EXP(-LN(2)/25))/(LN(2)/25)*Calculateur!V62*Calculateur!X62*VLOOKUP('Données projet'!$B$9,Paramètres!$A$1:$I$89,3,0)*0.475*44/12</f>
        <v>17.345321889213594</v>
      </c>
      <c r="AB62" s="21">
        <f>EXP(-LN(2)/2)*AB61+(1-EXP(-LN(2)/2))/(LN(2)/2)*V62*Y62*VLOOKUP('Données projet'!$B$9,Paramètres!$A$1:$I$89,3,0)*0.475*44/12</f>
        <v>1.5740674865627215E-3</v>
      </c>
      <c r="AC62" s="22">
        <f t="shared" si="3"/>
        <v>23.777266976847173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13.499999999999996</v>
      </c>
      <c r="AI62" s="13">
        <f>IF('Données projet'!$A$62&gt;35,AI61+AH62-AQ61,IF(A62&lt;'Données projet'!$A$62,$AF$205^A62,IF(A62='Données projet'!$A$62,'Données projet'!$B$62,AI61+AH62-AQ61)))</f>
        <v>361.29999999999984</v>
      </c>
      <c r="AJ62" s="13">
        <f>AI62*VLOOKUP('Données projet'!$B$10,Paramètres!$A$1:$I$89,3,0)*VLOOKUP('Données projet'!$B$10,Paramètres!$A$1:$I$89,5,0)</f>
        <v>169.08839999999992</v>
      </c>
      <c r="AK62" s="13">
        <f t="shared" si="35"/>
        <v>42.885791664164614</v>
      </c>
      <c r="AL62" s="20">
        <f t="shared" si="4"/>
        <v>369.18838381508658</v>
      </c>
      <c r="AM62" s="59">
        <f t="shared" si="5"/>
        <v>662.52171714841984</v>
      </c>
      <c r="AN62" s="59">
        <f ca="1">AVERAGE(OFFSET($AM$3,0,0,'Données projet'!$E$10+1,1))-AVERAGE(OFFSET($H$3,0,0,'Données projet'!$E$10+1,1))</f>
        <v>215.23235148064941</v>
      </c>
      <c r="AO62" s="59">
        <f t="shared" si="36"/>
        <v>184.07239726900434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1.765040709915437</v>
      </c>
      <c r="AV62" s="21">
        <f>EXP(-LN(2)/25)*AV61+(1-EXP(-LN(2)/25))/(LN(2)/25)*Calculateur!AQ62*Calculateur!AS62*VLOOKUP('Données projet'!$B$10,Paramètres!$A$1:$I$89,3,0)*0.475*44/12</f>
        <v>3.5154187703024742</v>
      </c>
      <c r="AW62" s="21">
        <f>EXP(-LN(2)/2)*AW61+(1-EXP(-LN(2)/2))/(LN(2)/2)*AQ62*AT62*VLOOKUP('Données projet'!$B$10,Paramètres!$A$1:$I$89,3,0)*0.475*44/12</f>
        <v>4.2434073871094831E-4</v>
      </c>
      <c r="AX62" s="21">
        <f t="shared" si="6"/>
        <v>5.280883820956622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10</v>
      </c>
      <c r="BD62" s="12">
        <f>IF('Données projet'!$A$88&gt;35,BD61+BC62-BL61,IF(A62&lt;'Données projet'!$A$88,$BA$205^A62,IF(A62='Données projet'!$A$88,'Données projet'!$B$88,BD61+BC62-BL61)))</f>
        <v>393.99999999999989</v>
      </c>
      <c r="BE62" s="13">
        <f>BD62*VLOOKUP('Données projet'!$B$11,Paramètres!$A$1:$I$89,3,0)*VLOOKUP('Données projet'!$B$11,Paramètres!$A$1:$I$89,5,0)</f>
        <v>245.85599999999994</v>
      </c>
      <c r="BF62" s="13">
        <f t="shared" si="37"/>
        <v>59.697704223313963</v>
      </c>
      <c r="BG62" s="20">
        <f t="shared" si="7"/>
        <v>532.17270152227172</v>
      </c>
      <c r="BH62" s="59">
        <f t="shared" si="8"/>
        <v>825.50603485560509</v>
      </c>
      <c r="BI62" s="59">
        <f ca="1">AVERAGE(OFFSET($BH$3,0,0,'Données projet'!$E$11+1,1))-AVERAGE(OFFSET($H$3,0,0,'Données projet'!$E$11+1,1))</f>
        <v>261.27638267284169</v>
      </c>
      <c r="BJ62" s="59">
        <f t="shared" si="38"/>
        <v>297.50513563712764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4.6983852527754948</v>
      </c>
      <c r="BQ62" s="21">
        <f>EXP(-LN(2)/25)*BQ61+(1-EXP(-LN(2)/25))/(LN(2)/25)*Calculateur!BL62*Calculateur!BN62*VLOOKUP('Données projet'!$B$11,Paramètres!$A$1:$I$89,3,0)*0.475*44/12</f>
        <v>12.472115161885066</v>
      </c>
      <c r="BR62" s="21">
        <f>EXP(-LN(2)/2)*BR61+(1-EXP(-LN(2)/2))/(LN(2)/2)*BL62*BO62*VLOOKUP('Données projet'!$B$11,Paramètres!$A$1:$I$89,3,0)*0.475*44/12</f>
        <v>1.0531157056847822E-3</v>
      </c>
      <c r="BS62" s="22">
        <f t="shared" si="9"/>
        <v>17.171553530366243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14.4</v>
      </c>
      <c r="BY62" s="12">
        <f>IF('Données projet'!$A$114&gt;35,BY61+BX62-CG61,IF(A62&lt;'Données projet'!$A$114,$BV$205^A62,IF(A62='Données projet'!$A$114,'Données projet'!$B$114,BY61+BX62-CG61)))</f>
        <v>491.60000000000025</v>
      </c>
      <c r="BZ62" s="13">
        <f>BY62*VLOOKUP('Données projet'!$B$12,Paramètres!$A$1:$I$89,3,0)*VLOOKUP('Données projet'!$B$12,Paramètres!$A$1:$I$89,5,0)</f>
        <v>293.9768000000002</v>
      </c>
      <c r="CA62" s="13">
        <f t="shared" si="39"/>
        <v>69.912282800586965</v>
      </c>
      <c r="CB62" s="20">
        <f t="shared" si="10"/>
        <v>633.77348587768927</v>
      </c>
      <c r="CC62" s="59">
        <f t="shared" si="11"/>
        <v>927.10681921102264</v>
      </c>
      <c r="CD62" s="59">
        <f ca="1">AVERAGE(OFFSET($CC$3,0,0,'Données projet'!$E$12+1,1))-AVERAGE(OFFSET($H$3,0,0,'Données projet'!$E$12+1,1))</f>
        <v>314.69202393413491</v>
      </c>
      <c r="CE62" s="59">
        <f t="shared" si="40"/>
        <v>321.1728368524748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1.9698959002522261</v>
      </c>
      <c r="CL62" s="21">
        <f>EXP(-LN(2)/25)*CL61+(1-EXP(-LN(2)/25))/(LN(2)/25)*Calculateur!CG62*Calculateur!CI62*VLOOKUP('Données projet'!$B$12,Paramètres!$A$1:$I$89,3,0)*0.475*44/12</f>
        <v>9.5497913913636641</v>
      </c>
      <c r="CM62" s="21">
        <f>EXP(-LN(2)/2)*CM61+(1-EXP(-LN(2)/2))/(LN(2)/2)*CG62*CJ62*VLOOKUP('Données projet'!$B$12,Paramètres!$A$1:$I$89,3,0)*0.475*44/12</f>
        <v>1.3078425931460427E-3</v>
      </c>
      <c r="CN62" s="22">
        <f t="shared" si="12"/>
        <v>11.520995134209036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679</v>
      </c>
      <c r="L63" s="12">
        <f>VLOOKUP(A63,'Données projet'!$A$35:$I$55,9,0)</f>
        <v>19.3</v>
      </c>
      <c r="M63" s="12">
        <f t="array" ref="M63">INDEX(L:L,MIN(IF(ISNUMBER(L63:L259),ROW(L63:L259),"")))</f>
        <v>19.3</v>
      </c>
      <c r="N63" s="13">
        <f>IF('Données projet'!$A$36&gt;35,N62+M63-V62,IF(A63&lt;'Données projet'!$A$36,$K$205^A63,IF(A63='Données projet'!$A$36,'Données projet'!$B$36,N62+M63-V62)))</f>
        <v>678.99999999999943</v>
      </c>
      <c r="O63" s="13">
        <f>N63*VLOOKUP('Données projet'!$B$9,Paramètres!$A$1:$I$89,3,0)*VLOOKUP('Données projet'!$B$9,Paramètres!$A$1:$I$89,5,0)</f>
        <v>379.56099999999969</v>
      </c>
      <c r="P63" s="13">
        <f t="shared" si="33"/>
        <v>87.620407950587037</v>
      </c>
      <c r="Q63" s="20">
        <f t="shared" si="53"/>
        <v>813.67428551393857</v>
      </c>
      <c r="R63" s="59">
        <f t="shared" si="0"/>
        <v>1107.0076188472719</v>
      </c>
      <c r="S63" s="59">
        <f ca="1">AVERAGE(OFFSET($R$3,0,0,'Données projet'!$E$9+1,1))-AVERAGE(OFFSET($H$3,0,0,'Données projet'!$E$9+1,1))</f>
        <v>415.91544298418842</v>
      </c>
      <c r="T63" s="59">
        <f t="shared" si="34"/>
        <v>422.79312683312583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96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6.3042753665809785</v>
      </c>
      <c r="AA63" s="21">
        <f>EXP(-LN(2)/25)*AA62+(1-EXP(-LN(2)/25))/(LN(2)/25)*Calculateur!V63*Calculateur!X63*VLOOKUP('Données projet'!$B$9,Paramètres!$A$1:$I$89,3,0)*0.475*44/12</f>
        <v>16.871013150002213</v>
      </c>
      <c r="AB63" s="21">
        <f>EXP(-LN(2)/2)*AB62+(1-EXP(-LN(2)/2))/(LN(2)/2)*V63*Y63*VLOOKUP('Données projet'!$B$9,Paramètres!$A$1:$I$89,3,0)*0.475*44/12</f>
        <v>1.1130337937937651E-3</v>
      </c>
      <c r="AC63" s="22">
        <f t="shared" si="3"/>
        <v>23.176401550376983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374.79999999999995</v>
      </c>
      <c r="AG63" s="12">
        <f>VLOOKUP(A63,'Données projet'!$A$61:$I$81,9,0)</f>
        <v>13.499999999999996</v>
      </c>
      <c r="AH63" s="12">
        <f t="array" ref="AH63">INDEX(AG:AG,MIN(IF(ISNUMBER(AG63:AG259),ROW(AG63:AG259),"")))</f>
        <v>13.499999999999996</v>
      </c>
      <c r="AI63" s="13">
        <f>IF('Données projet'!$A$62&gt;35,AI62+AH63-AQ62,IF(A63&lt;'Données projet'!$A$62,$AF$205^A63,IF(A63='Données projet'!$A$62,'Données projet'!$B$62,AI62+AH63-AQ62)))</f>
        <v>374.79999999999984</v>
      </c>
      <c r="AJ63" s="13">
        <f>AI63*VLOOKUP('Données projet'!$B$10,Paramètres!$A$1:$I$89,3,0)*VLOOKUP('Données projet'!$B$10,Paramètres!$A$1:$I$89,5,0)</f>
        <v>175.40639999999993</v>
      </c>
      <c r="AK63" s="13">
        <f t="shared" si="35"/>
        <v>44.298662258322672</v>
      </c>
      <c r="AL63" s="20">
        <f t="shared" si="4"/>
        <v>382.65298343324525</v>
      </c>
      <c r="AM63" s="59">
        <f t="shared" si="5"/>
        <v>675.98631676657851</v>
      </c>
      <c r="AN63" s="59">
        <f ca="1">AVERAGE(OFFSET($AM$3,0,0,'Données projet'!$E$10+1,1))-AVERAGE(OFFSET($H$3,0,0,'Données projet'!$E$10+1,1))</f>
        <v>215.23235148064941</v>
      </c>
      <c r="AO63" s="59">
        <f t="shared" si="36"/>
        <v>184.07239726900434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83.4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1.730429338162526</v>
      </c>
      <c r="AV63" s="21">
        <f>EXP(-LN(2)/25)*AV62+(1-EXP(-LN(2)/25))/(LN(2)/25)*Calculateur!AQ63*Calculateur!AS63*VLOOKUP('Données projet'!$B$10,Paramètres!$A$1:$I$89,3,0)*0.475*44/12</f>
        <v>3.4192894591607144</v>
      </c>
      <c r="AW63" s="21">
        <f>EXP(-LN(2)/2)*AW62+(1-EXP(-LN(2)/2))/(LN(2)/2)*AQ63*AT63*VLOOKUP('Données projet'!$B$10,Paramètres!$A$1:$I$89,3,0)*0.475*44/12</f>
        <v>3.0005421387622046E-4</v>
      </c>
      <c r="AX63" s="21">
        <f t="shared" si="6"/>
        <v>5.1500188515371166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404</v>
      </c>
      <c r="BB63" s="12">
        <f>VLOOKUP(A63,'Données projet'!$A$87:$I$107,9,0)</f>
        <v>10</v>
      </c>
      <c r="BC63" s="12">
        <f t="array" ref="BC63">INDEX(BB:BB,MIN(IF(ISNUMBER(BB63:BB259),ROW(BB63:BB259),"")))</f>
        <v>10</v>
      </c>
      <c r="BD63" s="12">
        <f>IF('Données projet'!$A$88&gt;35,BD62+BC63-BL62,IF(A63&lt;'Données projet'!$A$88,$BA$205^A63,IF(A63='Données projet'!$A$88,'Données projet'!$B$88,BD62+BC63-BL62)))</f>
        <v>403.99999999999989</v>
      </c>
      <c r="BE63" s="13">
        <f>BD63*VLOOKUP('Données projet'!$B$11,Paramètres!$A$1:$I$89,3,0)*VLOOKUP('Données projet'!$B$11,Paramètres!$A$1:$I$89,5,0)</f>
        <v>252.09599999999992</v>
      </c>
      <c r="BF63" s="13">
        <f t="shared" si="37"/>
        <v>61.034549381925906</v>
      </c>
      <c r="BG63" s="20">
        <f t="shared" si="7"/>
        <v>545.36904017352083</v>
      </c>
      <c r="BH63" s="59">
        <f t="shared" si="8"/>
        <v>838.7023735068542</v>
      </c>
      <c r="BI63" s="59">
        <f ca="1">AVERAGE(OFFSET($BH$3,0,0,'Données projet'!$E$11+1,1))-AVERAGE(OFFSET($H$3,0,0,'Données projet'!$E$11+1,1))</f>
        <v>261.27638267284169</v>
      </c>
      <c r="BJ63" s="59">
        <f t="shared" si="38"/>
        <v>297.50513563712764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55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4.6062527837006044</v>
      </c>
      <c r="BQ63" s="21">
        <f>EXP(-LN(2)/25)*BQ62+(1-EXP(-LN(2)/25))/(LN(2)/25)*Calculateur!BL63*Calculateur!BN63*VLOOKUP('Données projet'!$B$11,Paramètres!$A$1:$I$89,3,0)*0.475*44/12</f>
        <v>12.131064516903288</v>
      </c>
      <c r="BR63" s="21">
        <f>EXP(-LN(2)/2)*BR62+(1-EXP(-LN(2)/2))/(LN(2)/2)*BL63*BO63*VLOOKUP('Données projet'!$B$11,Paramètres!$A$1:$I$89,3,0)*0.475*44/12</f>
        <v>7.4466525686376587E-4</v>
      </c>
      <c r="BS63" s="22">
        <f t="shared" si="9"/>
        <v>16.738061965860755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506</v>
      </c>
      <c r="BW63" s="12">
        <f>VLOOKUP(A63,'Données projet'!$A$113:$I$133,9,0)</f>
        <v>14.4</v>
      </c>
      <c r="BX63" s="12">
        <f t="array" ref="BX63">INDEX(BW:BW,MIN(IF(ISNUMBER(BW63:BW259),ROW(BW63:BW259),"")))</f>
        <v>14.4</v>
      </c>
      <c r="BY63" s="12">
        <f>IF('Données projet'!$A$114&gt;35,BY62+BX63-CG62,IF(A63&lt;'Données projet'!$A$114,$BV$205^A63,IF(A63='Données projet'!$A$114,'Données projet'!$B$114,BY62+BX63-CG62)))</f>
        <v>506.00000000000023</v>
      </c>
      <c r="BZ63" s="13">
        <f>BY63*VLOOKUP('Données projet'!$B$12,Paramètres!$A$1:$I$89,3,0)*VLOOKUP('Données projet'!$B$12,Paramètres!$A$1:$I$89,5,0)</f>
        <v>302.58800000000014</v>
      </c>
      <c r="CA63" s="13">
        <f t="shared" si="39"/>
        <v>71.71873615610572</v>
      </c>
      <c r="CB63" s="20">
        <f t="shared" si="10"/>
        <v>651.91756547188425</v>
      </c>
      <c r="CC63" s="59">
        <f t="shared" si="11"/>
        <v>945.2508988052175</v>
      </c>
      <c r="CD63" s="59">
        <f ca="1">AVERAGE(OFFSET($CC$3,0,0,'Données projet'!$E$12+1,1))-AVERAGE(OFFSET($H$3,0,0,'Données projet'!$E$12+1,1))</f>
        <v>314.69202393413491</v>
      </c>
      <c r="CE63" s="59">
        <f t="shared" si="40"/>
        <v>321.1728368524748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71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1.931267443166139</v>
      </c>
      <c r="CL63" s="21">
        <f>EXP(-LN(2)/25)*CL62+(1-EXP(-LN(2)/25))/(LN(2)/25)*Calculateur!CG63*Calculateur!CI63*VLOOKUP('Données projet'!$B$12,Paramètres!$A$1:$I$89,3,0)*0.475*44/12</f>
        <v>9.2886518435651215</v>
      </c>
      <c r="CM63" s="21">
        <f>EXP(-LN(2)/2)*CM62+(1-EXP(-LN(2)/2))/(LN(2)/2)*CG63*CJ63*VLOOKUP('Données projet'!$B$12,Paramètres!$A$1:$I$89,3,0)*0.475*44/12</f>
        <v>9.2478436633816575E-4</v>
      </c>
      <c r="CN63" s="22">
        <f t="shared" si="12"/>
        <v>11.220844071097599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15.8</v>
      </c>
      <c r="N64" s="13">
        <f>IF('Données projet'!$A$36&gt;35,N63+M64-V63,IF(A64&lt;'Données projet'!$A$36,$K$205^A64,IF(A64='Données projet'!$A$36,'Données projet'!$B$36,N63+M64-V63)))</f>
        <v>598.79999999999939</v>
      </c>
      <c r="O64" s="13">
        <f>N64*VLOOKUP('Données projet'!$B$9,Paramètres!$A$1:$I$89,3,0)*VLOOKUP('Données projet'!$B$9,Paramètres!$A$1:$I$89,5,0)</f>
        <v>334.72919999999971</v>
      </c>
      <c r="P64" s="13">
        <f t="shared" si="33"/>
        <v>78.409977536916543</v>
      </c>
      <c r="Q64" s="20">
        <f t="shared" si="53"/>
        <v>719.55073421012912</v>
      </c>
      <c r="R64" s="59">
        <f t="shared" si="0"/>
        <v>1012.8840675434624</v>
      </c>
      <c r="S64" s="59">
        <f ca="1">AVERAGE(OFFSET($R$3,0,0,'Données projet'!$E$9+1,1))-AVERAGE(OFFSET($H$3,0,0,'Données projet'!$E$9+1,1))</f>
        <v>415.91544298418842</v>
      </c>
      <c r="T64" s="59">
        <f t="shared" si="34"/>
        <v>422.79312683312583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6.1806523718706146</v>
      </c>
      <c r="AA64" s="21">
        <f>EXP(-LN(2)/25)*AA63+(1-EXP(-LN(2)/25))/(LN(2)/25)*Calculateur!V64*Calculateur!X64*VLOOKUP('Données projet'!$B$9,Paramètres!$A$1:$I$89,3,0)*0.475*44/12</f>
        <v>16.40967440820738</v>
      </c>
      <c r="AB64" s="21">
        <f>EXP(-LN(2)/2)*AB63+(1-EXP(-LN(2)/2))/(LN(2)/2)*V64*Y64*VLOOKUP('Données projet'!$B$9,Paramètres!$A$1:$I$89,3,0)*0.475*44/12</f>
        <v>7.8703374328136075E-4</v>
      </c>
      <c r="AC64" s="22">
        <f t="shared" si="3"/>
        <v>22.591113813821277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15.5</v>
      </c>
      <c r="AI64" s="13">
        <f>IF('Données projet'!$A$62&gt;35,AI63+AH64-AQ63,IF(A64&lt;'Données projet'!$A$62,$AF$205^A64,IF(A64='Données projet'!$A$62,'Données projet'!$B$62,AI63+AH64-AQ63)))</f>
        <v>306.89999999999986</v>
      </c>
      <c r="AJ64" s="13">
        <f>AI64*VLOOKUP('Données projet'!$B$10,Paramètres!$A$1:$I$89,3,0)*VLOOKUP('Données projet'!$B$10,Paramètres!$A$1:$I$89,5,0)</f>
        <v>143.62919999999994</v>
      </c>
      <c r="AK64" s="13">
        <f t="shared" si="35"/>
        <v>37.127161849234348</v>
      </c>
      <c r="AL64" s="20">
        <f t="shared" si="4"/>
        <v>314.81733022074968</v>
      </c>
      <c r="AM64" s="59">
        <f t="shared" si="5"/>
        <v>608.15066355408294</v>
      </c>
      <c r="AN64" s="59">
        <f ca="1">AVERAGE(OFFSET($AM$3,0,0,'Données projet'!$E$10+1,1))-AVERAGE(OFFSET($H$3,0,0,'Données projet'!$E$10+1,1))</f>
        <v>215.23235148064941</v>
      </c>
      <c r="AO64" s="59">
        <f t="shared" si="36"/>
        <v>184.07239726900434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1.6964966742988374</v>
      </c>
      <c r="AV64" s="21">
        <f>EXP(-LN(2)/25)*AV63+(1-EXP(-LN(2)/25))/(LN(2)/25)*Calculateur!AQ64*Calculateur!AS64*VLOOKUP('Données projet'!$B$10,Paramètres!$A$1:$I$89,3,0)*0.475*44/12</f>
        <v>3.3257888090873466</v>
      </c>
      <c r="AW64" s="21">
        <f>EXP(-LN(2)/2)*AW63+(1-EXP(-LN(2)/2))/(LN(2)/2)*AQ64*AT64*VLOOKUP('Données projet'!$B$10,Paramètres!$A$1:$I$89,3,0)*0.475*44/12</f>
        <v>2.1217036935547415E-4</v>
      </c>
      <c r="AX64" s="21">
        <f t="shared" si="6"/>
        <v>5.0224976537555399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7.8</v>
      </c>
      <c r="BD64" s="12">
        <f>IF('Données projet'!$A$88&gt;35,BD63+BC64-BL63,IF(A64&lt;'Données projet'!$A$88,$BA$205^A64,IF(A64='Données projet'!$A$88,'Données projet'!$B$88,BD63+BC64-BL63)))</f>
        <v>356.7999999999999</v>
      </c>
      <c r="BE64" s="13">
        <f>BD64*VLOOKUP('Données projet'!$B$11,Paramètres!$A$1:$I$89,3,0)*VLOOKUP('Données projet'!$B$11,Paramètres!$A$1:$I$89,5,0)</f>
        <v>222.64319999999995</v>
      </c>
      <c r="BF64" s="13">
        <f t="shared" si="37"/>
        <v>54.688972258092875</v>
      </c>
      <c r="BG64" s="20">
        <f t="shared" si="7"/>
        <v>483.02020001617831</v>
      </c>
      <c r="BH64" s="59">
        <f t="shared" si="8"/>
        <v>776.35353334951162</v>
      </c>
      <c r="BI64" s="59">
        <f ca="1">AVERAGE(OFFSET($BH$3,0,0,'Données projet'!$E$11+1,1))-AVERAGE(OFFSET($H$3,0,0,'Données projet'!$E$11+1,1))</f>
        <v>261.27638267284169</v>
      </c>
      <c r="BJ64" s="59">
        <f t="shared" si="38"/>
        <v>297.50513563712764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4.5159269761490153</v>
      </c>
      <c r="BQ64" s="21">
        <f>EXP(-LN(2)/25)*BQ63+(1-EXP(-LN(2)/25))/(LN(2)/25)*Calculateur!BL64*Calculateur!BN64*VLOOKUP('Données projet'!$B$11,Paramètres!$A$1:$I$89,3,0)*0.475*44/12</f>
        <v>11.799339919743611</v>
      </c>
      <c r="BR64" s="21">
        <f>EXP(-LN(2)/2)*BR63+(1-EXP(-LN(2)/2))/(LN(2)/2)*BL64*BO64*VLOOKUP('Données projet'!$B$11,Paramètres!$A$1:$I$89,3,0)*0.475*44/12</f>
        <v>5.2655785284239109E-4</v>
      </c>
      <c r="BS64" s="22">
        <f t="shared" si="9"/>
        <v>16.315793453745471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11.8</v>
      </c>
      <c r="BY64" s="12">
        <f>IF('Données projet'!$A$114&gt;35,BY63+BX64-CG63,IF(A64&lt;'Données projet'!$A$114,$BV$205^A64,IF(A64='Données projet'!$A$114,'Données projet'!$B$114,BY63+BX64-CG63)))</f>
        <v>446.80000000000018</v>
      </c>
      <c r="BZ64" s="13">
        <f>BY64*VLOOKUP('Données projet'!$B$12,Paramètres!$A$1:$I$89,3,0)*VLOOKUP('Données projet'!$B$12,Paramètres!$A$1:$I$89,5,0)</f>
        <v>267.18640000000016</v>
      </c>
      <c r="CA64" s="13">
        <f t="shared" si="39"/>
        <v>64.251788801464969</v>
      </c>
      <c r="CB64" s="20">
        <f t="shared" si="10"/>
        <v>577.25484549588498</v>
      </c>
      <c r="CC64" s="59">
        <f t="shared" si="11"/>
        <v>870.58817882921835</v>
      </c>
      <c r="CD64" s="59">
        <f ca="1">AVERAGE(OFFSET($CC$3,0,0,'Données projet'!$E$12+1,1))-AVERAGE(OFFSET($H$3,0,0,'Données projet'!$E$12+1,1))</f>
        <v>314.69202393413491</v>
      </c>
      <c r="CE64" s="59">
        <f t="shared" si="40"/>
        <v>321.1728368524748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1.8933964665624778</v>
      </c>
      <c r="CL64" s="21">
        <f>EXP(-LN(2)/25)*CL63+(1-EXP(-LN(2)/25))/(LN(2)/25)*Calculateur!CG64*Calculateur!CI64*VLOOKUP('Données projet'!$B$12,Paramètres!$A$1:$I$89,3,0)*0.475*44/12</f>
        <v>9.0346531704338631</v>
      </c>
      <c r="CM64" s="21">
        <f>EXP(-LN(2)/2)*CM63+(1-EXP(-LN(2)/2))/(LN(2)/2)*CG64*CJ64*VLOOKUP('Données projet'!$B$12,Paramètres!$A$1:$I$89,3,0)*0.475*44/12</f>
        <v>6.5392129657302137E-4</v>
      </c>
      <c r="CN64" s="22">
        <f t="shared" si="12"/>
        <v>10.928703558292915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15.8</v>
      </c>
      <c r="N65" s="13">
        <f>IF('Données projet'!$A$36&gt;35,N64+M65-V64,IF(A65&lt;'Données projet'!$A$36,$K$205^A65,IF(A65='Données projet'!$A$36,'Données projet'!$B$36,N64+M65-V64)))</f>
        <v>614.59999999999934</v>
      </c>
      <c r="O65" s="13">
        <f>N65*VLOOKUP('Données projet'!$B$9,Paramètres!$A$1:$I$89,3,0)*VLOOKUP('Données projet'!$B$9,Paramètres!$A$1:$I$89,5,0)</f>
        <v>343.56139999999965</v>
      </c>
      <c r="P65" s="13">
        <f t="shared" si="33"/>
        <v>80.235307380202258</v>
      </c>
      <c r="Q65" s="20">
        <f t="shared" si="53"/>
        <v>738.11259868718491</v>
      </c>
      <c r="R65" s="59">
        <f t="shared" si="0"/>
        <v>1031.4459320205183</v>
      </c>
      <c r="S65" s="59">
        <f ca="1">AVERAGE(OFFSET($R$3,0,0,'Données projet'!$E$9+1,1))-AVERAGE(OFFSET($H$3,0,0,'Données projet'!$E$9+1,1))</f>
        <v>415.91544298418842</v>
      </c>
      <c r="T65" s="59">
        <f t="shared" si="34"/>
        <v>422.79312683312583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6.0594535486839396</v>
      </c>
      <c r="AA65" s="21">
        <f>EXP(-LN(2)/25)*AA64+(1-EXP(-LN(2)/25))/(LN(2)/25)*Calculateur!V65*Calculateur!X65*VLOOKUP('Données projet'!$B$9,Paramètres!$A$1:$I$89,3,0)*0.475*44/12</f>
        <v>15.960950998567677</v>
      </c>
      <c r="AB65" s="21">
        <f>EXP(-LN(2)/2)*AB64+(1-EXP(-LN(2)/2))/(LN(2)/2)*V65*Y65*VLOOKUP('Données projet'!$B$9,Paramètres!$A$1:$I$89,3,0)*0.475*44/12</f>
        <v>5.5651689689688256E-4</v>
      </c>
      <c r="AC65" s="22">
        <f t="shared" si="3"/>
        <v>22.020961064148512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15.5</v>
      </c>
      <c r="AI65" s="13">
        <f>IF('Données projet'!$A$62&gt;35,AI64+AH65-AQ64,IF(A65&lt;'Données projet'!$A$62,$AF$205^A65,IF(A65='Données projet'!$A$62,'Données projet'!$B$62,AI64+AH65-AQ64)))</f>
        <v>322.39999999999986</v>
      </c>
      <c r="AJ65" s="13">
        <f>AI65*VLOOKUP('Données projet'!$B$10,Paramètres!$A$1:$I$89,3,0)*VLOOKUP('Données projet'!$B$10,Paramètres!$A$1:$I$89,5,0)</f>
        <v>150.88319999999993</v>
      </c>
      <c r="AK65" s="13">
        <f t="shared" si="35"/>
        <v>38.779227360583164</v>
      </c>
      <c r="AL65" s="20">
        <f t="shared" si="4"/>
        <v>330.32872765301551</v>
      </c>
      <c r="AM65" s="59">
        <f t="shared" si="5"/>
        <v>623.66206098634882</v>
      </c>
      <c r="AN65" s="59">
        <f ca="1">AVERAGE(OFFSET($AM$3,0,0,'Données projet'!$E$10+1,1))-AVERAGE(OFFSET($H$3,0,0,'Données projet'!$E$10+1,1))</f>
        <v>215.23235148064941</v>
      </c>
      <c r="AO65" s="59">
        <f t="shared" si="36"/>
        <v>184.07239726900434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1.6632294092766344</v>
      </c>
      <c r="AV65" s="21">
        <f>EXP(-LN(2)/25)*AV64+(1-EXP(-LN(2)/25))/(LN(2)/25)*Calculateur!AQ65*Calculateur!AS65*VLOOKUP('Données projet'!$B$10,Paramètres!$A$1:$I$89,3,0)*0.475*44/12</f>
        <v>3.2348449392072207</v>
      </c>
      <c r="AW65" s="21">
        <f>EXP(-LN(2)/2)*AW64+(1-EXP(-LN(2)/2))/(LN(2)/2)*AQ65*AT65*VLOOKUP('Données projet'!$B$10,Paramètres!$A$1:$I$89,3,0)*0.475*44/12</f>
        <v>1.5002710693811023E-4</v>
      </c>
      <c r="AX65" s="21">
        <f t="shared" si="6"/>
        <v>4.898224375590793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7.8</v>
      </c>
      <c r="BD65" s="12">
        <f>IF('Données projet'!$A$88&gt;35,BD64+BC65-BL64,IF(A65&lt;'Données projet'!$A$88,$BA$205^A65,IF(A65='Données projet'!$A$88,'Données projet'!$B$88,BD64+BC65-BL64)))</f>
        <v>364.59999999999991</v>
      </c>
      <c r="BE65" s="13">
        <f>BD65*VLOOKUP('Données projet'!$B$11,Paramètres!$A$1:$I$89,3,0)*VLOOKUP('Données projet'!$B$11,Paramètres!$A$1:$I$89,5,0)</f>
        <v>227.51039999999995</v>
      </c>
      <c r="BF65" s="13">
        <f t="shared" si="37"/>
        <v>55.7440313076156</v>
      </c>
      <c r="BG65" s="20">
        <f t="shared" si="7"/>
        <v>493.33480119409711</v>
      </c>
      <c r="BH65" s="59">
        <f t="shared" si="8"/>
        <v>786.66813452743042</v>
      </c>
      <c r="BI65" s="59">
        <f ca="1">AVERAGE(OFFSET($BH$3,0,0,'Données projet'!$E$11+1,1))-AVERAGE(OFFSET($H$3,0,0,'Données projet'!$E$11+1,1))</f>
        <v>261.27638267284169</v>
      </c>
      <c r="BJ65" s="59">
        <f t="shared" si="38"/>
        <v>297.50513563712764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4.4273724025902101</v>
      </c>
      <c r="BQ65" s="21">
        <f>EXP(-LN(2)/25)*BQ64+(1-EXP(-LN(2)/25))/(LN(2)/25)*Calculateur!BL65*Calculateur!BN65*VLOOKUP('Données projet'!$B$11,Paramètres!$A$1:$I$89,3,0)*0.475*44/12</f>
        <v>11.476686349137903</v>
      </c>
      <c r="BR65" s="21">
        <f>EXP(-LN(2)/2)*BR64+(1-EXP(-LN(2)/2))/(LN(2)/2)*BL65*BO65*VLOOKUP('Données projet'!$B$11,Paramètres!$A$1:$I$89,3,0)*0.475*44/12</f>
        <v>3.7233262843188293E-4</v>
      </c>
      <c r="BS65" s="22">
        <f t="shared" si="9"/>
        <v>15.904431084356546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11.8</v>
      </c>
      <c r="BY65" s="12">
        <f>IF('Données projet'!$A$114&gt;35,BY64+BX65-CG64,IF(A65&lt;'Données projet'!$A$114,$BV$205^A65,IF(A65='Données projet'!$A$114,'Données projet'!$B$114,BY64+BX65-CG64)))</f>
        <v>458.60000000000019</v>
      </c>
      <c r="BZ65" s="13">
        <f>BY65*VLOOKUP('Données projet'!$B$12,Paramètres!$A$1:$I$89,3,0)*VLOOKUP('Données projet'!$B$12,Paramètres!$A$1:$I$89,5,0)</f>
        <v>274.24280000000016</v>
      </c>
      <c r="CA65" s="13">
        <f t="shared" si="39"/>
        <v>65.748879809090127</v>
      </c>
      <c r="CB65" s="20">
        <f t="shared" si="10"/>
        <v>592.15217566749891</v>
      </c>
      <c r="CC65" s="59">
        <f t="shared" si="11"/>
        <v>885.48550900083228</v>
      </c>
      <c r="CD65" s="59">
        <f ca="1">AVERAGE(OFFSET($CC$3,0,0,'Données projet'!$E$12+1,1))-AVERAGE(OFFSET($H$3,0,0,'Données projet'!$E$12+1,1))</f>
        <v>314.69202393413491</v>
      </c>
      <c r="CE65" s="59">
        <f t="shared" si="40"/>
        <v>321.1728368524748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1.8562681167109996</v>
      </c>
      <c r="CL65" s="21">
        <f>EXP(-LN(2)/25)*CL64+(1-EXP(-LN(2)/25))/(LN(2)/25)*Calculateur!CG65*Calculateur!CI65*VLOOKUP('Données projet'!$B$12,Paramètres!$A$1:$I$89,3,0)*0.475*44/12</f>
        <v>8.7876001043765886</v>
      </c>
      <c r="CM65" s="21">
        <f>EXP(-LN(2)/2)*CM64+(1-EXP(-LN(2)/2))/(LN(2)/2)*CG65*CJ65*VLOOKUP('Données projet'!$B$12,Paramètres!$A$1:$I$89,3,0)*0.475*44/12</f>
        <v>4.6239218316908287E-4</v>
      </c>
      <c r="CN65" s="22">
        <f t="shared" si="12"/>
        <v>10.644330613270757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15.8</v>
      </c>
      <c r="N66" s="13">
        <f>IF('Données projet'!$A$36&gt;35,N65+M66-V65,IF(A66&lt;'Données projet'!$A$36,$K$205^A66,IF(A66='Données projet'!$A$36,'Données projet'!$B$36,N65+M66-V65)))</f>
        <v>630.3999999999993</v>
      </c>
      <c r="O66" s="13">
        <f>N66*VLOOKUP('Données projet'!$B$9,Paramètres!$A$1:$I$89,3,0)*VLOOKUP('Données projet'!$B$9,Paramètres!$A$1:$I$89,5,0)</f>
        <v>352.39359999999965</v>
      </c>
      <c r="P66" s="13">
        <f t="shared" si="33"/>
        <v>82.055182662578147</v>
      </c>
      <c r="Q66" s="20">
        <f t="shared" si="53"/>
        <v>756.66496313732296</v>
      </c>
      <c r="R66" s="59">
        <f t="shared" si="0"/>
        <v>1049.9982964706562</v>
      </c>
      <c r="S66" s="59">
        <f ca="1">AVERAGE(OFFSET($R$3,0,0,'Données projet'!$E$9+1,1))-AVERAGE(OFFSET($H$3,0,0,'Données projet'!$E$9+1,1))</f>
        <v>415.91544298418842</v>
      </c>
      <c r="T66" s="59">
        <f t="shared" si="34"/>
        <v>422.79312683312583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5.9406313604959724</v>
      </c>
      <c r="AA66" s="21">
        <f>EXP(-LN(2)/25)*AA65+(1-EXP(-LN(2)/25))/(LN(2)/25)*Calculateur!V66*Calculateur!X66*VLOOKUP('Données projet'!$B$9,Paramètres!$A$1:$I$89,3,0)*0.475*44/12</f>
        <v>15.524497954161911</v>
      </c>
      <c r="AB66" s="21">
        <f>EXP(-LN(2)/2)*AB65+(1-EXP(-LN(2)/2))/(LN(2)/2)*V66*Y66*VLOOKUP('Données projet'!$B$9,Paramètres!$A$1:$I$89,3,0)*0.475*44/12</f>
        <v>3.9351687164068037E-4</v>
      </c>
      <c r="AC66" s="22">
        <f t="shared" si="3"/>
        <v>21.465522831529523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15.5</v>
      </c>
      <c r="AI66" s="13">
        <f>IF('Données projet'!$A$62&gt;35,AI65+AH66-AQ65,IF(A66&lt;'Données projet'!$A$62,$AF$205^A66,IF(A66='Données projet'!$A$62,'Données projet'!$B$62,AI65+AH66-AQ65)))</f>
        <v>337.89999999999986</v>
      </c>
      <c r="AJ66" s="13">
        <f>AI66*VLOOKUP('Données projet'!$B$10,Paramètres!$A$1:$I$89,3,0)*VLOOKUP('Données projet'!$B$10,Paramètres!$A$1:$I$89,5,0)</f>
        <v>158.13719999999995</v>
      </c>
      <c r="AK66" s="13">
        <f t="shared" si="35"/>
        <v>40.422069728367696</v>
      </c>
      <c r="AL66" s="20">
        <f t="shared" si="4"/>
        <v>345.82406144357361</v>
      </c>
      <c r="AM66" s="59">
        <f t="shared" si="5"/>
        <v>639.15739477690693</v>
      </c>
      <c r="AN66" s="59">
        <f ca="1">AVERAGE(OFFSET($AM$3,0,0,'Données projet'!$E$10+1,1))-AVERAGE(OFFSET($H$3,0,0,'Données projet'!$E$10+1,1))</f>
        <v>215.23235148064941</v>
      </c>
      <c r="AO66" s="59">
        <f t="shared" si="36"/>
        <v>184.07239726900434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1.6306144950304886</v>
      </c>
      <c r="AV66" s="21">
        <f>EXP(-LN(2)/25)*AV65+(1-EXP(-LN(2)/25))/(LN(2)/25)*Calculateur!AQ66*Calculateur!AS66*VLOOKUP('Données projet'!$B$10,Paramètres!$A$1:$I$89,3,0)*0.475*44/12</f>
        <v>3.1463879342314973</v>
      </c>
      <c r="AW66" s="21">
        <f>EXP(-LN(2)/2)*AW65+(1-EXP(-LN(2)/2))/(LN(2)/2)*AQ66*AT66*VLOOKUP('Données projet'!$B$10,Paramètres!$A$1:$I$89,3,0)*0.475*44/12</f>
        <v>1.0608518467773708E-4</v>
      </c>
      <c r="AX66" s="21">
        <f t="shared" si="6"/>
        <v>4.7771085144466632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7.8</v>
      </c>
      <c r="BD66" s="12">
        <f>IF('Données projet'!$A$88&gt;35,BD65+BC66-BL65,IF(A66&lt;'Données projet'!$A$88,$BA$205^A66,IF(A66='Données projet'!$A$88,'Données projet'!$B$88,BD65+BC66-BL65)))</f>
        <v>372.39999999999992</v>
      </c>
      <c r="BE66" s="13">
        <f>BD66*VLOOKUP('Données projet'!$B$11,Paramètres!$A$1:$I$89,3,0)*VLOOKUP('Données projet'!$B$11,Paramètres!$A$1:$I$89,5,0)</f>
        <v>232.37759999999994</v>
      </c>
      <c r="BF66" s="13">
        <f t="shared" si="37"/>
        <v>56.79646612603225</v>
      </c>
      <c r="BG66" s="20">
        <f t="shared" si="7"/>
        <v>503.64483183617267</v>
      </c>
      <c r="BH66" s="59">
        <f t="shared" si="8"/>
        <v>796.97816516950593</v>
      </c>
      <c r="BI66" s="59">
        <f ca="1">AVERAGE(OFFSET($BH$3,0,0,'Données projet'!$E$11+1,1))-AVERAGE(OFFSET($H$3,0,0,'Données projet'!$E$11+1,1))</f>
        <v>261.27638267284169</v>
      </c>
      <c r="BJ66" s="59">
        <f t="shared" si="38"/>
        <v>297.50513563712764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4.3405543302059364</v>
      </c>
      <c r="BQ66" s="21">
        <f>EXP(-LN(2)/25)*BQ65+(1-EXP(-LN(2)/25))/(LN(2)/25)*Calculateur!BL66*Calculateur!BN66*VLOOKUP('Données projet'!$B$11,Paramètres!$A$1:$I$89,3,0)*0.475*44/12</f>
        <v>11.162855757388023</v>
      </c>
      <c r="BR66" s="21">
        <f>EXP(-LN(2)/2)*BR65+(1-EXP(-LN(2)/2))/(LN(2)/2)*BL66*BO66*VLOOKUP('Données projet'!$B$11,Paramètres!$A$1:$I$89,3,0)*0.475*44/12</f>
        <v>2.6327892642119554E-4</v>
      </c>
      <c r="BS66" s="22">
        <f t="shared" si="9"/>
        <v>15.503673366520381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11.8</v>
      </c>
      <c r="BY66" s="12">
        <f>IF('Données projet'!$A$114&gt;35,BY65+BX66-CG65,IF(A66&lt;'Données projet'!$A$114,$BV$205^A66,IF(A66='Données projet'!$A$114,'Données projet'!$B$114,BY65+BX66-CG65)))</f>
        <v>470.4000000000002</v>
      </c>
      <c r="BZ66" s="13">
        <f>BY66*VLOOKUP('Données projet'!$B$12,Paramètres!$A$1:$I$89,3,0)*VLOOKUP('Données projet'!$B$12,Paramètres!$A$1:$I$89,5,0)</f>
        <v>281.29920000000016</v>
      </c>
      <c r="CA66" s="13">
        <f t="shared" si="39"/>
        <v>67.241493172476709</v>
      </c>
      <c r="CB66" s="20">
        <f t="shared" si="10"/>
        <v>607.04170727539702</v>
      </c>
      <c r="CC66" s="59">
        <f t="shared" si="11"/>
        <v>900.37504060873039</v>
      </c>
      <c r="CD66" s="59">
        <f ca="1">AVERAGE(OFFSET($CC$3,0,0,'Données projet'!$E$12+1,1))-AVERAGE(OFFSET($H$3,0,0,'Données projet'!$E$12+1,1))</f>
        <v>314.69202393413491</v>
      </c>
      <c r="CE66" s="59">
        <f t="shared" si="40"/>
        <v>321.1728368524748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1.8198678311540515</v>
      </c>
      <c r="CL66" s="21">
        <f>EXP(-LN(2)/25)*CL65+(1-EXP(-LN(2)/25))/(LN(2)/25)*Calculateur!CG66*Calculateur!CI66*VLOOKUP('Données projet'!$B$12,Paramètres!$A$1:$I$89,3,0)*0.475*44/12</f>
        <v>8.5473027174026051</v>
      </c>
      <c r="CM66" s="21">
        <f>EXP(-LN(2)/2)*CM65+(1-EXP(-LN(2)/2))/(LN(2)/2)*CG66*CJ66*VLOOKUP('Données projet'!$B$12,Paramètres!$A$1:$I$89,3,0)*0.475*44/12</f>
        <v>3.2696064828651068E-4</v>
      </c>
      <c r="CN66" s="22">
        <f t="shared" si="12"/>
        <v>10.367497509204942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15.8</v>
      </c>
      <c r="N67" s="13">
        <f>IF('Données projet'!$A$36&gt;35,N66+M67-V66,IF(A67&lt;'Données projet'!$A$36,$K$205^A67,IF(A67='Données projet'!$A$36,'Données projet'!$B$36,N66+M67-V66)))</f>
        <v>646.19999999999925</v>
      </c>
      <c r="O67" s="13">
        <f>N67*VLOOKUP('Données projet'!$B$9,Paramètres!$A$1:$I$89,3,0)*VLOOKUP('Données projet'!$B$9,Paramètres!$A$1:$I$89,5,0)</f>
        <v>361.22579999999965</v>
      </c>
      <c r="P67" s="13">
        <f t="shared" si="33"/>
        <v>83.869755817099659</v>
      </c>
      <c r="Q67" s="20">
        <f t="shared" ref="Q67:Q98" si="54">(O67+P67)*0.475*44/12</f>
        <v>775.20809304811462</v>
      </c>
      <c r="R67" s="59">
        <f t="shared" ref="R67:R130" si="55">Q67+(I67+J67)*44/12</f>
        <v>1068.541426381448</v>
      </c>
      <c r="S67" s="59">
        <f ca="1">AVERAGE(OFFSET($R$3,0,0,'Données projet'!$E$9+1,1))-AVERAGE(OFFSET($H$3,0,0,'Données projet'!$E$9+1,1))</f>
        <v>415.91544298418842</v>
      </c>
      <c r="T67" s="59">
        <f t="shared" si="34"/>
        <v>422.79312683312583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5.8241392029439929</v>
      </c>
      <c r="AA67" s="21">
        <f>EXP(-LN(2)/25)*AA66+(1-EXP(-LN(2)/25))/(LN(2)/25)*Calculateur!V67*Calculateur!X67*VLOOKUP('Données projet'!$B$9,Paramètres!$A$1:$I$89,3,0)*0.475*44/12</f>
        <v>15.099979741207488</v>
      </c>
      <c r="AB67" s="21">
        <f>EXP(-LN(2)/2)*AB66+(1-EXP(-LN(2)/2))/(LN(2)/2)*V67*Y67*VLOOKUP('Données projet'!$B$9,Paramètres!$A$1:$I$89,3,0)*0.475*44/12</f>
        <v>2.7825844844844128E-4</v>
      </c>
      <c r="AC67" s="22">
        <f t="shared" si="3"/>
        <v>20.924397202599931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15.5</v>
      </c>
      <c r="AI67" s="13">
        <f>IF('Données projet'!$A$62&gt;35,AI66+AH67-AQ66,IF(A67&lt;'Données projet'!$A$62,$AF$205^A67,IF(A67='Données projet'!$A$62,'Données projet'!$B$62,AI66+AH67-AQ66)))</f>
        <v>353.39999999999986</v>
      </c>
      <c r="AJ67" s="13">
        <f>AI67*VLOOKUP('Données projet'!$B$10,Paramètres!$A$1:$I$89,3,0)*VLOOKUP('Données projet'!$B$10,Paramètres!$A$1:$I$89,5,0)</f>
        <v>165.39119999999994</v>
      </c>
      <c r="AK67" s="13">
        <f t="shared" si="35"/>
        <v>42.056160358234834</v>
      </c>
      <c r="AL67" s="20">
        <f t="shared" si="4"/>
        <v>361.30415262392557</v>
      </c>
      <c r="AM67" s="59">
        <f t="shared" si="5"/>
        <v>654.63748595725883</v>
      </c>
      <c r="AN67" s="59">
        <f ca="1">AVERAGE(OFFSET($AM$3,0,0,'Données projet'!$E$10+1,1))-AVERAGE(OFFSET($H$3,0,0,'Données projet'!$E$10+1,1))</f>
        <v>215.23235148064941</v>
      </c>
      <c r="AO67" s="59">
        <f t="shared" si="36"/>
        <v>184.07239726900434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1.5986391393595765</v>
      </c>
      <c r="AV67" s="21">
        <f>EXP(-LN(2)/25)*AV66+(1-EXP(-LN(2)/25))/(LN(2)/25)*Calculateur!AQ67*Calculateur!AS67*VLOOKUP('Données projet'!$B$10,Paramètres!$A$1:$I$89,3,0)*0.475*44/12</f>
        <v>3.0603497907085866</v>
      </c>
      <c r="AW67" s="21">
        <f>EXP(-LN(2)/2)*AW66+(1-EXP(-LN(2)/2))/(LN(2)/2)*AQ67*AT67*VLOOKUP('Données projet'!$B$10,Paramètres!$A$1:$I$89,3,0)*0.475*44/12</f>
        <v>7.5013553469055114E-5</v>
      </c>
      <c r="AX67" s="21">
        <f t="shared" si="6"/>
        <v>4.6590639436216321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7.8</v>
      </c>
      <c r="BD67" s="12">
        <f>IF('Données projet'!$A$88&gt;35,BD66+BC67-BL66,IF(A67&lt;'Données projet'!$A$88,$BA$205^A67,IF(A67='Données projet'!$A$88,'Données projet'!$B$88,BD66+BC67-BL66)))</f>
        <v>380.19999999999993</v>
      </c>
      <c r="BE67" s="13">
        <f>BD67*VLOOKUP('Données projet'!$B$11,Paramètres!$A$1:$I$89,3,0)*VLOOKUP('Données projet'!$B$11,Paramètres!$A$1:$I$89,5,0)</f>
        <v>237.24479999999994</v>
      </c>
      <c r="BF67" s="13">
        <f t="shared" si="37"/>
        <v>57.846338010686594</v>
      </c>
      <c r="BG67" s="20">
        <f t="shared" si="7"/>
        <v>513.9503987019458</v>
      </c>
      <c r="BH67" s="59">
        <f t="shared" si="8"/>
        <v>807.28373203527917</v>
      </c>
      <c r="BI67" s="59">
        <f ca="1">AVERAGE(OFFSET($BH$3,0,0,'Données projet'!$E$11+1,1))-AVERAGE(OFFSET($H$3,0,0,'Données projet'!$E$11+1,1))</f>
        <v>261.27638267284169</v>
      </c>
      <c r="BJ67" s="59">
        <f t="shared" si="38"/>
        <v>297.50513563712764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4.2554387072673228</v>
      </c>
      <c r="BQ67" s="21">
        <f>EXP(-LN(2)/25)*BQ66+(1-EXP(-LN(2)/25))/(LN(2)/25)*Calculateur!BL67*Calculateur!BN67*VLOOKUP('Données projet'!$B$11,Paramètres!$A$1:$I$89,3,0)*0.475*44/12</f>
        <v>10.857606879673176</v>
      </c>
      <c r="BR67" s="21">
        <f>EXP(-LN(2)/2)*BR66+(1-EXP(-LN(2)/2))/(LN(2)/2)*BL67*BO67*VLOOKUP('Données projet'!$B$11,Paramètres!$A$1:$I$89,3,0)*0.475*44/12</f>
        <v>1.8616631421594147E-4</v>
      </c>
      <c r="BS67" s="22">
        <f t="shared" si="9"/>
        <v>15.113231753254713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11.8</v>
      </c>
      <c r="BY67" s="12">
        <f>IF('Données projet'!$A$114&gt;35,BY66+BX67-CG66,IF(A67&lt;'Données projet'!$A$114,$BV$205^A67,IF(A67='Données projet'!$A$114,'Données projet'!$B$114,BY66+BX67-CG66)))</f>
        <v>482.20000000000022</v>
      </c>
      <c r="BZ67" s="13">
        <f>BY67*VLOOKUP('Données projet'!$B$12,Paramètres!$A$1:$I$89,3,0)*VLOOKUP('Données projet'!$B$12,Paramètres!$A$1:$I$89,5,0)</f>
        <v>288.35560000000015</v>
      </c>
      <c r="CA67" s="13">
        <f t="shared" si="39"/>
        <v>68.72975413142585</v>
      </c>
      <c r="CB67" s="20">
        <f t="shared" si="10"/>
        <v>621.92365844556696</v>
      </c>
      <c r="CC67" s="59">
        <f t="shared" si="11"/>
        <v>915.25699177890033</v>
      </c>
      <c r="CD67" s="59">
        <f ca="1">AVERAGE(OFFSET($CC$3,0,0,'Données projet'!$E$12+1,1))-AVERAGE(OFFSET($H$3,0,0,'Données projet'!$E$12+1,1))</f>
        <v>314.69202393413491</v>
      </c>
      <c r="CE67" s="59">
        <f t="shared" si="40"/>
        <v>321.1728368524748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1.7841813329948932</v>
      </c>
      <c r="CL67" s="21">
        <f>EXP(-LN(2)/25)*CL66+(1-EXP(-LN(2)/25))/(LN(2)/25)*Calculateur!CG67*Calculateur!CI67*VLOOKUP('Données projet'!$B$12,Paramètres!$A$1:$I$89,3,0)*0.475*44/12</f>
        <v>8.3135762751121156</v>
      </c>
      <c r="CM67" s="21">
        <f>EXP(-LN(2)/2)*CM66+(1-EXP(-LN(2)/2))/(LN(2)/2)*CG67*CJ67*VLOOKUP('Données projet'!$B$12,Paramètres!$A$1:$I$89,3,0)*0.475*44/12</f>
        <v>2.3119609158454144E-4</v>
      </c>
      <c r="CN67" s="22">
        <f t="shared" si="12"/>
        <v>10.097988804198595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15.8</v>
      </c>
      <c r="N68" s="13">
        <f>IF('Données projet'!$A$36&gt;35,N67+M68-V67,IF(A68&lt;'Données projet'!$A$36,$K$205^A68,IF(A68='Données projet'!$A$36,'Données projet'!$B$36,N67+M68-V67)))</f>
        <v>661.9999999999992</v>
      </c>
      <c r="O68" s="13">
        <f>N68*VLOOKUP('Données projet'!$B$9,Paramètres!$A$1:$I$89,3,0)*VLOOKUP('Données projet'!$B$9,Paramètres!$A$1:$I$89,5,0)</f>
        <v>370.05799999999954</v>
      </c>
      <c r="P68" s="13">
        <f t="shared" si="33"/>
        <v>85.679171397668327</v>
      </c>
      <c r="Q68" s="20">
        <f t="shared" si="54"/>
        <v>793.74224018427151</v>
      </c>
      <c r="R68" s="59">
        <f t="shared" si="55"/>
        <v>1087.0755735176049</v>
      </c>
      <c r="S68" s="59">
        <f ca="1">AVERAGE(OFFSET($R$3,0,0,'Données projet'!$E$9+1,1))-AVERAGE(OFFSET($H$3,0,0,'Données projet'!$E$9+1,1))</f>
        <v>415.91544298418842</v>
      </c>
      <c r="T68" s="59">
        <f t="shared" si="34"/>
        <v>422.79312683312583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5.7099313855484075</v>
      </c>
      <c r="AA68" s="21">
        <f>EXP(-LN(2)/25)*AA67+(1-EXP(-LN(2)/25))/(LN(2)/25)*Calculateur!V68*Calculateur!X68*VLOOKUP('Données projet'!$B$9,Paramètres!$A$1:$I$89,3,0)*0.475*44/12</f>
        <v>14.687070001110746</v>
      </c>
      <c r="AB68" s="21">
        <f>EXP(-LN(2)/2)*AB67+(1-EXP(-LN(2)/2))/(LN(2)/2)*V68*Y68*VLOOKUP('Données projet'!$B$9,Paramètres!$A$1:$I$89,3,0)*0.475*44/12</f>
        <v>1.9675843582034019E-4</v>
      </c>
      <c r="AC68" s="22">
        <f t="shared" ref="AC68:AC131" si="57">SUM(Z68:AB68)</f>
        <v>20.397198145094972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15.5</v>
      </c>
      <c r="AI68" s="13">
        <f>IF('Données projet'!$A$62&gt;35,AI67+AH68-AQ67,IF(A68&lt;'Données projet'!$A$62,$AF$205^A68,IF(A68='Données projet'!$A$62,'Données projet'!$B$62,AI67+AH68-AQ67)))</f>
        <v>368.89999999999986</v>
      </c>
      <c r="AJ68" s="13">
        <f>AI68*VLOOKUP('Données projet'!$B$10,Paramètres!$A$1:$I$89,3,0)*VLOOKUP('Données projet'!$B$10,Paramètres!$A$1:$I$89,5,0)</f>
        <v>172.64519999999993</v>
      </c>
      <c r="AK68" s="13">
        <f t="shared" si="35"/>
        <v>43.681926966241704</v>
      </c>
      <c r="AL68" s="20">
        <f t="shared" ref="AL68:AL131" si="58">(AJ68+AK68)*0.475*44/12</f>
        <v>376.76974613287081</v>
      </c>
      <c r="AM68" s="59">
        <f t="shared" ref="AM68:AM131" si="59">AL68+(AD68+AE68)*44/12</f>
        <v>670.10307946620412</v>
      </c>
      <c r="AN68" s="59">
        <f ca="1">AVERAGE(OFFSET($AM$3,0,0,'Données projet'!$E$10+1,1))-AVERAGE(OFFSET($H$3,0,0,'Données projet'!$E$10+1,1))</f>
        <v>215.23235148064941</v>
      </c>
      <c r="AO68" s="59">
        <f t="shared" si="36"/>
        <v>184.07239726900434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1.5672908009103297</v>
      </c>
      <c r="AV68" s="21">
        <f>EXP(-LN(2)/25)*AV67+(1-EXP(-LN(2)/25))/(LN(2)/25)*Calculateur!AQ68*Calculateur!AS68*VLOOKUP('Données projet'!$B$10,Paramètres!$A$1:$I$89,3,0)*0.475*44/12</f>
        <v>2.9766643647448592</v>
      </c>
      <c r="AW68" s="21">
        <f>EXP(-LN(2)/2)*AW67+(1-EXP(-LN(2)/2))/(LN(2)/2)*AQ68*AT68*VLOOKUP('Données projet'!$B$10,Paramètres!$A$1:$I$89,3,0)*0.475*44/12</f>
        <v>5.3042592338868538E-5</v>
      </c>
      <c r="AX68" s="21">
        <f t="shared" ref="AX68:AX131" si="60">SUM(AU68:AW68)</f>
        <v>4.5440082082475275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7.8</v>
      </c>
      <c r="BD68" s="12">
        <f>IF('Données projet'!$A$88&gt;35,BD67+BC68-BL67,IF(A68&lt;'Données projet'!$A$88,$BA$205^A68,IF(A68='Données projet'!$A$88,'Données projet'!$B$88,BD67+BC68-BL67)))</f>
        <v>387.99999999999994</v>
      </c>
      <c r="BE68" s="13">
        <f>BD68*VLOOKUP('Données projet'!$B$11,Paramètres!$A$1:$I$89,3,0)*VLOOKUP('Données projet'!$B$11,Paramètres!$A$1:$I$89,5,0)</f>
        <v>242.11199999999994</v>
      </c>
      <c r="BF68" s="13">
        <f t="shared" si="37"/>
        <v>58.893705600066006</v>
      </c>
      <c r="BG68" s="20">
        <f t="shared" ref="BG68:BG131" si="61">(BE68+BF68)*0.475*44/12</f>
        <v>524.2516039201148</v>
      </c>
      <c r="BH68" s="59">
        <f t="shared" ref="BH68:BH131" si="62">BG68+(AY68+AZ68)*44/12</f>
        <v>817.58493725344806</v>
      </c>
      <c r="BI68" s="59">
        <f ca="1">AVERAGE(OFFSET($BH$3,0,0,'Données projet'!$E$11+1,1))-AVERAGE(OFFSET($H$3,0,0,'Données projet'!$E$11+1,1))</f>
        <v>261.27638267284169</v>
      </c>
      <c r="BJ68" s="59">
        <f t="shared" si="38"/>
        <v>297.50513563712764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4.1719921497791317</v>
      </c>
      <c r="BQ68" s="21">
        <f>EXP(-LN(2)/25)*BQ67+(1-EXP(-LN(2)/25))/(LN(2)/25)*Calculateur!BL68*Calculateur!BN68*VLOOKUP('Données projet'!$B$11,Paramètres!$A$1:$I$89,3,0)*0.475*44/12</f>
        <v>10.560705048571782</v>
      </c>
      <c r="BR68" s="21">
        <f>EXP(-LN(2)/2)*BR67+(1-EXP(-LN(2)/2))/(LN(2)/2)*BL68*BO68*VLOOKUP('Données projet'!$B$11,Paramètres!$A$1:$I$89,3,0)*0.475*44/12</f>
        <v>1.3163946321059777E-4</v>
      </c>
      <c r="BS68" s="22">
        <f t="shared" ref="BS68:BS131" si="63">SUM(BP68:BR68)</f>
        <v>14.732828837814123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11.8</v>
      </c>
      <c r="BY68" s="12">
        <f>IF('Données projet'!$A$114&gt;35,BY67+BX68-CG67,IF(A68&lt;'Données projet'!$A$114,$BV$205^A68,IF(A68='Données projet'!$A$114,'Données projet'!$B$114,BY67+BX68-CG67)))</f>
        <v>494.00000000000023</v>
      </c>
      <c r="BZ68" s="13">
        <f>BY68*VLOOKUP('Données projet'!$B$12,Paramètres!$A$1:$I$89,3,0)*VLOOKUP('Données projet'!$B$12,Paramètres!$A$1:$I$89,5,0)</f>
        <v>295.41200000000015</v>
      </c>
      <c r="CA68" s="13">
        <f t="shared" si="39"/>
        <v>70.21378144675117</v>
      </c>
      <c r="CB68" s="20">
        <f t="shared" ref="CB68:CB131" si="64">(BZ68+CA68)*0.475*44/12</f>
        <v>636.79823601975852</v>
      </c>
      <c r="CC68" s="59">
        <f t="shared" ref="CC68:CC131" si="65">CB68+(BT68+BU68)*44/12</f>
        <v>930.13156935309189</v>
      </c>
      <c r="CD68" s="59">
        <f ca="1">AVERAGE(OFFSET($CC$3,0,0,'Données projet'!$E$12+1,1))-AVERAGE(OFFSET($H$3,0,0,'Données projet'!$E$12+1,1))</f>
        <v>314.69202393413491</v>
      </c>
      <c r="CE68" s="59">
        <f t="shared" si="40"/>
        <v>321.1728368524748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1.7491946252980215</v>
      </c>
      <c r="CL68" s="21">
        <f>EXP(-LN(2)/25)*CL67+(1-EXP(-LN(2)/25))/(LN(2)/25)*Calculateur!CG68*Calculateur!CI68*VLOOKUP('Données projet'!$B$12,Paramètres!$A$1:$I$89,3,0)*0.475*44/12</f>
        <v>8.0862410946771988</v>
      </c>
      <c r="CM68" s="21">
        <f>EXP(-LN(2)/2)*CM67+(1-EXP(-LN(2)/2))/(LN(2)/2)*CG68*CJ68*VLOOKUP('Données projet'!$B$12,Paramètres!$A$1:$I$89,3,0)*0.475*44/12</f>
        <v>1.6348032414325534E-4</v>
      </c>
      <c r="CN68" s="22">
        <f t="shared" ref="CN68:CN131" si="66">SUM(CK68:CM68)</f>
        <v>9.8355992002993631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15.8</v>
      </c>
      <c r="N69" s="13">
        <f>IF('Données projet'!$A$36&gt;35,N68+M69-V68,IF(A69&lt;'Données projet'!$A$36,$K$205^A69,IF(A69='Données projet'!$A$36,'Données projet'!$B$36,N68+M69-V68)))</f>
        <v>677.79999999999916</v>
      </c>
      <c r="O69" s="13">
        <f>N69*VLOOKUP('Données projet'!$B$9,Paramètres!$A$1:$I$89,3,0)*VLOOKUP('Données projet'!$B$9,Paramètres!$A$1:$I$89,5,0)</f>
        <v>378.89019999999948</v>
      </c>
      <c r="P69" s="13">
        <f t="shared" ref="P69:P132" si="87">EXP(-1.0587+0.8836*LN(O69)+0.284)</f>
        <v>87.483566664488848</v>
      </c>
      <c r="Q69" s="20">
        <f t="shared" si="54"/>
        <v>812.26764360731715</v>
      </c>
      <c r="R69" s="59">
        <f t="shared" si="55"/>
        <v>1105.6009769406505</v>
      </c>
      <c r="S69" s="59">
        <f ca="1">AVERAGE(OFFSET($R$3,0,0,'Données projet'!$E$9+1,1))-AVERAGE(OFFSET($H$3,0,0,'Données projet'!$E$9+1,1))</f>
        <v>415.91544298418842</v>
      </c>
      <c r="T69" s="59">
        <f t="shared" ref="T69:T132" si="88">$T$3</f>
        <v>422.79312683312583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5.5979631137920594</v>
      </c>
      <c r="AA69" s="21">
        <f>EXP(-LN(2)/25)*AA68+(1-EXP(-LN(2)/25))/(LN(2)/25)*Calculateur!V69*Calculateur!X69*VLOOKUP('Données projet'!$B$9,Paramètres!$A$1:$I$89,3,0)*0.475*44/12</f>
        <v>14.285451299570928</v>
      </c>
      <c r="AB69" s="21">
        <f>EXP(-LN(2)/2)*AB68+(1-EXP(-LN(2)/2))/(LN(2)/2)*V69*Y69*VLOOKUP('Données projet'!$B$9,Paramètres!$A$1:$I$89,3,0)*0.475*44/12</f>
        <v>1.3912922422422064E-4</v>
      </c>
      <c r="AC69" s="22">
        <f t="shared" si="57"/>
        <v>19.883553542587212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15.5</v>
      </c>
      <c r="AI69" s="13">
        <f>IF('Données projet'!$A$62&gt;35,AI68+AH69-AQ68,IF(A69&lt;'Données projet'!$A$62,$AF$205^A69,IF(A69='Données projet'!$A$62,'Données projet'!$B$62,AI68+AH69-AQ68)))</f>
        <v>384.39999999999986</v>
      </c>
      <c r="AJ69" s="13">
        <f>AI69*VLOOKUP('Données projet'!$B$10,Paramètres!$A$1:$I$89,3,0)*VLOOKUP('Données projet'!$B$10,Paramètres!$A$1:$I$89,5,0)</f>
        <v>179.89919999999995</v>
      </c>
      <c r="AK69" s="13">
        <f t="shared" ref="AK69:AK132" si="89">EXP(-1.0587+0.8836*LN(AJ69)+0.284)</f>
        <v>45.299759292628586</v>
      </c>
      <c r="AL69" s="20">
        <f t="shared" si="58"/>
        <v>392.22152076799466</v>
      </c>
      <c r="AM69" s="59">
        <f t="shared" si="59"/>
        <v>685.55485410132792</v>
      </c>
      <c r="AN69" s="59">
        <f ca="1">AVERAGE(OFFSET($AM$3,0,0,'Données projet'!$E$10+1,1))-AVERAGE(OFFSET($H$3,0,0,'Données projet'!$E$10+1,1))</f>
        <v>215.23235148064941</v>
      </c>
      <c r="AO69" s="59">
        <f t="shared" ref="AO69:AO132" si="90">$AO$3</f>
        <v>184.07239726900434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1.5365571842574741</v>
      </c>
      <c r="AV69" s="21">
        <f>EXP(-LN(2)/25)*AV68+(1-EXP(-LN(2)/25))/(LN(2)/25)*Calculateur!AQ69*Calculateur!AS69*VLOOKUP('Données projet'!$B$10,Paramètres!$A$1:$I$89,3,0)*0.475*44/12</f>
        <v>2.8952673211549351</v>
      </c>
      <c r="AW69" s="21">
        <f>EXP(-LN(2)/2)*AW68+(1-EXP(-LN(2)/2))/(LN(2)/2)*AQ69*AT69*VLOOKUP('Données projet'!$B$10,Paramètres!$A$1:$I$89,3,0)*0.475*44/12</f>
        <v>3.7506776734527557E-5</v>
      </c>
      <c r="AX69" s="21">
        <f t="shared" si="60"/>
        <v>4.4318620121891437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7.8</v>
      </c>
      <c r="BD69" s="12">
        <f>IF('Données projet'!$A$88&gt;35,BD68+BC69-BL68,IF(A69&lt;'Données projet'!$A$88,$BA$205^A69,IF(A69='Données projet'!$A$88,'Données projet'!$B$88,BD68+BC69-BL68)))</f>
        <v>395.79999999999995</v>
      </c>
      <c r="BE69" s="13">
        <f>BD69*VLOOKUP('Données projet'!$B$11,Paramètres!$A$1:$I$89,3,0)*VLOOKUP('Données projet'!$B$11,Paramètres!$A$1:$I$89,5,0)</f>
        <v>246.97919999999999</v>
      </c>
      <c r="BF69" s="13">
        <f t="shared" ref="BF69:BF132" si="91">EXP(-1.0587+0.8836*LN(BE69)+0.284)</f>
        <v>59.938625040227144</v>
      </c>
      <c r="BG69" s="20">
        <f t="shared" si="61"/>
        <v>534.54854527839552</v>
      </c>
      <c r="BH69" s="59">
        <f t="shared" si="62"/>
        <v>827.88187861172878</v>
      </c>
      <c r="BI69" s="59">
        <f ca="1">AVERAGE(OFFSET($BH$3,0,0,'Données projet'!$E$11+1,1))-AVERAGE(OFFSET($H$3,0,0,'Données projet'!$E$11+1,1))</f>
        <v>261.27638267284169</v>
      </c>
      <c r="BJ69" s="59">
        <f t="shared" ref="BJ69:BJ132" si="92">$BJ$3</f>
        <v>297.50513563712764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4.0901819283859098</v>
      </c>
      <c r="BQ69" s="21">
        <f>EXP(-LN(2)/25)*BQ68+(1-EXP(-LN(2)/25))/(LN(2)/25)*Calculateur!BL69*Calculateur!BN69*VLOOKUP('Données projet'!$B$11,Paramètres!$A$1:$I$89,3,0)*0.475*44/12</f>
        <v>10.271922013655244</v>
      </c>
      <c r="BR69" s="21">
        <f>EXP(-LN(2)/2)*BR68+(1-EXP(-LN(2)/2))/(LN(2)/2)*BL69*BO69*VLOOKUP('Données projet'!$B$11,Paramètres!$A$1:$I$89,3,0)*0.475*44/12</f>
        <v>9.3083157107970733E-5</v>
      </c>
      <c r="BS69" s="22">
        <f t="shared" si="63"/>
        <v>14.362197025198261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11.8</v>
      </c>
      <c r="BY69" s="12">
        <f>IF('Données projet'!$A$114&gt;35,BY68+BX69-CG68,IF(A69&lt;'Données projet'!$A$114,$BV$205^A69,IF(A69='Données projet'!$A$114,'Données projet'!$B$114,BY68+BX69-CG68)))</f>
        <v>505.80000000000024</v>
      </c>
      <c r="BZ69" s="13">
        <f>BY69*VLOOKUP('Données projet'!$B$12,Paramètres!$A$1:$I$89,3,0)*VLOOKUP('Données projet'!$B$12,Paramètres!$A$1:$I$89,5,0)</f>
        <v>302.46840000000014</v>
      </c>
      <c r="CA69" s="13">
        <f t="shared" ref="CA69:CA132" si="93">EXP(-1.0587+0.8836*LN(BZ69)+0.284)</f>
        <v>71.693687882090799</v>
      </c>
      <c r="CB69" s="20">
        <f t="shared" si="64"/>
        <v>651.66563639464164</v>
      </c>
      <c r="CC69" s="59">
        <f t="shared" si="65"/>
        <v>944.99896972797501</v>
      </c>
      <c r="CD69" s="59">
        <f ca="1">AVERAGE(OFFSET($CC$3,0,0,'Données projet'!$E$12+1,1))-AVERAGE(OFFSET($H$3,0,0,'Données projet'!$E$12+1,1))</f>
        <v>314.69202393413491</v>
      </c>
      <c r="CE69" s="59">
        <f t="shared" ref="CE69:CE132" si="94">$CE$3</f>
        <v>321.1728368524748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1.7148939855993008</v>
      </c>
      <c r="CL69" s="21">
        <f>EXP(-LN(2)/25)*CL68+(1-EXP(-LN(2)/25))/(LN(2)/25)*Calculateur!CG69*Calculateur!CI69*VLOOKUP('Données projet'!$B$12,Paramètres!$A$1:$I$89,3,0)*0.475*44/12</f>
        <v>7.8651224067063126</v>
      </c>
      <c r="CM69" s="21">
        <f>EXP(-LN(2)/2)*CM68+(1-EXP(-LN(2)/2))/(LN(2)/2)*CG69*CJ69*VLOOKUP('Données projet'!$B$12,Paramètres!$A$1:$I$89,3,0)*0.475*44/12</f>
        <v>1.1559804579227072E-4</v>
      </c>
      <c r="CN69" s="22">
        <f t="shared" si="66"/>
        <v>9.5801319903514042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15.8</v>
      </c>
      <c r="N70" s="13">
        <f>IF('Données projet'!$A$36&gt;35,N69+M70-V69,IF(A70&lt;'Données projet'!$A$36,$K$205^A70,IF(A70='Données projet'!$A$36,'Données projet'!$B$36,N69+M70-V69)))</f>
        <v>693.59999999999911</v>
      </c>
      <c r="O70" s="13">
        <f>N70*VLOOKUP('Données projet'!$B$9,Paramètres!$A$1:$I$89,3,0)*VLOOKUP('Données projet'!$B$9,Paramètres!$A$1:$I$89,5,0)</f>
        <v>387.72239999999948</v>
      </c>
      <c r="P70" s="13">
        <f t="shared" si="87"/>
        <v>89.283072113397623</v>
      </c>
      <c r="Q70" s="20">
        <f t="shared" si="54"/>
        <v>830.78453059749984</v>
      </c>
      <c r="R70" s="59">
        <f t="shared" si="55"/>
        <v>1124.1178639308332</v>
      </c>
      <c r="S70" s="59">
        <f ca="1">AVERAGE(OFFSET($R$3,0,0,'Données projet'!$E$9+1,1))-AVERAGE(OFFSET($H$3,0,0,'Données projet'!$E$9+1,1))</f>
        <v>415.91544298418842</v>
      </c>
      <c r="T70" s="59">
        <f t="shared" si="88"/>
        <v>422.79312683312583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5.4881904715509506</v>
      </c>
      <c r="AA70" s="21">
        <f>EXP(-LN(2)/25)*AA69+(1-EXP(-LN(2)/25))/(LN(2)/25)*Calculateur!V70*Calculateur!X70*VLOOKUP('Données projet'!$B$9,Paramètres!$A$1:$I$89,3,0)*0.475*44/12</f>
        <v>13.894814882544928</v>
      </c>
      <c r="AB70" s="21">
        <f>EXP(-LN(2)/2)*AB69+(1-EXP(-LN(2)/2))/(LN(2)/2)*V70*Y70*VLOOKUP('Données projet'!$B$9,Paramètres!$A$1:$I$89,3,0)*0.475*44/12</f>
        <v>9.8379217910170093E-5</v>
      </c>
      <c r="AC70" s="22">
        <f t="shared" si="57"/>
        <v>19.383103733313789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15.5</v>
      </c>
      <c r="AI70" s="13">
        <f>IF('Données projet'!$A$62&gt;35,AI69+AH70-AQ69,IF(A70&lt;'Données projet'!$A$62,$AF$205^A70,IF(A70='Données projet'!$A$62,'Données projet'!$B$62,AI69+AH70-AQ69)))</f>
        <v>399.89999999999986</v>
      </c>
      <c r="AJ70" s="13">
        <f>AI70*VLOOKUP('Données projet'!$B$10,Paramètres!$A$1:$I$89,3,0)*VLOOKUP('Données projet'!$B$10,Paramètres!$A$1:$I$89,5,0)</f>
        <v>187.15319999999994</v>
      </c>
      <c r="AK70" s="13">
        <f t="shared" si="89"/>
        <v>46.9100138680691</v>
      </c>
      <c r="AL70" s="20">
        <f t="shared" si="58"/>
        <v>407.66009748688685</v>
      </c>
      <c r="AM70" s="59">
        <f t="shared" si="59"/>
        <v>700.99343082022017</v>
      </c>
      <c r="AN70" s="59">
        <f ca="1">AVERAGE(OFFSET($AM$3,0,0,'Données projet'!$E$10+1,1))-AVERAGE(OFFSET($H$3,0,0,'Données projet'!$E$10+1,1))</f>
        <v>215.23235148064941</v>
      </c>
      <c r="AO70" s="59">
        <f t="shared" si="90"/>
        <v>184.07239726900434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1.5064262350815258</v>
      </c>
      <c r="AV70" s="21">
        <f>EXP(-LN(2)/25)*AV69+(1-EXP(-LN(2)/25))/(LN(2)/25)*Calculateur!AQ70*Calculateur!AS70*VLOOKUP('Données projet'!$B$10,Paramètres!$A$1:$I$89,3,0)*0.475*44/12</f>
        <v>2.8160960840024623</v>
      </c>
      <c r="AW70" s="21">
        <f>EXP(-LN(2)/2)*AW69+(1-EXP(-LN(2)/2))/(LN(2)/2)*AQ70*AT70*VLOOKUP('Données projet'!$B$10,Paramètres!$A$1:$I$89,3,0)*0.475*44/12</f>
        <v>2.6521296169434269E-5</v>
      </c>
      <c r="AX70" s="21">
        <f t="shared" si="60"/>
        <v>4.3225488403801577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7.8</v>
      </c>
      <c r="BD70" s="12">
        <f>IF('Données projet'!$A$88&gt;35,BD69+BC70-BL69,IF(A70&lt;'Données projet'!$A$88,$BA$205^A70,IF(A70='Données projet'!$A$88,'Données projet'!$B$88,BD69+BC70-BL69)))</f>
        <v>403.59999999999997</v>
      </c>
      <c r="BE70" s="13">
        <f>BD70*VLOOKUP('Données projet'!$B$11,Paramètres!$A$1:$I$89,3,0)*VLOOKUP('Données projet'!$B$11,Paramètres!$A$1:$I$89,5,0)</f>
        <v>251.84639999999999</v>
      </c>
      <c r="BF70" s="13">
        <f t="shared" si="91"/>
        <v>60.981150137731454</v>
      </c>
      <c r="BG70" s="20">
        <f t="shared" si="61"/>
        <v>544.84131648988216</v>
      </c>
      <c r="BH70" s="59">
        <f t="shared" si="62"/>
        <v>838.17464982321553</v>
      </c>
      <c r="BI70" s="59">
        <f ca="1">AVERAGE(OFFSET($BH$3,0,0,'Données projet'!$E$11+1,1))-AVERAGE(OFFSET($H$3,0,0,'Données projet'!$E$11+1,1))</f>
        <v>261.27638267284169</v>
      </c>
      <c r="BJ70" s="59">
        <f t="shared" si="92"/>
        <v>297.50513563712764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4.0099759555349008</v>
      </c>
      <c r="BQ70" s="21">
        <f>EXP(-LN(2)/25)*BQ69+(1-EXP(-LN(2)/25))/(LN(2)/25)*Calculateur!BL70*Calculateur!BN70*VLOOKUP('Données projet'!$B$11,Paramètres!$A$1:$I$89,3,0)*0.475*44/12</f>
        <v>9.9910357660149387</v>
      </c>
      <c r="BR70" s="21">
        <f>EXP(-LN(2)/2)*BR69+(1-EXP(-LN(2)/2))/(LN(2)/2)*BL70*BO70*VLOOKUP('Données projet'!$B$11,Paramètres!$A$1:$I$89,3,0)*0.475*44/12</f>
        <v>6.5819731605298886E-5</v>
      </c>
      <c r="BS70" s="22">
        <f t="shared" si="63"/>
        <v>14.001077541281445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11.8</v>
      </c>
      <c r="BY70" s="12">
        <f>IF('Données projet'!$A$114&gt;35,BY69+BX70-CG69,IF(A70&lt;'Données projet'!$A$114,$BV$205^A70,IF(A70='Données projet'!$A$114,'Données projet'!$B$114,BY69+BX70-CG69)))</f>
        <v>517.60000000000025</v>
      </c>
      <c r="BZ70" s="13">
        <f>BY70*VLOOKUP('Données projet'!$B$12,Paramètres!$A$1:$I$89,3,0)*VLOOKUP('Données projet'!$B$12,Paramètres!$A$1:$I$89,5,0)</f>
        <v>309.52480000000014</v>
      </c>
      <c r="CA70" s="13">
        <f t="shared" si="93"/>
        <v>73.169580639491755</v>
      </c>
      <c r="CB70" s="20">
        <f t="shared" si="64"/>
        <v>666.52604628044833</v>
      </c>
      <c r="CC70" s="59">
        <f t="shared" si="65"/>
        <v>959.85937961378158</v>
      </c>
      <c r="CD70" s="59">
        <f ca="1">AVERAGE(OFFSET($CC$3,0,0,'Données projet'!$E$12+1,1))-AVERAGE(OFFSET($H$3,0,0,'Données projet'!$E$12+1,1))</f>
        <v>314.69202393413491</v>
      </c>
      <c r="CE70" s="59">
        <f t="shared" si="94"/>
        <v>321.1728368524748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1.6812659605237477</v>
      </c>
      <c r="CL70" s="21">
        <f>EXP(-LN(2)/25)*CL69+(1-EXP(-LN(2)/25))/(LN(2)/25)*Calculateur!CG70*Calculateur!CI70*VLOOKUP('Données projet'!$B$12,Paramètres!$A$1:$I$89,3,0)*0.475*44/12</f>
        <v>7.6500502208861167</v>
      </c>
      <c r="CM70" s="21">
        <f>EXP(-LN(2)/2)*CM69+(1-EXP(-LN(2)/2))/(LN(2)/2)*CG70*CJ70*VLOOKUP('Données projet'!$B$12,Paramètres!$A$1:$I$89,3,0)*0.475*44/12</f>
        <v>8.1740162071627671E-5</v>
      </c>
      <c r="CN70" s="22">
        <f t="shared" si="66"/>
        <v>9.331397921571936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15.8</v>
      </c>
      <c r="N71" s="13">
        <f>IF('Données projet'!$A$36&gt;35,N70+M71-V70,IF(A71&lt;'Données projet'!$A$36,$K$205^A71,IF(A71='Données projet'!$A$36,'Données projet'!$B$36,N70+M71-V70)))</f>
        <v>709.39999999999907</v>
      </c>
      <c r="O71" s="13">
        <f>N71*VLOOKUP('Données projet'!$B$9,Paramètres!$A$1:$I$89,3,0)*VLOOKUP('Données projet'!$B$9,Paramètres!$A$1:$I$89,5,0)</f>
        <v>396.55459999999948</v>
      </c>
      <c r="P71" s="13">
        <f t="shared" si="87"/>
        <v>91.077811955600495</v>
      </c>
      <c r="Q71" s="20">
        <f t="shared" si="54"/>
        <v>849.29311748933662</v>
      </c>
      <c r="R71" s="59">
        <f t="shared" si="55"/>
        <v>1142.62645082267</v>
      </c>
      <c r="S71" s="59">
        <f ca="1">AVERAGE(OFFSET($R$3,0,0,'Données projet'!$E$9+1,1))-AVERAGE(OFFSET($H$3,0,0,'Données projet'!$E$9+1,1))</f>
        <v>415.91544298418842</v>
      </c>
      <c r="T71" s="59">
        <f t="shared" si="88"/>
        <v>422.79312683312583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5.3805704038694895</v>
      </c>
      <c r="AA71" s="21">
        <f>EXP(-LN(2)/25)*AA70+(1-EXP(-LN(2)/25))/(LN(2)/25)*Calculateur!V71*Calculateur!X71*VLOOKUP('Données projet'!$B$9,Paramètres!$A$1:$I$89,3,0)*0.475*44/12</f>
        <v>13.514860438885179</v>
      </c>
      <c r="AB71" s="21">
        <f>EXP(-LN(2)/2)*AB70+(1-EXP(-LN(2)/2))/(LN(2)/2)*V71*Y71*VLOOKUP('Données projet'!$B$9,Paramètres!$A$1:$I$89,3,0)*0.475*44/12</f>
        <v>6.9564612112110321E-5</v>
      </c>
      <c r="AC71" s="22">
        <f t="shared" si="57"/>
        <v>18.895500407366782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15.5</v>
      </c>
      <c r="AI71" s="13">
        <f>IF('Données projet'!$A$62&gt;35,AI70+AH71-AQ70,IF(A71&lt;'Données projet'!$A$62,$AF$205^A71,IF(A71='Données projet'!$A$62,'Données projet'!$B$62,AI70+AH71-AQ70)))</f>
        <v>415.39999999999986</v>
      </c>
      <c r="AJ71" s="13">
        <f>AI71*VLOOKUP('Données projet'!$B$10,Paramètres!$A$1:$I$89,3,0)*VLOOKUP('Données projet'!$B$10,Paramètres!$A$1:$I$89,5,0)</f>
        <v>194.40719999999996</v>
      </c>
      <c r="AK71" s="13">
        <f t="shared" si="89"/>
        <v>48.513018020179601</v>
      </c>
      <c r="AL71" s="20">
        <f t="shared" si="58"/>
        <v>423.08604638514606</v>
      </c>
      <c r="AM71" s="59">
        <f t="shared" si="59"/>
        <v>716.41937971847938</v>
      </c>
      <c r="AN71" s="59">
        <f ca="1">AVERAGE(OFFSET($AM$3,0,0,'Données projet'!$E$10+1,1))-AVERAGE(OFFSET($H$3,0,0,'Données projet'!$E$10+1,1))</f>
        <v>215.23235148064941</v>
      </c>
      <c r="AO71" s="59">
        <f t="shared" si="90"/>
        <v>184.07239726900434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1.4768861354408536</v>
      </c>
      <c r="AV71" s="21">
        <f>EXP(-LN(2)/25)*AV70+(1-EXP(-LN(2)/25))/(LN(2)/25)*Calculateur!AQ71*Calculateur!AS71*VLOOKUP('Données projet'!$B$10,Paramètres!$A$1:$I$89,3,0)*0.475*44/12</f>
        <v>2.739089788493358</v>
      </c>
      <c r="AW71" s="21">
        <f>EXP(-LN(2)/2)*AW70+(1-EXP(-LN(2)/2))/(LN(2)/2)*AQ71*AT71*VLOOKUP('Données projet'!$B$10,Paramètres!$A$1:$I$89,3,0)*0.475*44/12</f>
        <v>1.8753388367263778E-5</v>
      </c>
      <c r="AX71" s="21">
        <f t="shared" si="60"/>
        <v>4.2159946773225787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7.8</v>
      </c>
      <c r="BD71" s="12">
        <f>IF('Données projet'!$A$88&gt;35,BD70+BC71-BL70,IF(A71&lt;'Données projet'!$A$88,$BA$205^A71,IF(A71='Données projet'!$A$88,'Données projet'!$B$88,BD70+BC71-BL70)))</f>
        <v>411.4</v>
      </c>
      <c r="BE71" s="13">
        <f>BD71*VLOOKUP('Données projet'!$B$11,Paramètres!$A$1:$I$89,3,0)*VLOOKUP('Données projet'!$B$11,Paramètres!$A$1:$I$89,5,0)</f>
        <v>256.71359999999999</v>
      </c>
      <c r="BF71" s="13">
        <f t="shared" si="91"/>
        <v>62.021332500424947</v>
      </c>
      <c r="BG71" s="20">
        <f t="shared" si="61"/>
        <v>555.13000743824</v>
      </c>
      <c r="BH71" s="59">
        <f t="shared" si="62"/>
        <v>848.46334077157326</v>
      </c>
      <c r="BI71" s="59">
        <f ca="1">AVERAGE(OFFSET($BH$3,0,0,'Données projet'!$E$11+1,1))-AVERAGE(OFFSET($H$3,0,0,'Données projet'!$E$11+1,1))</f>
        <v>261.27638267284169</v>
      </c>
      <c r="BJ71" s="59">
        <f t="shared" si="92"/>
        <v>297.50513563712764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3.9313427728906873</v>
      </c>
      <c r="BQ71" s="21">
        <f>EXP(-LN(2)/25)*BQ70+(1-EXP(-LN(2)/25))/(LN(2)/25)*Calculateur!BL71*Calculateur!BN71*VLOOKUP('Données projet'!$B$11,Paramètres!$A$1:$I$89,3,0)*0.475*44/12</f>
        <v>9.7178303675875242</v>
      </c>
      <c r="BR71" s="21">
        <f>EXP(-LN(2)/2)*BR70+(1-EXP(-LN(2)/2))/(LN(2)/2)*BL71*BO71*VLOOKUP('Données projet'!$B$11,Paramètres!$A$1:$I$89,3,0)*0.475*44/12</f>
        <v>4.6541578553985367E-5</v>
      </c>
      <c r="BS71" s="22">
        <f t="shared" si="63"/>
        <v>13.649219682056765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11.8</v>
      </c>
      <c r="BY71" s="12">
        <f>IF('Données projet'!$A$114&gt;35,BY70+BX71-CG70,IF(A71&lt;'Données projet'!$A$114,$BV$205^A71,IF(A71='Données projet'!$A$114,'Données projet'!$B$114,BY70+BX71-CG70)))</f>
        <v>529.4000000000002</v>
      </c>
      <c r="BZ71" s="13">
        <f>BY71*VLOOKUP('Données projet'!$B$12,Paramètres!$A$1:$I$89,3,0)*VLOOKUP('Données projet'!$B$12,Paramètres!$A$1:$I$89,5,0)</f>
        <v>316.58120000000014</v>
      </c>
      <c r="CA71" s="13">
        <f t="shared" si="93"/>
        <v>74.641561754153898</v>
      </c>
      <c r="CB71" s="20">
        <f t="shared" si="64"/>
        <v>681.37964338848485</v>
      </c>
      <c r="CC71" s="59">
        <f t="shared" si="65"/>
        <v>974.71297672181822</v>
      </c>
      <c r="CD71" s="59">
        <f ca="1">AVERAGE(OFFSET($CC$3,0,0,'Données projet'!$E$12+1,1))-AVERAGE(OFFSET($H$3,0,0,'Données projet'!$E$12+1,1))</f>
        <v>314.69202393413491</v>
      </c>
      <c r="CE71" s="59">
        <f t="shared" si="94"/>
        <v>321.1728368524748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1.648297360508856</v>
      </c>
      <c r="CL71" s="21">
        <f>EXP(-LN(2)/25)*CL70+(1-EXP(-LN(2)/25))/(LN(2)/25)*Calculateur!CG71*Calculateur!CI71*VLOOKUP('Données projet'!$B$12,Paramètres!$A$1:$I$89,3,0)*0.475*44/12</f>
        <v>7.4408591952973291</v>
      </c>
      <c r="CM71" s="21">
        <f>EXP(-LN(2)/2)*CM70+(1-EXP(-LN(2)/2))/(LN(2)/2)*CG71*CJ71*VLOOKUP('Données projet'!$B$12,Paramètres!$A$1:$I$89,3,0)*0.475*44/12</f>
        <v>5.7799022896135359E-5</v>
      </c>
      <c r="CN71" s="22">
        <f t="shared" si="66"/>
        <v>9.08921435482908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15.8</v>
      </c>
      <c r="N72" s="13">
        <f>IF('Données projet'!$A$36&gt;35,N71+M72-V71,IF(A72&lt;'Données projet'!$A$36,$K$205^A72,IF(A72='Données projet'!$A$36,'Données projet'!$B$36,N71+M72-V71)))</f>
        <v>725.19999999999902</v>
      </c>
      <c r="O72" s="13">
        <f>N72*VLOOKUP('Données projet'!$B$9,Paramètres!$A$1:$I$89,3,0)*VLOOKUP('Données projet'!$B$9,Paramètres!$A$1:$I$89,5,0)</f>
        <v>405.38679999999943</v>
      </c>
      <c r="P72" s="13">
        <f t="shared" si="87"/>
        <v>92.867904553465792</v>
      </c>
      <c r="Q72" s="20">
        <f t="shared" si="54"/>
        <v>867.79361043061851</v>
      </c>
      <c r="R72" s="59">
        <f t="shared" si="55"/>
        <v>1161.1269437639519</v>
      </c>
      <c r="S72" s="59">
        <f ca="1">AVERAGE(OFFSET($R$3,0,0,'Données projet'!$E$9+1,1))-AVERAGE(OFFSET($H$3,0,0,'Données projet'!$E$9+1,1))</f>
        <v>415.91544298418842</v>
      </c>
      <c r="T72" s="59">
        <f t="shared" si="88"/>
        <v>422.79312683312583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5.2750607000735021</v>
      </c>
      <c r="AA72" s="21">
        <f>EXP(-LN(2)/25)*AA71+(1-EXP(-LN(2)/25))/(LN(2)/25)*Calculateur!V72*Calculateur!X72*VLOOKUP('Données projet'!$B$9,Paramètres!$A$1:$I$89,3,0)*0.475*44/12</f>
        <v>13.145295869468242</v>
      </c>
      <c r="AB72" s="21">
        <f>EXP(-LN(2)/2)*AB71+(1-EXP(-LN(2)/2))/(LN(2)/2)*V72*Y72*VLOOKUP('Données projet'!$B$9,Paramètres!$A$1:$I$89,3,0)*0.475*44/12</f>
        <v>4.9189608955085047E-5</v>
      </c>
      <c r="AC72" s="22">
        <f t="shared" si="57"/>
        <v>18.4204057591507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15.5</v>
      </c>
      <c r="AI72" s="13">
        <f>IF('Données projet'!$A$62&gt;35,AI71+AH72-AQ71,IF(A72&lt;'Données projet'!$A$62,$AF$205^A72,IF(A72='Données projet'!$A$62,'Données projet'!$B$62,AI71+AH72-AQ71)))</f>
        <v>430.89999999999986</v>
      </c>
      <c r="AJ72" s="13">
        <f>AI72*VLOOKUP('Données projet'!$B$10,Paramètres!$A$1:$I$89,3,0)*VLOOKUP('Données projet'!$B$10,Paramètres!$A$1:$I$89,5,0)</f>
        <v>201.66119999999992</v>
      </c>
      <c r="AK72" s="13">
        <f t="shared" si="89"/>
        <v>50.109073265229782</v>
      </c>
      <c r="AL72" s="20">
        <f t="shared" si="58"/>
        <v>438.49989260360843</v>
      </c>
      <c r="AM72" s="59">
        <f t="shared" si="59"/>
        <v>731.83322593694174</v>
      </c>
      <c r="AN72" s="59">
        <f ca="1">AVERAGE(OFFSET($AM$3,0,0,'Données projet'!$E$10+1,1))-AVERAGE(OFFSET($H$3,0,0,'Données projet'!$E$10+1,1))</f>
        <v>215.23235148064941</v>
      </c>
      <c r="AO72" s="59">
        <f t="shared" si="90"/>
        <v>184.07239726900434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1.4479252991364533</v>
      </c>
      <c r="AV72" s="21">
        <f>EXP(-LN(2)/25)*AV71+(1-EXP(-LN(2)/25))/(LN(2)/25)*Calculateur!AQ72*Calculateur!AS72*VLOOKUP('Données projet'!$B$10,Paramètres!$A$1:$I$89,3,0)*0.475*44/12</f>
        <v>2.6641892341845357</v>
      </c>
      <c r="AW72" s="21">
        <f>EXP(-LN(2)/2)*AW71+(1-EXP(-LN(2)/2))/(LN(2)/2)*AQ72*AT72*VLOOKUP('Données projet'!$B$10,Paramètres!$A$1:$I$89,3,0)*0.475*44/12</f>
        <v>1.3260648084717135E-5</v>
      </c>
      <c r="AX72" s="21">
        <f t="shared" si="60"/>
        <v>4.1121277939690737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7.8</v>
      </c>
      <c r="BD72" s="12">
        <f>IF('Données projet'!$A$88&gt;35,BD71+BC72-BL71,IF(A72&lt;'Données projet'!$A$88,$BA$205^A72,IF(A72='Données projet'!$A$88,'Données projet'!$B$88,BD71+BC72-BL71)))</f>
        <v>419.2</v>
      </c>
      <c r="BE72" s="13">
        <f>BD72*VLOOKUP('Données projet'!$B$11,Paramètres!$A$1:$I$89,3,0)*VLOOKUP('Données projet'!$B$11,Paramètres!$A$1:$I$89,5,0)</f>
        <v>261.58080000000001</v>
      </c>
      <c r="BF72" s="13">
        <f t="shared" si="91"/>
        <v>63.05922166723839</v>
      </c>
      <c r="BG72" s="20">
        <f t="shared" si="61"/>
        <v>565.4147044037735</v>
      </c>
      <c r="BH72" s="59">
        <f t="shared" si="62"/>
        <v>858.74803773710687</v>
      </c>
      <c r="BI72" s="59">
        <f ca="1">AVERAGE(OFFSET($BH$3,0,0,'Données projet'!$E$11+1,1))-AVERAGE(OFFSET($H$3,0,0,'Données projet'!$E$11+1,1))</f>
        <v>261.27638267284169</v>
      </c>
      <c r="BJ72" s="59">
        <f t="shared" si="92"/>
        <v>297.50513563712764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3.8542515389966212</v>
      </c>
      <c r="BQ72" s="21">
        <f>EXP(-LN(2)/25)*BQ71+(1-EXP(-LN(2)/25))/(LN(2)/25)*Calculateur!BL72*Calculateur!BN72*VLOOKUP('Données projet'!$B$11,Paramètres!$A$1:$I$89,3,0)*0.475*44/12</f>
        <v>9.452095785147355</v>
      </c>
      <c r="BR72" s="21">
        <f>EXP(-LN(2)/2)*BR71+(1-EXP(-LN(2)/2))/(LN(2)/2)*BL72*BO72*VLOOKUP('Données projet'!$B$11,Paramètres!$A$1:$I$89,3,0)*0.475*44/12</f>
        <v>3.2909865802649443E-5</v>
      </c>
      <c r="BS72" s="22">
        <f t="shared" si="63"/>
        <v>13.306380234009779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11.8</v>
      </c>
      <c r="BY72" s="12">
        <f>IF('Données projet'!$A$114&gt;35,BY71+BX72-CG71,IF(A72&lt;'Données projet'!$A$114,$BV$205^A72,IF(A72='Données projet'!$A$114,'Données projet'!$B$114,BY71+BX72-CG71)))</f>
        <v>541.20000000000016</v>
      </c>
      <c r="BZ72" s="13">
        <f>BY72*VLOOKUP('Données projet'!$B$12,Paramètres!$A$1:$I$89,3,0)*VLOOKUP('Données projet'!$B$12,Paramètres!$A$1:$I$89,5,0)</f>
        <v>323.63760000000013</v>
      </c>
      <c r="CA72" s="13">
        <f t="shared" si="93"/>
        <v>76.109728452986261</v>
      </c>
      <c r="CB72" s="20">
        <f t="shared" si="64"/>
        <v>696.22659705561784</v>
      </c>
      <c r="CC72" s="59">
        <f t="shared" si="65"/>
        <v>989.55993038895122</v>
      </c>
      <c r="CD72" s="59">
        <f ca="1">AVERAGE(OFFSET($CC$3,0,0,'Données projet'!$E$12+1,1))-AVERAGE(OFFSET($H$3,0,0,'Données projet'!$E$12+1,1))</f>
        <v>314.69202393413491</v>
      </c>
      <c r="CE72" s="59">
        <f t="shared" si="94"/>
        <v>321.1728368524748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1.6159752546313959</v>
      </c>
      <c r="CL72" s="21">
        <f>EXP(-LN(2)/25)*CL71+(1-EXP(-LN(2)/25))/(LN(2)/25)*Calculateur!CG72*Calculateur!CI72*VLOOKUP('Données projet'!$B$12,Paramètres!$A$1:$I$89,3,0)*0.475*44/12</f>
        <v>7.2373885093041448</v>
      </c>
      <c r="CM72" s="21">
        <f>EXP(-LN(2)/2)*CM71+(1-EXP(-LN(2)/2))/(LN(2)/2)*CG72*CJ72*VLOOKUP('Données projet'!$B$12,Paramètres!$A$1:$I$89,3,0)*0.475*44/12</f>
        <v>4.0870081035813835E-5</v>
      </c>
      <c r="CN72" s="22">
        <f t="shared" si="66"/>
        <v>8.8534046340165755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741</v>
      </c>
      <c r="L73" s="12">
        <f>VLOOKUP(A73,'Données projet'!$A$35:$I$55,9,0)</f>
        <v>15.8</v>
      </c>
      <c r="M73" s="12">
        <f t="array" ref="M73">INDEX(L:L,MIN(IF(ISNUMBER(L73:L269),ROW(L73:L269),"")))</f>
        <v>15.8</v>
      </c>
      <c r="N73" s="13">
        <f>IF('Données projet'!$A$36&gt;35,N72+M73-V72,IF(A73&lt;'Données projet'!$A$36,$K$205^A73,IF(A73='Données projet'!$A$36,'Données projet'!$B$36,N72+M73-V72)))</f>
        <v>740.99999999999898</v>
      </c>
      <c r="O73" s="13">
        <f>N73*VLOOKUP('Données projet'!$B$9,Paramètres!$A$1:$I$89,3,0)*VLOOKUP('Données projet'!$B$9,Paramètres!$A$1:$I$89,5,0)</f>
        <v>414.21899999999943</v>
      </c>
      <c r="P73" s="13">
        <f t="shared" si="87"/>
        <v>94.653462817267581</v>
      </c>
      <c r="Q73" s="20">
        <f t="shared" si="54"/>
        <v>886.28620607340656</v>
      </c>
      <c r="R73" s="59">
        <f t="shared" si="55"/>
        <v>1179.6195394067399</v>
      </c>
      <c r="S73" s="59">
        <f ca="1">AVERAGE(OFFSET($R$3,0,0,'Données projet'!$E$9+1,1))-AVERAGE(OFFSET($H$3,0,0,'Données projet'!$E$9+1,1))</f>
        <v>415.91544298418842</v>
      </c>
      <c r="T73" s="59">
        <f t="shared" si="88"/>
        <v>422.79312683312583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80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5.1716199772143892</v>
      </c>
      <c r="AA73" s="21">
        <f>EXP(-LN(2)/25)*AA72+(1-EXP(-LN(2)/25))/(LN(2)/25)*Calculateur!V73*Calculateur!X73*VLOOKUP('Données projet'!$B$9,Paramètres!$A$1:$I$89,3,0)*0.475*44/12</f>
        <v>12.785837062636567</v>
      </c>
      <c r="AB73" s="21">
        <f>EXP(-LN(2)/2)*AB72+(1-EXP(-LN(2)/2))/(LN(2)/2)*V73*Y73*VLOOKUP('Données projet'!$B$9,Paramètres!$A$1:$I$89,3,0)*0.475*44/12</f>
        <v>3.478230605605516E-5</v>
      </c>
      <c r="AC73" s="22">
        <f t="shared" si="57"/>
        <v>17.957491822157014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446.4</v>
      </c>
      <c r="AG73" s="12">
        <f>VLOOKUP(A73,'Données projet'!$A$61:$I$81,9,0)</f>
        <v>15.5</v>
      </c>
      <c r="AH73" s="12">
        <f t="array" ref="AH73">INDEX(AG:AG,MIN(IF(ISNUMBER(AG73:AG269),ROW(AG73:AG269),"")))</f>
        <v>15.5</v>
      </c>
      <c r="AI73" s="13">
        <f>IF('Données projet'!$A$62&gt;35,AI72+AH73-AQ72,IF(A73&lt;'Données projet'!$A$62,$AF$205^A73,IF(A73='Données projet'!$A$62,'Données projet'!$B$62,AI72+AH73-AQ72)))</f>
        <v>446.39999999999986</v>
      </c>
      <c r="AJ73" s="13">
        <f>AI73*VLOOKUP('Données projet'!$B$10,Paramètres!$A$1:$I$89,3,0)*VLOOKUP('Données projet'!$B$10,Paramètres!$A$1:$I$89,5,0)</f>
        <v>208.91519999999994</v>
      </c>
      <c r="AK73" s="13">
        <f t="shared" si="89"/>
        <v>51.698458198123326</v>
      </c>
      <c r="AL73" s="20">
        <f t="shared" si="58"/>
        <v>453.90212136173136</v>
      </c>
      <c r="AM73" s="59">
        <f t="shared" si="59"/>
        <v>747.23545469506462</v>
      </c>
      <c r="AN73" s="59">
        <f ca="1">AVERAGE(OFFSET($AM$3,0,0,'Données projet'!$E$10+1,1))-AVERAGE(OFFSET($H$3,0,0,'Données projet'!$E$10+1,1))</f>
        <v>215.23235148064941</v>
      </c>
      <c r="AO73" s="59">
        <f t="shared" si="90"/>
        <v>184.07239726900434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83.4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1.4195323671676163</v>
      </c>
      <c r="AV73" s="21">
        <f>EXP(-LN(2)/25)*AV72+(1-EXP(-LN(2)/25))/(LN(2)/25)*Calculateur!AQ73*Calculateur!AS73*VLOOKUP('Données projet'!$B$10,Paramètres!$A$1:$I$89,3,0)*0.475*44/12</f>
        <v>2.5913368394721368</v>
      </c>
      <c r="AW73" s="21">
        <f>EXP(-LN(2)/2)*AW72+(1-EXP(-LN(2)/2))/(LN(2)/2)*AQ73*AT73*VLOOKUP('Données projet'!$B$10,Paramètres!$A$1:$I$89,3,0)*0.475*44/12</f>
        <v>9.3766941836318892E-6</v>
      </c>
      <c r="AX73" s="21">
        <f t="shared" si="60"/>
        <v>4.0108785833339367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427</v>
      </c>
      <c r="BB73" s="12">
        <f>VLOOKUP(A73,'Données projet'!$A$87:$I$107,9,0)</f>
        <v>7.8</v>
      </c>
      <c r="BC73" s="12">
        <f t="array" ref="BC73">INDEX(BB:BB,MIN(IF(ISNUMBER(BB73:BB269),ROW(BB73:BB269),"")))</f>
        <v>7.8</v>
      </c>
      <c r="BD73" s="12">
        <f>IF('Données projet'!$A$88&gt;35,BD72+BC73-BL72,IF(A73&lt;'Données projet'!$A$88,$BA$205^A73,IF(A73='Données projet'!$A$88,'Données projet'!$B$88,BD72+BC73-BL72)))</f>
        <v>427</v>
      </c>
      <c r="BE73" s="13">
        <f>BD73*VLOOKUP('Données projet'!$B$11,Paramètres!$A$1:$I$89,3,0)*VLOOKUP('Données projet'!$B$11,Paramètres!$A$1:$I$89,5,0)</f>
        <v>266.44799999999998</v>
      </c>
      <c r="BF73" s="13">
        <f t="shared" si="91"/>
        <v>64.094865228054687</v>
      </c>
      <c r="BG73" s="20">
        <f t="shared" si="61"/>
        <v>575.69549027219523</v>
      </c>
      <c r="BH73" s="59">
        <f t="shared" si="62"/>
        <v>869.02882360552849</v>
      </c>
      <c r="BI73" s="59">
        <f ca="1">AVERAGE(OFFSET($BH$3,0,0,'Données projet'!$E$11+1,1))-AVERAGE(OFFSET($H$3,0,0,'Données projet'!$E$11+1,1))</f>
        <v>261.27638267284169</v>
      </c>
      <c r="BJ73" s="59">
        <f t="shared" si="92"/>
        <v>297.50513563712764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45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3.778672017178208</v>
      </c>
      <c r="BQ73" s="21">
        <f>EXP(-LN(2)/25)*BQ72+(1-EXP(-LN(2)/25))/(LN(2)/25)*Calculateur!BL73*Calculateur!BN73*VLOOKUP('Données projet'!$B$11,Paramètres!$A$1:$I$89,3,0)*0.475*44/12</f>
        <v>9.1936277288383863</v>
      </c>
      <c r="BR73" s="21">
        <f>EXP(-LN(2)/2)*BR72+(1-EXP(-LN(2)/2))/(LN(2)/2)*BL73*BO73*VLOOKUP('Données projet'!$B$11,Paramètres!$A$1:$I$89,3,0)*0.475*44/12</f>
        <v>2.3270789276992683E-5</v>
      </c>
      <c r="BS73" s="22">
        <f t="shared" si="63"/>
        <v>12.972323016805872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553</v>
      </c>
      <c r="BW73" s="12">
        <f>VLOOKUP(A73,'Données projet'!$A$113:$I$133,9,0)</f>
        <v>11.8</v>
      </c>
      <c r="BX73" s="12">
        <f t="array" ref="BX73">INDEX(BW:BW,MIN(IF(ISNUMBER(BW73:BW269),ROW(BW73:BW269),"")))</f>
        <v>11.8</v>
      </c>
      <c r="BY73" s="12">
        <f>IF('Données projet'!$A$114&gt;35,BY72+BX73-CG72,IF(A73&lt;'Données projet'!$A$114,$BV$205^A73,IF(A73='Données projet'!$A$114,'Données projet'!$B$114,BY72+BX73-CG72)))</f>
        <v>553.00000000000011</v>
      </c>
      <c r="BZ73" s="13">
        <f>BY73*VLOOKUP('Données projet'!$B$12,Paramètres!$A$1:$I$89,3,0)*VLOOKUP('Données projet'!$B$12,Paramètres!$A$1:$I$89,5,0)</f>
        <v>330.69400000000007</v>
      </c>
      <c r="CA73" s="13">
        <f t="shared" si="93"/>
        <v>77.574173481011158</v>
      </c>
      <c r="CB73" s="20">
        <f t="shared" si="64"/>
        <v>711.06706881276114</v>
      </c>
      <c r="CC73" s="59">
        <f t="shared" si="65"/>
        <v>1004.4004021460944</v>
      </c>
      <c r="CD73" s="59">
        <f ca="1">AVERAGE(OFFSET($CC$3,0,0,'Données projet'!$E$12+1,1))-AVERAGE(OFFSET($H$3,0,0,'Données projet'!$E$12+1,1))</f>
        <v>314.69202393413491</v>
      </c>
      <c r="CE73" s="59">
        <f t="shared" si="94"/>
        <v>321.1728368524748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55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1.5842869655356548</v>
      </c>
      <c r="CL73" s="21">
        <f>EXP(-LN(2)/25)*CL72+(1-EXP(-LN(2)/25))/(LN(2)/25)*Calculateur!CG73*Calculateur!CI73*VLOOKUP('Données projet'!$B$12,Paramètres!$A$1:$I$89,3,0)*0.475*44/12</f>
        <v>7.0394817399195029</v>
      </c>
      <c r="CM73" s="21">
        <f>EXP(-LN(2)/2)*CM72+(1-EXP(-LN(2)/2))/(LN(2)/2)*CG73*CJ73*VLOOKUP('Données projet'!$B$12,Paramètres!$A$1:$I$89,3,0)*0.475*44/12</f>
        <v>2.889951144806768E-5</v>
      </c>
      <c r="CN73" s="22">
        <f t="shared" si="66"/>
        <v>8.6237976049666063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12.9</v>
      </c>
      <c r="N74" s="13">
        <f>IF('Données projet'!$A$36&gt;35,N73+M74-V73,IF(A74&lt;'Données projet'!$A$36,$K$205^A74,IF(A74='Données projet'!$A$36,'Données projet'!$B$36,N73+M74-V73)))</f>
        <v>673.89999999999895</v>
      </c>
      <c r="O74" s="13">
        <f>N74*VLOOKUP('Données projet'!$B$9,Paramètres!$A$1:$I$89,3,0)*VLOOKUP('Données projet'!$B$9,Paramètres!$A$1:$I$89,5,0)</f>
        <v>376.71009999999939</v>
      </c>
      <c r="P74" s="13">
        <f t="shared" si="87"/>
        <v>87.038637418312646</v>
      </c>
      <c r="Q74" s="20">
        <f t="shared" si="54"/>
        <v>807.69571767022671</v>
      </c>
      <c r="R74" s="59">
        <f t="shared" si="55"/>
        <v>1101.02905100356</v>
      </c>
      <c r="S74" s="59">
        <f ca="1">AVERAGE(OFFSET($R$3,0,0,'Données projet'!$E$9+1,1))-AVERAGE(OFFSET($H$3,0,0,'Données projet'!$E$9+1,1))</f>
        <v>415.91544298418842</v>
      </c>
      <c r="T74" s="59">
        <f t="shared" si="88"/>
        <v>422.79312683312583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5.0702076638379321</v>
      </c>
      <c r="AA74" s="21">
        <f>EXP(-LN(2)/25)*AA73+(1-EXP(-LN(2)/25))/(LN(2)/25)*Calculateur!V74*Calculateur!X74*VLOOKUP('Données projet'!$B$9,Paramètres!$A$1:$I$89,3,0)*0.475*44/12</f>
        <v>12.436207675780821</v>
      </c>
      <c r="AB74" s="21">
        <f>EXP(-LN(2)/2)*AB73+(1-EXP(-LN(2)/2))/(LN(2)/2)*V74*Y74*VLOOKUP('Données projet'!$B$9,Paramètres!$A$1:$I$89,3,0)*0.475*44/12</f>
        <v>2.4594804477542523E-5</v>
      </c>
      <c r="AC74" s="22">
        <f t="shared" si="57"/>
        <v>17.506439934423234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17</v>
      </c>
      <c r="AI74" s="13">
        <f>IF('Données projet'!$A$62&gt;35,AI73+AH74-AQ73,IF(A74&lt;'Données projet'!$A$62,$AF$205^A74,IF(A74='Données projet'!$A$62,'Données projet'!$B$62,AI73+AH74-AQ73)))</f>
        <v>379.99999999999989</v>
      </c>
      <c r="AJ74" s="13">
        <f>AI74*VLOOKUP('Données projet'!$B$10,Paramètres!$A$1:$I$89,3,0)*VLOOKUP('Données projet'!$B$10,Paramètres!$A$1:$I$89,5,0)</f>
        <v>177.83999999999995</v>
      </c>
      <c r="AK74" s="13">
        <f t="shared" si="89"/>
        <v>44.841288830609102</v>
      </c>
      <c r="AL74" s="20">
        <f t="shared" si="58"/>
        <v>387.83657804664409</v>
      </c>
      <c r="AM74" s="59">
        <f t="shared" si="59"/>
        <v>681.16991137997741</v>
      </c>
      <c r="AN74" s="59">
        <f ca="1">AVERAGE(OFFSET($AM$3,0,0,'Données projet'!$E$10+1,1))-AVERAGE(OFFSET($H$3,0,0,'Données projet'!$E$10+1,1))</f>
        <v>215.23235148064941</v>
      </c>
      <c r="AO74" s="59">
        <f t="shared" si="90"/>
        <v>184.07239726900434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1.3916962032767097</v>
      </c>
      <c r="AV74" s="21">
        <f>EXP(-LN(2)/25)*AV73+(1-EXP(-LN(2)/25))/(LN(2)/25)*Calculateur!AQ74*Calculateur!AS74*VLOOKUP('Données projet'!$B$10,Paramètres!$A$1:$I$89,3,0)*0.475*44/12</f>
        <v>2.5204765973242895</v>
      </c>
      <c r="AW74" s="21">
        <f>EXP(-LN(2)/2)*AW73+(1-EXP(-LN(2)/2))/(LN(2)/2)*AQ74*AT74*VLOOKUP('Données projet'!$B$10,Paramètres!$A$1:$I$89,3,0)*0.475*44/12</f>
        <v>6.6303240423585673E-6</v>
      </c>
      <c r="AX74" s="21">
        <f t="shared" si="60"/>
        <v>3.9121794309250415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</v>
      </c>
      <c r="BD74" s="12">
        <f>IF('Données projet'!$A$88&gt;35,BD73+BC74-BL73,IF(A74&lt;'Données projet'!$A$88,$BA$205^A74,IF(A74='Données projet'!$A$88,'Données projet'!$B$88,BD73+BC74-BL73)))</f>
        <v>388</v>
      </c>
      <c r="BE74" s="13">
        <f>BD74*VLOOKUP('Données projet'!$B$11,Paramètres!$A$1:$I$89,3,0)*VLOOKUP('Données projet'!$B$11,Paramètres!$A$1:$I$89,5,0)</f>
        <v>242.11199999999999</v>
      </c>
      <c r="BF74" s="13">
        <f t="shared" si="91"/>
        <v>58.893705600066006</v>
      </c>
      <c r="BG74" s="20">
        <f t="shared" si="61"/>
        <v>524.25160392011492</v>
      </c>
      <c r="BH74" s="59">
        <f t="shared" si="62"/>
        <v>817.58493725344829</v>
      </c>
      <c r="BI74" s="59">
        <f ca="1">AVERAGE(OFFSET($BH$3,0,0,'Données projet'!$E$11+1,1))-AVERAGE(OFFSET($H$3,0,0,'Données projet'!$E$11+1,1))</f>
        <v>261.27638267284169</v>
      </c>
      <c r="BJ74" s="59">
        <f t="shared" si="92"/>
        <v>297.50513563712764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3.7045745636836975</v>
      </c>
      <c r="BQ74" s="21">
        <f>EXP(-LN(2)/25)*BQ73+(1-EXP(-LN(2)/25))/(LN(2)/25)*Calculateur!BL74*Calculateur!BN74*VLOOKUP('Données projet'!$B$11,Paramètres!$A$1:$I$89,3,0)*0.475*44/12</f>
        <v>8.9422274951214309</v>
      </c>
      <c r="BR74" s="21">
        <f>EXP(-LN(2)/2)*BR73+(1-EXP(-LN(2)/2))/(LN(2)/2)*BL74*BO74*VLOOKUP('Données projet'!$B$11,Paramètres!$A$1:$I$89,3,0)*0.475*44/12</f>
        <v>1.6454932901324722E-5</v>
      </c>
      <c r="BS74" s="22">
        <f t="shared" si="63"/>
        <v>12.64681851373803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9.4</v>
      </c>
      <c r="BY74" s="12">
        <f>IF('Données projet'!$A$114&gt;35,BY73+BX74-CG73,IF(A74&lt;'Données projet'!$A$114,$BV$205^A74,IF(A74='Données projet'!$A$114,'Données projet'!$B$114,BY73+BX74-CG73)))</f>
        <v>507.40000000000009</v>
      </c>
      <c r="BZ74" s="13">
        <f>BY74*VLOOKUP('Données projet'!$B$12,Paramètres!$A$1:$I$89,3,0)*VLOOKUP('Données projet'!$B$12,Paramètres!$A$1:$I$89,5,0)</f>
        <v>303.42520000000007</v>
      </c>
      <c r="CA74" s="13">
        <f t="shared" si="93"/>
        <v>71.89404183566603</v>
      </c>
      <c r="CB74" s="20">
        <f t="shared" si="64"/>
        <v>653.6810128637851</v>
      </c>
      <c r="CC74" s="59">
        <f t="shared" si="65"/>
        <v>947.01434619711836</v>
      </c>
      <c r="CD74" s="59">
        <f ca="1">AVERAGE(OFFSET($CC$3,0,0,'Données projet'!$E$12+1,1))-AVERAGE(OFFSET($H$3,0,0,'Données projet'!$E$12+1,1))</f>
        <v>314.69202393413491</v>
      </c>
      <c r="CE74" s="59">
        <f t="shared" si="94"/>
        <v>321.1728368524748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1.5532200644611336</v>
      </c>
      <c r="CL74" s="21">
        <f>EXP(-LN(2)/25)*CL73+(1-EXP(-LN(2)/25))/(LN(2)/25)*Calculateur!CG74*Calculateur!CI74*VLOOKUP('Données projet'!$B$12,Paramètres!$A$1:$I$89,3,0)*0.475*44/12</f>
        <v>6.8469867415511487</v>
      </c>
      <c r="CM74" s="21">
        <f>EXP(-LN(2)/2)*CM73+(1-EXP(-LN(2)/2))/(LN(2)/2)*CG74*CJ74*VLOOKUP('Données projet'!$B$12,Paramètres!$A$1:$I$89,3,0)*0.475*44/12</f>
        <v>2.0435040517906918E-5</v>
      </c>
      <c r="CN74" s="22">
        <f t="shared" si="66"/>
        <v>8.4002272410528001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12.9</v>
      </c>
      <c r="N75" s="13">
        <f>IF('Données projet'!$A$36&gt;35,N74+M75-V74,IF(A75&lt;'Données projet'!$A$36,$K$205^A75,IF(A75='Données projet'!$A$36,'Données projet'!$B$36,N74+M75-V74)))</f>
        <v>686.79999999999893</v>
      </c>
      <c r="O75" s="13">
        <f>N75*VLOOKUP('Données projet'!$B$9,Paramètres!$A$1:$I$89,3,0)*VLOOKUP('Données projet'!$B$9,Paramètres!$A$1:$I$89,5,0)</f>
        <v>383.92119999999943</v>
      </c>
      <c r="P75" s="13">
        <f t="shared" si="87"/>
        <v>88.509192685867021</v>
      </c>
      <c r="Q75" s="20">
        <f t="shared" si="54"/>
        <v>822.81626726121738</v>
      </c>
      <c r="R75" s="59">
        <f t="shared" si="55"/>
        <v>1116.1496005945507</v>
      </c>
      <c r="S75" s="59">
        <f ca="1">AVERAGE(OFFSET($R$3,0,0,'Données projet'!$E$9+1,1))-AVERAGE(OFFSET($H$3,0,0,'Données projet'!$E$9+1,1))</f>
        <v>415.91544298418842</v>
      </c>
      <c r="T75" s="59">
        <f t="shared" si="88"/>
        <v>422.79312683312583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4.9707839840713843</v>
      </c>
      <c r="AA75" s="21">
        <f>EXP(-LN(2)/25)*AA74+(1-EXP(-LN(2)/25))/(LN(2)/25)*Calculateur!V75*Calculateur!X75*VLOOKUP('Données projet'!$B$9,Paramètres!$A$1:$I$89,3,0)*0.475*44/12</f>
        <v>12.096138922894855</v>
      </c>
      <c r="AB75" s="21">
        <f>EXP(-LN(2)/2)*AB74+(1-EXP(-LN(2)/2))/(LN(2)/2)*V75*Y75*VLOOKUP('Données projet'!$B$9,Paramètres!$A$1:$I$89,3,0)*0.475*44/12</f>
        <v>1.739115302802758E-5</v>
      </c>
      <c r="AC75" s="22">
        <f t="shared" si="57"/>
        <v>17.06694029811927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17</v>
      </c>
      <c r="AI75" s="13">
        <f>IF('Données projet'!$A$62&gt;35,AI74+AH75-AQ74,IF(A75&lt;'Données projet'!$A$62,$AF$205^A75,IF(A75='Données projet'!$A$62,'Données projet'!$B$62,AI74+AH75-AQ74)))</f>
        <v>396.99999999999989</v>
      </c>
      <c r="AJ75" s="13">
        <f>AI75*VLOOKUP('Données projet'!$B$10,Paramètres!$A$1:$I$89,3,0)*VLOOKUP('Données projet'!$B$10,Paramètres!$A$1:$I$89,5,0)</f>
        <v>185.79599999999996</v>
      </c>
      <c r="AK75" s="13">
        <f t="shared" si="89"/>
        <v>46.60930127448345</v>
      </c>
      <c r="AL75" s="20">
        <f t="shared" si="58"/>
        <v>404.77256638639187</v>
      </c>
      <c r="AM75" s="59">
        <f t="shared" si="59"/>
        <v>698.10589971972513</v>
      </c>
      <c r="AN75" s="59">
        <f ca="1">AVERAGE(OFFSET($AM$3,0,0,'Données projet'!$E$10+1,1))-AVERAGE(OFFSET($H$3,0,0,'Données projet'!$E$10+1,1))</f>
        <v>215.23235148064941</v>
      </c>
      <c r="AO75" s="59">
        <f t="shared" si="90"/>
        <v>184.07239726900434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1.3644058895813205</v>
      </c>
      <c r="AV75" s="21">
        <f>EXP(-LN(2)/25)*AV74+(1-EXP(-LN(2)/25))/(LN(2)/25)*Calculateur!AQ75*Calculateur!AS75*VLOOKUP('Données projet'!$B$10,Paramètres!$A$1:$I$89,3,0)*0.475*44/12</f>
        <v>2.4515540322243532</v>
      </c>
      <c r="AW75" s="21">
        <f>EXP(-LN(2)/2)*AW74+(1-EXP(-LN(2)/2))/(LN(2)/2)*AQ75*AT75*VLOOKUP('Données projet'!$B$10,Paramètres!$A$1:$I$89,3,0)*0.475*44/12</f>
        <v>4.6883470918159446E-6</v>
      </c>
      <c r="AX75" s="21">
        <f t="shared" si="60"/>
        <v>3.8159646101527658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</v>
      </c>
      <c r="BD75" s="12">
        <f>IF('Données projet'!$A$88&gt;35,BD74+BC75-BL74,IF(A75&lt;'Données projet'!$A$88,$BA$205^A75,IF(A75='Données projet'!$A$88,'Données projet'!$B$88,BD74+BC75-BL74)))</f>
        <v>394</v>
      </c>
      <c r="BE75" s="13">
        <f>BD75*VLOOKUP('Données projet'!$B$11,Paramètres!$A$1:$I$89,3,0)*VLOOKUP('Données projet'!$B$11,Paramètres!$A$1:$I$89,5,0)</f>
        <v>245.85600000000002</v>
      </c>
      <c r="BF75" s="13">
        <f t="shared" si="91"/>
        <v>59.697704223314012</v>
      </c>
      <c r="BG75" s="20">
        <f t="shared" si="61"/>
        <v>532.17270152227195</v>
      </c>
      <c r="BH75" s="59">
        <f t="shared" si="62"/>
        <v>825.50603485560532</v>
      </c>
      <c r="BI75" s="59">
        <f ca="1">AVERAGE(OFFSET($BH$3,0,0,'Données projet'!$E$11+1,1))-AVERAGE(OFFSET($H$3,0,0,'Données projet'!$E$11+1,1))</f>
        <v>261.27638267284169</v>
      </c>
      <c r="BJ75" s="59">
        <f t="shared" si="92"/>
        <v>297.50513563712764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3.6319301160572302</v>
      </c>
      <c r="BQ75" s="21">
        <f>EXP(-LN(2)/25)*BQ74+(1-EXP(-LN(2)/25))/(LN(2)/25)*Calculateur!BL75*Calculateur!BN75*VLOOKUP('Données projet'!$B$11,Paramètres!$A$1:$I$89,3,0)*0.475*44/12</f>
        <v>8.6977018140160283</v>
      </c>
      <c r="BR75" s="21">
        <f>EXP(-LN(2)/2)*BR74+(1-EXP(-LN(2)/2))/(LN(2)/2)*BL75*BO75*VLOOKUP('Données projet'!$B$11,Paramètres!$A$1:$I$89,3,0)*0.475*44/12</f>
        <v>1.1635394638496342E-5</v>
      </c>
      <c r="BS75" s="22">
        <f t="shared" si="63"/>
        <v>12.329643565467897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9.4</v>
      </c>
      <c r="BY75" s="12">
        <f>IF('Données projet'!$A$114&gt;35,BY74+BX75-CG74,IF(A75&lt;'Données projet'!$A$114,$BV$205^A75,IF(A75='Données projet'!$A$114,'Données projet'!$B$114,BY74+BX75-CG74)))</f>
        <v>516.80000000000007</v>
      </c>
      <c r="BZ75" s="13">
        <f>BY75*VLOOKUP('Données projet'!$B$12,Paramètres!$A$1:$I$89,3,0)*VLOOKUP('Données projet'!$B$12,Paramètres!$A$1:$I$89,5,0)</f>
        <v>309.04640000000006</v>
      </c>
      <c r="CA75" s="13">
        <f t="shared" si="93"/>
        <v>73.069644842674492</v>
      </c>
      <c r="CB75" s="20">
        <f t="shared" si="64"/>
        <v>665.51877810099154</v>
      </c>
      <c r="CC75" s="59">
        <f t="shared" si="65"/>
        <v>958.8521114343248</v>
      </c>
      <c r="CD75" s="59">
        <f ca="1">AVERAGE(OFFSET($CC$3,0,0,'Données projet'!$E$12+1,1))-AVERAGE(OFFSET($H$3,0,0,'Données projet'!$E$12+1,1))</f>
        <v>314.69202393413491</v>
      </c>
      <c r="CE75" s="59">
        <f t="shared" si="94"/>
        <v>321.1728368524748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1.522762366367745</v>
      </c>
      <c r="CL75" s="21">
        <f>EXP(-LN(2)/25)*CL74+(1-EXP(-LN(2)/25))/(LN(2)/25)*Calculateur!CG75*Calculateur!CI75*VLOOKUP('Données projet'!$B$12,Paramètres!$A$1:$I$89,3,0)*0.475*44/12</f>
        <v>6.6597555290360484</v>
      </c>
      <c r="CM75" s="21">
        <f>EXP(-LN(2)/2)*CM74+(1-EXP(-LN(2)/2))/(LN(2)/2)*CG75*CJ75*VLOOKUP('Données projet'!$B$12,Paramètres!$A$1:$I$89,3,0)*0.475*44/12</f>
        <v>1.444975572403384E-5</v>
      </c>
      <c r="CN75" s="22">
        <f t="shared" si="66"/>
        <v>8.1825323451595171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12.9</v>
      </c>
      <c r="N76" s="13">
        <f>IF('Données projet'!$A$36&gt;35,N75+M76-V75,IF(A76&lt;'Données projet'!$A$36,$K$205^A76,IF(A76='Données projet'!$A$36,'Données projet'!$B$36,N75+M76-V75)))</f>
        <v>699.69999999999891</v>
      </c>
      <c r="O76" s="13">
        <f>N76*VLOOKUP('Données projet'!$B$9,Paramètres!$A$1:$I$89,3,0)*VLOOKUP('Données projet'!$B$9,Paramètres!$A$1:$I$89,5,0)</f>
        <v>391.13229999999942</v>
      </c>
      <c r="P76" s="13">
        <f t="shared" si="87"/>
        <v>89.976536171230705</v>
      </c>
      <c r="Q76" s="20">
        <f t="shared" si="54"/>
        <v>837.93122299822573</v>
      </c>
      <c r="R76" s="59">
        <f t="shared" si="55"/>
        <v>1131.2645563315591</v>
      </c>
      <c r="S76" s="59">
        <f ca="1">AVERAGE(OFFSET($R$3,0,0,'Données projet'!$E$9+1,1))-AVERAGE(OFFSET($H$3,0,0,'Données projet'!$E$9+1,1))</f>
        <v>415.91544298418842</v>
      </c>
      <c r="T76" s="59">
        <f t="shared" si="88"/>
        <v>422.79312683312583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4.873309942022602</v>
      </c>
      <c r="AA76" s="21">
        <f>EXP(-LN(2)/25)*AA75+(1-EXP(-LN(2)/25))/(LN(2)/25)*Calculateur!V76*Calculateur!X76*VLOOKUP('Données projet'!$B$9,Paramètres!$A$1:$I$89,3,0)*0.475*44/12</f>
        <v>11.765369367939996</v>
      </c>
      <c r="AB76" s="21">
        <f>EXP(-LN(2)/2)*AB75+(1-EXP(-LN(2)/2))/(LN(2)/2)*V76*Y76*VLOOKUP('Données projet'!$B$9,Paramètres!$A$1:$I$89,3,0)*0.475*44/12</f>
        <v>1.2297402238771262E-5</v>
      </c>
      <c r="AC76" s="22">
        <f t="shared" si="57"/>
        <v>16.638691607364837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17</v>
      </c>
      <c r="AI76" s="13">
        <f>IF('Données projet'!$A$62&gt;35,AI75+AH76-AQ75,IF(A76&lt;'Données projet'!$A$62,$AF$205^A76,IF(A76='Données projet'!$A$62,'Données projet'!$B$62,AI75+AH76-AQ75)))</f>
        <v>413.99999999999989</v>
      </c>
      <c r="AJ76" s="13">
        <f>AI76*VLOOKUP('Données projet'!$B$10,Paramètres!$A$1:$I$89,3,0)*VLOOKUP('Données projet'!$B$10,Paramètres!$A$1:$I$89,5,0)</f>
        <v>193.75199999999995</v>
      </c>
      <c r="AK76" s="13">
        <f t="shared" si="89"/>
        <v>48.36852035537607</v>
      </c>
      <c r="AL76" s="20">
        <f t="shared" si="58"/>
        <v>421.69323961894656</v>
      </c>
      <c r="AM76" s="59">
        <f t="shared" si="59"/>
        <v>715.02657295227982</v>
      </c>
      <c r="AN76" s="59">
        <f ca="1">AVERAGE(OFFSET($AM$3,0,0,'Données projet'!$E$10+1,1))-AVERAGE(OFFSET($H$3,0,0,'Données projet'!$E$10+1,1))</f>
        <v>215.23235148064941</v>
      </c>
      <c r="AO76" s="59">
        <f t="shared" si="90"/>
        <v>184.07239726900434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1.33765072229205</v>
      </c>
      <c r="AV76" s="21">
        <f>EXP(-LN(2)/25)*AV75+(1-EXP(-LN(2)/25))/(LN(2)/25)*Calculateur!AQ76*Calculateur!AS76*VLOOKUP('Données projet'!$B$10,Paramètres!$A$1:$I$89,3,0)*0.475*44/12</f>
        <v>2.3845161582915546</v>
      </c>
      <c r="AW76" s="21">
        <f>EXP(-LN(2)/2)*AW75+(1-EXP(-LN(2)/2))/(LN(2)/2)*AQ76*AT76*VLOOKUP('Données projet'!$B$10,Paramètres!$A$1:$I$89,3,0)*0.475*44/12</f>
        <v>3.3151620211792836E-6</v>
      </c>
      <c r="AX76" s="21">
        <f t="shared" si="60"/>
        <v>3.7221701957456261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</v>
      </c>
      <c r="BD76" s="12">
        <f>IF('Données projet'!$A$88&gt;35,BD75+BC76-BL75,IF(A76&lt;'Données projet'!$A$88,$BA$205^A76,IF(A76='Données projet'!$A$88,'Données projet'!$B$88,BD75+BC76-BL75)))</f>
        <v>400</v>
      </c>
      <c r="BE76" s="13">
        <f>BD76*VLOOKUP('Données projet'!$B$11,Paramètres!$A$1:$I$89,3,0)*VLOOKUP('Données projet'!$B$11,Paramètres!$A$1:$I$89,5,0)</f>
        <v>249.60000000000002</v>
      </c>
      <c r="BF76" s="13">
        <f t="shared" si="91"/>
        <v>60.500278891753695</v>
      </c>
      <c r="BG76" s="20">
        <f t="shared" si="61"/>
        <v>540.0913190698044</v>
      </c>
      <c r="BH76" s="59">
        <f t="shared" si="62"/>
        <v>833.42465240313777</v>
      </c>
      <c r="BI76" s="59">
        <f ca="1">AVERAGE(OFFSET($BH$3,0,0,'Données projet'!$E$11+1,1))-AVERAGE(OFFSET($H$3,0,0,'Données projet'!$E$11+1,1))</f>
        <v>261.27638267284169</v>
      </c>
      <c r="BJ76" s="59">
        <f t="shared" si="92"/>
        <v>297.50513563712764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3.5607101817399802</v>
      </c>
      <c r="BQ76" s="21">
        <f>EXP(-LN(2)/25)*BQ75+(1-EXP(-LN(2)/25))/(LN(2)/25)*Calculateur!BL76*Calculateur!BN76*VLOOKUP('Données projet'!$B$11,Paramètres!$A$1:$I$89,3,0)*0.475*44/12</f>
        <v>8.4598627005195013</v>
      </c>
      <c r="BR76" s="21">
        <f>EXP(-LN(2)/2)*BR75+(1-EXP(-LN(2)/2))/(LN(2)/2)*BL76*BO76*VLOOKUP('Données projet'!$B$11,Paramètres!$A$1:$I$89,3,0)*0.475*44/12</f>
        <v>8.2274664506623608E-6</v>
      </c>
      <c r="BS76" s="22">
        <f t="shared" si="63"/>
        <v>12.020581109725931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9.4</v>
      </c>
      <c r="BY76" s="12">
        <f>IF('Données projet'!$A$114&gt;35,BY75+BX76-CG75,IF(A76&lt;'Données projet'!$A$114,$BV$205^A76,IF(A76='Données projet'!$A$114,'Données projet'!$B$114,BY75+BX76-CG75)))</f>
        <v>526.20000000000005</v>
      </c>
      <c r="BZ76" s="13">
        <f>BY76*VLOOKUP('Données projet'!$B$12,Paramètres!$A$1:$I$89,3,0)*VLOOKUP('Données projet'!$B$12,Paramètres!$A$1:$I$89,5,0)</f>
        <v>314.66760000000005</v>
      </c>
      <c r="CA76" s="13">
        <f t="shared" si="93"/>
        <v>74.24276137137872</v>
      </c>
      <c r="CB76" s="20">
        <f t="shared" si="64"/>
        <v>677.35221272181798</v>
      </c>
      <c r="CC76" s="59">
        <f t="shared" si="65"/>
        <v>970.68554605515124</v>
      </c>
      <c r="CD76" s="59">
        <f ca="1">AVERAGE(OFFSET($CC$3,0,0,'Données projet'!$E$12+1,1))-AVERAGE(OFFSET($H$3,0,0,'Données projet'!$E$12+1,1))</f>
        <v>314.69202393413491</v>
      </c>
      <c r="CE76" s="59">
        <f t="shared" si="94"/>
        <v>321.1728368524748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1.4929019251566062</v>
      </c>
      <c r="CL76" s="21">
        <f>EXP(-LN(2)/25)*CL75+(1-EXP(-LN(2)/25))/(LN(2)/25)*Calculateur!CG76*Calculateur!CI76*VLOOKUP('Données projet'!$B$12,Paramètres!$A$1:$I$89,3,0)*0.475*44/12</f>
        <v>6.4776441638732356</v>
      </c>
      <c r="CM76" s="21">
        <f>EXP(-LN(2)/2)*CM75+(1-EXP(-LN(2)/2))/(LN(2)/2)*CG76*CJ76*VLOOKUP('Données projet'!$B$12,Paramètres!$A$1:$I$89,3,0)*0.475*44/12</f>
        <v>1.0217520258953459E-5</v>
      </c>
      <c r="CN76" s="22">
        <f t="shared" si="66"/>
        <v>7.9705563065501011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12.9</v>
      </c>
      <c r="N77" s="13">
        <f>IF('Données projet'!$A$36&gt;35,N76+M77-V76,IF(A77&lt;'Données projet'!$A$36,$K$205^A77,IF(A77='Données projet'!$A$36,'Données projet'!$B$36,N76+M77-V76)))</f>
        <v>712.59999999999889</v>
      </c>
      <c r="O77" s="13">
        <f>N77*VLOOKUP('Données projet'!$B$9,Paramètres!$A$1:$I$89,3,0)*VLOOKUP('Données projet'!$B$9,Paramètres!$A$1:$I$89,5,0)</f>
        <v>398.34339999999935</v>
      </c>
      <c r="P77" s="13">
        <f t="shared" si="87"/>
        <v>91.440733917504517</v>
      </c>
      <c r="Q77" s="20">
        <f t="shared" si="54"/>
        <v>853.04069990631922</v>
      </c>
      <c r="R77" s="59">
        <f t="shared" si="55"/>
        <v>1146.3740332396526</v>
      </c>
      <c r="S77" s="59">
        <f ca="1">AVERAGE(OFFSET($R$3,0,0,'Données projet'!$E$9+1,1))-AVERAGE(OFFSET($H$3,0,0,'Données projet'!$E$9+1,1))</f>
        <v>415.91544298418842</v>
      </c>
      <c r="T77" s="59">
        <f t="shared" si="88"/>
        <v>422.79312683312583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4.777747306485101</v>
      </c>
      <c r="AA77" s="21">
        <f>EXP(-LN(2)/25)*AA76+(1-EXP(-LN(2)/25))/(LN(2)/25)*Calculateur!V77*Calculateur!X77*VLOOKUP('Données projet'!$B$9,Paramètres!$A$1:$I$89,3,0)*0.475*44/12</f>
        <v>11.443644723859792</v>
      </c>
      <c r="AB77" s="21">
        <f>EXP(-LN(2)/2)*AB76+(1-EXP(-LN(2)/2))/(LN(2)/2)*V77*Y77*VLOOKUP('Données projet'!$B$9,Paramètres!$A$1:$I$89,3,0)*0.475*44/12</f>
        <v>8.6955765140137901E-6</v>
      </c>
      <c r="AC77" s="22">
        <f t="shared" si="57"/>
        <v>16.221400725921409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17</v>
      </c>
      <c r="AI77" s="13">
        <f>IF('Données projet'!$A$62&gt;35,AI76+AH77-AQ76,IF(A77&lt;'Données projet'!$A$62,$AF$205^A77,IF(A77='Données projet'!$A$62,'Données projet'!$B$62,AI76+AH77-AQ76)))</f>
        <v>430.99999999999989</v>
      </c>
      <c r="AJ77" s="13">
        <f>AI77*VLOOKUP('Données projet'!$B$10,Paramètres!$A$1:$I$89,3,0)*VLOOKUP('Données projet'!$B$10,Paramètres!$A$1:$I$89,5,0)</f>
        <v>201.70799999999994</v>
      </c>
      <c r="AK77" s="13">
        <f t="shared" si="89"/>
        <v>50.119348451854243</v>
      </c>
      <c r="AL77" s="20">
        <f t="shared" si="58"/>
        <v>438.59929855364607</v>
      </c>
      <c r="AM77" s="59">
        <f t="shared" si="59"/>
        <v>731.93263188697938</v>
      </c>
      <c r="AN77" s="59">
        <f ca="1">AVERAGE(OFFSET($AM$3,0,0,'Données projet'!$E$10+1,1))-AVERAGE(OFFSET($H$3,0,0,'Données projet'!$E$10+1,1))</f>
        <v>215.23235148064941</v>
      </c>
      <c r="AO77" s="59">
        <f t="shared" si="90"/>
        <v>184.07239726900434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1.3114202075142813</v>
      </c>
      <c r="AV77" s="21">
        <f>EXP(-LN(2)/25)*AV76+(1-EXP(-LN(2)/25))/(LN(2)/25)*Calculateur!AQ77*Calculateur!AS77*VLOOKUP('Données projet'!$B$10,Paramètres!$A$1:$I$89,3,0)*0.475*44/12</f>
        <v>2.319311438546817</v>
      </c>
      <c r="AW77" s="21">
        <f>EXP(-LN(2)/2)*AW76+(1-EXP(-LN(2)/2))/(LN(2)/2)*AQ77*AT77*VLOOKUP('Données projet'!$B$10,Paramètres!$A$1:$I$89,3,0)*0.475*44/12</f>
        <v>2.3441735459079723E-6</v>
      </c>
      <c r="AX77" s="21">
        <f t="shared" si="60"/>
        <v>3.6307339902346443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</v>
      </c>
      <c r="BD77" s="12">
        <f>IF('Données projet'!$A$88&gt;35,BD76+BC77-BL76,IF(A77&lt;'Données projet'!$A$88,$BA$205^A77,IF(A77='Données projet'!$A$88,'Données projet'!$B$88,BD76+BC77-BL76)))</f>
        <v>406</v>
      </c>
      <c r="BE77" s="13">
        <f>BD77*VLOOKUP('Données projet'!$B$11,Paramètres!$A$1:$I$89,3,0)*VLOOKUP('Données projet'!$B$11,Paramètres!$A$1:$I$89,5,0)</f>
        <v>253.34399999999999</v>
      </c>
      <c r="BF77" s="13">
        <f t="shared" si="91"/>
        <v>61.301453431926305</v>
      </c>
      <c r="BG77" s="20">
        <f t="shared" si="61"/>
        <v>548.00749806060492</v>
      </c>
      <c r="BH77" s="59">
        <f t="shared" si="62"/>
        <v>841.34083139393829</v>
      </c>
      <c r="BI77" s="59">
        <f ca="1">AVERAGE(OFFSET($BH$3,0,0,'Données projet'!$E$11+1,1))-AVERAGE(OFFSET($H$3,0,0,'Données projet'!$E$11+1,1))</f>
        <v>261.27638267284169</v>
      </c>
      <c r="BJ77" s="59">
        <f t="shared" si="92"/>
        <v>297.50513563712764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3.4908868268948208</v>
      </c>
      <c r="BQ77" s="21">
        <f>EXP(-LN(2)/25)*BQ76+(1-EXP(-LN(2)/25))/(LN(2)/25)*Calculateur!BL77*Calculateur!BN77*VLOOKUP('Données projet'!$B$11,Paramètres!$A$1:$I$89,3,0)*0.475*44/12</f>
        <v>8.2285273100889516</v>
      </c>
      <c r="BR77" s="21">
        <f>EXP(-LN(2)/2)*BR76+(1-EXP(-LN(2)/2))/(LN(2)/2)*BL77*BO77*VLOOKUP('Données projet'!$B$11,Paramètres!$A$1:$I$89,3,0)*0.475*44/12</f>
        <v>5.8176973192481708E-6</v>
      </c>
      <c r="BS77" s="22">
        <f t="shared" si="63"/>
        <v>11.719419954681092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9.4</v>
      </c>
      <c r="BY77" s="12">
        <f>IF('Données projet'!$A$114&gt;35,BY76+BX77-CG76,IF(A77&lt;'Données projet'!$A$114,$BV$205^A77,IF(A77='Données projet'!$A$114,'Données projet'!$B$114,BY76+BX77-CG76)))</f>
        <v>535.6</v>
      </c>
      <c r="BZ77" s="13">
        <f>BY77*VLOOKUP('Données projet'!$B$12,Paramètres!$A$1:$I$89,3,0)*VLOOKUP('Données projet'!$B$12,Paramètres!$A$1:$I$89,5,0)</f>
        <v>320.28880000000004</v>
      </c>
      <c r="CA77" s="13">
        <f t="shared" si="93"/>
        <v>75.413440964132491</v>
      </c>
      <c r="CB77" s="20">
        <f t="shared" si="64"/>
        <v>689.18140301253072</v>
      </c>
      <c r="CC77" s="59">
        <f t="shared" si="65"/>
        <v>982.51473634586409</v>
      </c>
      <c r="CD77" s="59">
        <f ca="1">AVERAGE(OFFSET($CC$3,0,0,'Données projet'!$E$12+1,1))-AVERAGE(OFFSET($H$3,0,0,'Données projet'!$E$12+1,1))</f>
        <v>314.69202393413491</v>
      </c>
      <c r="CE77" s="59">
        <f t="shared" si="94"/>
        <v>321.1728368524748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1.4636270289845472</v>
      </c>
      <c r="CL77" s="21">
        <f>EXP(-LN(2)/25)*CL76+(1-EXP(-LN(2)/25))/(LN(2)/25)*Calculateur!CG77*Calculateur!CI77*VLOOKUP('Données projet'!$B$12,Paramètres!$A$1:$I$89,3,0)*0.475*44/12</f>
        <v>6.30051264356762</v>
      </c>
      <c r="CM77" s="21">
        <f>EXP(-LN(2)/2)*CM76+(1-EXP(-LN(2)/2))/(LN(2)/2)*CG77*CJ77*VLOOKUP('Données projet'!$B$12,Paramètres!$A$1:$I$89,3,0)*0.475*44/12</f>
        <v>7.2248778620169199E-6</v>
      </c>
      <c r="CN77" s="22">
        <f t="shared" si="66"/>
        <v>7.7641468974300292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12.9</v>
      </c>
      <c r="N78" s="13">
        <f>IF('Données projet'!$A$36&gt;35,N77+M78-V77,IF(A78&lt;'Données projet'!$A$36,$K$205^A78,IF(A78='Données projet'!$A$36,'Données projet'!$B$36,N77+M78-V77)))</f>
        <v>725.49999999999886</v>
      </c>
      <c r="O78" s="13">
        <f>N78*VLOOKUP('Données projet'!$B$9,Paramètres!$A$1:$I$89,3,0)*VLOOKUP('Données projet'!$B$9,Paramètres!$A$1:$I$89,5,0)</f>
        <v>405.55449999999939</v>
      </c>
      <c r="P78" s="13">
        <f t="shared" si="87"/>
        <v>92.901849439756845</v>
      </c>
      <c r="Q78" s="20">
        <f t="shared" si="54"/>
        <v>868.14480860757533</v>
      </c>
      <c r="R78" s="59">
        <f t="shared" si="55"/>
        <v>1161.4781419409087</v>
      </c>
      <c r="S78" s="59">
        <f ca="1">AVERAGE(OFFSET($R$3,0,0,'Données projet'!$E$9+1,1))-AVERAGE(OFFSET($H$3,0,0,'Données projet'!$E$9+1,1))</f>
        <v>415.91544298418842</v>
      </c>
      <c r="T78" s="59">
        <f t="shared" si="88"/>
        <v>422.79312683312583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4.6840585959430383</v>
      </c>
      <c r="AA78" s="21">
        <f>EXP(-LN(2)/25)*AA77+(1-EXP(-LN(2)/25))/(LN(2)/25)*Calculateur!V78*Calculateur!X78*VLOOKUP('Données projet'!$B$9,Paramètres!$A$1:$I$89,3,0)*0.475*44/12</f>
        <v>11.130717657090726</v>
      </c>
      <c r="AB78" s="21">
        <f>EXP(-LN(2)/2)*AB77+(1-EXP(-LN(2)/2))/(LN(2)/2)*V78*Y78*VLOOKUP('Données projet'!$B$9,Paramètres!$A$1:$I$89,3,0)*0.475*44/12</f>
        <v>6.1487011193856308E-6</v>
      </c>
      <c r="AC78" s="22">
        <f t="shared" si="57"/>
        <v>15.814782401734883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17</v>
      </c>
      <c r="AI78" s="13">
        <f>IF('Données projet'!$A$62&gt;35,AI77+AH78-AQ77,IF(A78&lt;'Données projet'!$A$62,$AF$205^A78,IF(A78='Données projet'!$A$62,'Données projet'!$B$62,AI77+AH78-AQ77)))</f>
        <v>447.99999999999989</v>
      </c>
      <c r="AJ78" s="13">
        <f>AI78*VLOOKUP('Données projet'!$B$10,Paramètres!$A$1:$I$89,3,0)*VLOOKUP('Données projet'!$B$10,Paramètres!$A$1:$I$89,5,0)</f>
        <v>209.66399999999993</v>
      </c>
      <c r="AK78" s="13">
        <f t="shared" si="89"/>
        <v>51.862154403304487</v>
      </c>
      <c r="AL78" s="20">
        <f t="shared" si="58"/>
        <v>455.49138558575515</v>
      </c>
      <c r="AM78" s="59">
        <f t="shared" si="59"/>
        <v>748.82471891908847</v>
      </c>
      <c r="AN78" s="59">
        <f ca="1">AVERAGE(OFFSET($AM$3,0,0,'Données projet'!$E$10+1,1))-AVERAGE(OFFSET($H$3,0,0,'Données projet'!$E$10+1,1))</f>
        <v>215.23235148064941</v>
      </c>
      <c r="AO78" s="59">
        <f t="shared" si="90"/>
        <v>184.07239726900434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1.2857040571322707</v>
      </c>
      <c r="AV78" s="21">
        <f>EXP(-LN(2)/25)*AV77+(1-EXP(-LN(2)/25))/(LN(2)/25)*Calculateur!AQ78*Calculateur!AS78*VLOOKUP('Données projet'!$B$10,Paramètres!$A$1:$I$89,3,0)*0.475*44/12</f>
        <v>2.2558897452924667</v>
      </c>
      <c r="AW78" s="21">
        <f>EXP(-LN(2)/2)*AW77+(1-EXP(-LN(2)/2))/(LN(2)/2)*AQ78*AT78*VLOOKUP('Données projet'!$B$10,Paramètres!$A$1:$I$89,3,0)*0.475*44/12</f>
        <v>1.6575810105896418E-6</v>
      </c>
      <c r="AX78" s="21">
        <f t="shared" si="60"/>
        <v>3.5415954600057478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6</v>
      </c>
      <c r="BD78" s="12">
        <f>IF('Données projet'!$A$88&gt;35,BD77+BC78-BL77,IF(A78&lt;'Données projet'!$A$88,$BA$205^A78,IF(A78='Données projet'!$A$88,'Données projet'!$B$88,BD77+BC78-BL77)))</f>
        <v>412</v>
      </c>
      <c r="BE78" s="13">
        <f>BD78*VLOOKUP('Données projet'!$B$11,Paramètres!$A$1:$I$89,3,0)*VLOOKUP('Données projet'!$B$11,Paramètres!$A$1:$I$89,5,0)</f>
        <v>257.08800000000002</v>
      </c>
      <c r="BF78" s="13">
        <f t="shared" si="91"/>
        <v>62.101250925713771</v>
      </c>
      <c r="BG78" s="20">
        <f t="shared" si="61"/>
        <v>555.92127869561818</v>
      </c>
      <c r="BH78" s="59">
        <f t="shared" si="62"/>
        <v>849.25461202895144</v>
      </c>
      <c r="BI78" s="59">
        <f ca="1">AVERAGE(OFFSET($BH$3,0,0,'Données projet'!$E$11+1,1))-AVERAGE(OFFSET($H$3,0,0,'Données projet'!$E$11+1,1))</f>
        <v>261.27638267284169</v>
      </c>
      <c r="BJ78" s="59">
        <f t="shared" si="92"/>
        <v>297.50513563712764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3.4224326654501338</v>
      </c>
      <c r="BQ78" s="21">
        <f>EXP(-LN(2)/25)*BQ77+(1-EXP(-LN(2)/25))/(LN(2)/25)*Calculateur!BL78*Calculateur!BN78*VLOOKUP('Données projet'!$B$11,Paramètres!$A$1:$I$89,3,0)*0.475*44/12</f>
        <v>8.0035177980751246</v>
      </c>
      <c r="BR78" s="21">
        <f>EXP(-LN(2)/2)*BR77+(1-EXP(-LN(2)/2))/(LN(2)/2)*BL78*BO78*VLOOKUP('Données projet'!$B$11,Paramètres!$A$1:$I$89,3,0)*0.475*44/12</f>
        <v>4.1137332253311804E-6</v>
      </c>
      <c r="BS78" s="22">
        <f t="shared" si="63"/>
        <v>11.425954577258484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9.4</v>
      </c>
      <c r="BY78" s="12">
        <f>IF('Données projet'!$A$114&gt;35,BY77+BX78-CG77,IF(A78&lt;'Données projet'!$A$114,$BV$205^A78,IF(A78='Données projet'!$A$114,'Données projet'!$B$114,BY77+BX78-CG77)))</f>
        <v>545</v>
      </c>
      <c r="BZ78" s="13">
        <f>BY78*VLOOKUP('Données projet'!$B$12,Paramètres!$A$1:$I$89,3,0)*VLOOKUP('Données projet'!$B$12,Paramètres!$A$1:$I$89,5,0)</f>
        <v>325.91000000000003</v>
      </c>
      <c r="CA78" s="13">
        <f t="shared" si="93"/>
        <v>76.581731324699831</v>
      </c>
      <c r="CB78" s="20">
        <f t="shared" si="64"/>
        <v>701.00643205718552</v>
      </c>
      <c r="CC78" s="59">
        <f t="shared" si="65"/>
        <v>994.33976539051878</v>
      </c>
      <c r="CD78" s="59">
        <f ca="1">AVERAGE(OFFSET($CC$3,0,0,'Données projet'!$E$12+1,1))-AVERAGE(OFFSET($H$3,0,0,'Données projet'!$E$12+1,1))</f>
        <v>314.69202393413491</v>
      </c>
      <c r="CE78" s="59">
        <f t="shared" si="94"/>
        <v>321.1728368524748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1.4349261956704986</v>
      </c>
      <c r="CL78" s="21">
        <f>EXP(-LN(2)/25)*CL77+(1-EXP(-LN(2)/25))/(LN(2)/25)*Calculateur!CG78*Calculateur!CI78*VLOOKUP('Données projet'!$B$12,Paramètres!$A$1:$I$89,3,0)*0.475*44/12</f>
        <v>6.1282247939997037</v>
      </c>
      <c r="CM78" s="21">
        <f>EXP(-LN(2)/2)*CM77+(1-EXP(-LN(2)/2))/(LN(2)/2)*CG78*CJ78*VLOOKUP('Données projet'!$B$12,Paramètres!$A$1:$I$89,3,0)*0.475*44/12</f>
        <v>5.1087601294767294E-6</v>
      </c>
      <c r="CN78" s="22">
        <f t="shared" si="66"/>
        <v>7.5631560984303317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12.9</v>
      </c>
      <c r="N79" s="13">
        <f>IF('Données projet'!$A$36&gt;35,N78+M79-V78,IF(A79&lt;'Données projet'!$A$36,$K$205^A79,IF(A79='Données projet'!$A$36,'Données projet'!$B$36,N78+M79-V78)))</f>
        <v>738.39999999999884</v>
      </c>
      <c r="O79" s="13">
        <f>N79*VLOOKUP('Données projet'!$B$9,Paramètres!$A$1:$I$89,3,0)*VLOOKUP('Données projet'!$B$9,Paramètres!$A$1:$I$89,5,0)</f>
        <v>412.76559999999932</v>
      </c>
      <c r="P79" s="13">
        <f t="shared" si="87"/>
        <v>94.359943864992076</v>
      </c>
      <c r="Q79" s="20">
        <f t="shared" si="54"/>
        <v>883.24365556486009</v>
      </c>
      <c r="R79" s="59">
        <f t="shared" si="55"/>
        <v>1176.5769888981933</v>
      </c>
      <c r="S79" s="59">
        <f ca="1">AVERAGE(OFFSET($R$3,0,0,'Données projet'!$E$9+1,1))-AVERAGE(OFFSET($H$3,0,0,'Données projet'!$E$9+1,1))</f>
        <v>415.91544298418842</v>
      </c>
      <c r="T79" s="59">
        <f t="shared" si="88"/>
        <v>422.79312683312583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4.5922070638702346</v>
      </c>
      <c r="AA79" s="21">
        <f>EXP(-LN(2)/25)*AA78+(1-EXP(-LN(2)/25))/(LN(2)/25)*Calculateur!V79*Calculateur!X79*VLOOKUP('Données projet'!$B$9,Paramètres!$A$1:$I$89,3,0)*0.475*44/12</f>
        <v>10.826347597418577</v>
      </c>
      <c r="AB79" s="21">
        <f>EXP(-LN(2)/2)*AB78+(1-EXP(-LN(2)/2))/(LN(2)/2)*V79*Y79*VLOOKUP('Données projet'!$B$9,Paramètres!$A$1:$I$89,3,0)*0.475*44/12</f>
        <v>4.347788257006895E-6</v>
      </c>
      <c r="AC79" s="22">
        <f t="shared" si="57"/>
        <v>15.41855900907707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17</v>
      </c>
      <c r="AI79" s="13">
        <f>IF('Données projet'!$A$62&gt;35,AI78+AH79-AQ78,IF(A79&lt;'Données projet'!$A$62,$AF$205^A79,IF(A79='Données projet'!$A$62,'Données projet'!$B$62,AI78+AH79-AQ78)))</f>
        <v>464.99999999999989</v>
      </c>
      <c r="AJ79" s="13">
        <f>AI79*VLOOKUP('Données projet'!$B$10,Paramètres!$A$1:$I$89,3,0)*VLOOKUP('Données projet'!$B$10,Paramètres!$A$1:$I$89,5,0)</f>
        <v>217.61999999999995</v>
      </c>
      <c r="AK79" s="13">
        <f t="shared" si="89"/>
        <v>53.597277471320098</v>
      </c>
      <c r="AL79" s="20">
        <f t="shared" si="58"/>
        <v>472.37009159588234</v>
      </c>
      <c r="AM79" s="59">
        <f t="shared" si="59"/>
        <v>765.70342492921566</v>
      </c>
      <c r="AN79" s="59">
        <f ca="1">AVERAGE(OFFSET($AM$3,0,0,'Données projet'!$E$10+1,1))-AVERAGE(OFFSET($H$3,0,0,'Données projet'!$E$10+1,1))</f>
        <v>215.23235148064941</v>
      </c>
      <c r="AO79" s="59">
        <f t="shared" si="90"/>
        <v>184.07239726900434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1.2604921847739481</v>
      </c>
      <c r="AV79" s="21">
        <f>EXP(-LN(2)/25)*AV78+(1-EXP(-LN(2)/25))/(LN(2)/25)*Calculateur!AQ79*Calculateur!AS79*VLOOKUP('Données projet'!$B$10,Paramètres!$A$1:$I$89,3,0)*0.475*44/12</f>
        <v>2.1942023215753585</v>
      </c>
      <c r="AW79" s="21">
        <f>EXP(-LN(2)/2)*AW78+(1-EXP(-LN(2)/2))/(LN(2)/2)*AQ79*AT79*VLOOKUP('Données projet'!$B$10,Paramètres!$A$1:$I$89,3,0)*0.475*44/12</f>
        <v>1.1720867729539862E-6</v>
      </c>
      <c r="AX79" s="21">
        <f t="shared" si="60"/>
        <v>3.4546956784360794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</v>
      </c>
      <c r="BD79" s="12">
        <f>IF('Données projet'!$A$88&gt;35,BD78+BC79-BL78,IF(A79&lt;'Données projet'!$A$88,$BA$205^A79,IF(A79='Données projet'!$A$88,'Données projet'!$B$88,BD78+BC79-BL78)))</f>
        <v>418</v>
      </c>
      <c r="BE79" s="13">
        <f>BD79*VLOOKUP('Données projet'!$B$11,Paramètres!$A$1:$I$89,3,0)*VLOOKUP('Données projet'!$B$11,Paramètres!$A$1:$I$89,5,0)</f>
        <v>260.83199999999999</v>
      </c>
      <c r="BF79" s="13">
        <f t="shared" si="91"/>
        <v>62.899693744110721</v>
      </c>
      <c r="BG79" s="20">
        <f t="shared" si="61"/>
        <v>563.83269993765953</v>
      </c>
      <c r="BH79" s="59">
        <f t="shared" si="62"/>
        <v>857.16603327099278</v>
      </c>
      <c r="BI79" s="59">
        <f ca="1">AVERAGE(OFFSET($BH$3,0,0,'Données projet'!$E$11+1,1))-AVERAGE(OFFSET($H$3,0,0,'Données projet'!$E$11+1,1))</f>
        <v>261.27638267284169</v>
      </c>
      <c r="BJ79" s="59">
        <f t="shared" si="92"/>
        <v>297.50513563712764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3.3553208483584611</v>
      </c>
      <c r="BQ79" s="21">
        <f>EXP(-LN(2)/25)*BQ78+(1-EXP(-LN(2)/25))/(LN(2)/25)*Calculateur!BL79*Calculateur!BN79*VLOOKUP('Données projet'!$B$11,Paramètres!$A$1:$I$89,3,0)*0.475*44/12</f>
        <v>7.7846611830000514</v>
      </c>
      <c r="BR79" s="21">
        <f>EXP(-LN(2)/2)*BR78+(1-EXP(-LN(2)/2))/(LN(2)/2)*BL79*BO79*VLOOKUP('Données projet'!$B$11,Paramètres!$A$1:$I$89,3,0)*0.475*44/12</f>
        <v>2.9088486596240854E-6</v>
      </c>
      <c r="BS79" s="22">
        <f t="shared" si="63"/>
        <v>11.139984940207171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9.4</v>
      </c>
      <c r="BY79" s="12">
        <f>IF('Données projet'!$A$114&gt;35,BY78+BX79-CG78,IF(A79&lt;'Données projet'!$A$114,$BV$205^A79,IF(A79='Données projet'!$A$114,'Données projet'!$B$114,BY78+BX79-CG78)))</f>
        <v>554.4</v>
      </c>
      <c r="BZ79" s="13">
        <f>BY79*VLOOKUP('Données projet'!$B$12,Paramètres!$A$1:$I$89,3,0)*VLOOKUP('Données projet'!$B$12,Paramètres!$A$1:$I$89,5,0)</f>
        <v>331.53120000000001</v>
      </c>
      <c r="CA79" s="13">
        <f t="shared" si="93"/>
        <v>77.747678417000927</v>
      </c>
      <c r="CB79" s="20">
        <f t="shared" si="64"/>
        <v>712.82737990961004</v>
      </c>
      <c r="CC79" s="59">
        <f t="shared" si="65"/>
        <v>1006.1607132429433</v>
      </c>
      <c r="CD79" s="59">
        <f ca="1">AVERAGE(OFFSET($CC$3,0,0,'Données projet'!$E$12+1,1))-AVERAGE(OFFSET($H$3,0,0,'Données projet'!$E$12+1,1))</f>
        <v>314.69202393413491</v>
      </c>
      <c r="CE79" s="59">
        <f t="shared" si="94"/>
        <v>321.1728368524748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1.4067881681919587</v>
      </c>
      <c r="CL79" s="21">
        <f>EXP(-LN(2)/25)*CL78+(1-EXP(-LN(2)/25))/(LN(2)/25)*Calculateur!CG79*Calculateur!CI79*VLOOKUP('Données projet'!$B$12,Paramètres!$A$1:$I$89,3,0)*0.475*44/12</f>
        <v>5.9606481647384459</v>
      </c>
      <c r="CM79" s="21">
        <f>EXP(-LN(2)/2)*CM78+(1-EXP(-LN(2)/2))/(LN(2)/2)*CG79*CJ79*VLOOKUP('Données projet'!$B$12,Paramètres!$A$1:$I$89,3,0)*0.475*44/12</f>
        <v>3.61243893100846E-6</v>
      </c>
      <c r="CN79" s="22">
        <f t="shared" si="66"/>
        <v>7.3674399453693358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12.9</v>
      </c>
      <c r="N80" s="13">
        <f>IF('Données projet'!$A$36&gt;35,N79+M80-V79,IF(A80&lt;'Données projet'!$A$36,$K$205^A80,IF(A80='Données projet'!$A$36,'Données projet'!$B$36,N79+M80-V79)))</f>
        <v>751.29999999999882</v>
      </c>
      <c r="O80" s="13">
        <f>N80*VLOOKUP('Données projet'!$B$9,Paramètres!$A$1:$I$89,3,0)*VLOOKUP('Données projet'!$B$9,Paramètres!$A$1:$I$89,5,0)</f>
        <v>419.97669999999937</v>
      </c>
      <c r="P80" s="13">
        <f t="shared" si="87"/>
        <v>95.815076062060939</v>
      </c>
      <c r="Q80" s="20">
        <f t="shared" si="54"/>
        <v>898.33734330808841</v>
      </c>
      <c r="R80" s="59">
        <f t="shared" si="55"/>
        <v>1191.6706766414218</v>
      </c>
      <c r="S80" s="59">
        <f ca="1">AVERAGE(OFFSET($R$3,0,0,'Données projet'!$E$9+1,1))-AVERAGE(OFFSET($H$3,0,0,'Données projet'!$E$9+1,1))</f>
        <v>415.91544298418842</v>
      </c>
      <c r="T80" s="59">
        <f t="shared" si="88"/>
        <v>422.79312683312583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4.5021566843174758</v>
      </c>
      <c r="AA80" s="21">
        <f>EXP(-LN(2)/25)*AA79+(1-EXP(-LN(2)/25))/(LN(2)/25)*Calculateur!V80*Calculateur!X80*VLOOKUP('Données projet'!$B$9,Paramètres!$A$1:$I$89,3,0)*0.475*44/12</f>
        <v>10.530300553034289</v>
      </c>
      <c r="AB80" s="21">
        <f>EXP(-LN(2)/2)*AB79+(1-EXP(-LN(2)/2))/(LN(2)/2)*V80*Y80*VLOOKUP('Données projet'!$B$9,Paramètres!$A$1:$I$89,3,0)*0.475*44/12</f>
        <v>3.0743505596928154E-6</v>
      </c>
      <c r="AC80" s="22">
        <f t="shared" si="57"/>
        <v>15.032460311702323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17</v>
      </c>
      <c r="AI80" s="13">
        <f>IF('Données projet'!$A$62&gt;35,AI79+AH80-AQ79,IF(A80&lt;'Données projet'!$A$62,$AF$205^A80,IF(A80='Données projet'!$A$62,'Données projet'!$B$62,AI79+AH80-AQ79)))</f>
        <v>481.99999999999989</v>
      </c>
      <c r="AJ80" s="13">
        <f>AI80*VLOOKUP('Données projet'!$B$10,Paramètres!$A$1:$I$89,3,0)*VLOOKUP('Données projet'!$B$10,Paramètres!$A$1:$I$89,5,0)</f>
        <v>225.57599999999994</v>
      </c>
      <c r="AK80" s="13">
        <f t="shared" si="89"/>
        <v>55.325030705505945</v>
      </c>
      <c r="AL80" s="20">
        <f t="shared" si="58"/>
        <v>489.23596181208933</v>
      </c>
      <c r="AM80" s="59">
        <f t="shared" si="59"/>
        <v>782.56929514542264</v>
      </c>
      <c r="AN80" s="59">
        <f ca="1">AVERAGE(OFFSET($AM$3,0,0,'Données projet'!$E$10+1,1))-AVERAGE(OFFSET($H$3,0,0,'Données projet'!$E$10+1,1))</f>
        <v>215.23235148064941</v>
      </c>
      <c r="AO80" s="59">
        <f t="shared" si="90"/>
        <v>184.07239726900434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1.2357747018548486</v>
      </c>
      <c r="AV80" s="21">
        <f>EXP(-LN(2)/25)*AV79+(1-EXP(-LN(2)/25))/(LN(2)/25)*Calculateur!AQ80*Calculateur!AS80*VLOOKUP('Données projet'!$B$10,Paramètres!$A$1:$I$89,3,0)*0.475*44/12</f>
        <v>2.134201743703795</v>
      </c>
      <c r="AW80" s="21">
        <f>EXP(-LN(2)/2)*AW79+(1-EXP(-LN(2)/2))/(LN(2)/2)*AQ80*AT80*VLOOKUP('Données projet'!$B$10,Paramètres!$A$1:$I$89,3,0)*0.475*44/12</f>
        <v>8.2879050529482091E-7</v>
      </c>
      <c r="AX80" s="21">
        <f t="shared" si="60"/>
        <v>3.3699772743491487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6</v>
      </c>
      <c r="BD80" s="12">
        <f>IF('Données projet'!$A$88&gt;35,BD79+BC80-BL79,IF(A80&lt;'Données projet'!$A$88,$BA$205^A80,IF(A80='Données projet'!$A$88,'Données projet'!$B$88,BD79+BC80-BL79)))</f>
        <v>424</v>
      </c>
      <c r="BE80" s="13">
        <f>BD80*VLOOKUP('Données projet'!$B$11,Paramètres!$A$1:$I$89,3,0)*VLOOKUP('Données projet'!$B$11,Paramètres!$A$1:$I$89,5,0)</f>
        <v>264.57599999999996</v>
      </c>
      <c r="BF80" s="13">
        <f t="shared" si="91"/>
        <v>63.696803579002321</v>
      </c>
      <c r="BG80" s="20">
        <f t="shared" si="61"/>
        <v>571.74179956676232</v>
      </c>
      <c r="BH80" s="59">
        <f t="shared" si="62"/>
        <v>865.0751329000957</v>
      </c>
      <c r="BI80" s="59">
        <f ca="1">AVERAGE(OFFSET($BH$3,0,0,'Données projet'!$E$11+1,1))-AVERAGE(OFFSET($H$3,0,0,'Données projet'!$E$11+1,1))</f>
        <v>261.27638267284169</v>
      </c>
      <c r="BJ80" s="59">
        <f t="shared" si="92"/>
        <v>297.50513563712764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3.2895250530657898</v>
      </c>
      <c r="BQ80" s="21">
        <f>EXP(-LN(2)/25)*BQ79+(1-EXP(-LN(2)/25))/(LN(2)/25)*Calculateur!BL80*Calculateur!BN80*VLOOKUP('Données projet'!$B$11,Paramètres!$A$1:$I$89,3,0)*0.475*44/12</f>
        <v>7.5717892135733758</v>
      </c>
      <c r="BR80" s="21">
        <f>EXP(-LN(2)/2)*BR79+(1-EXP(-LN(2)/2))/(LN(2)/2)*BL80*BO80*VLOOKUP('Données projet'!$B$11,Paramètres!$A$1:$I$89,3,0)*0.475*44/12</f>
        <v>2.0568666126655902E-6</v>
      </c>
      <c r="BS80" s="22">
        <f t="shared" si="63"/>
        <v>10.861316323505779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9.4</v>
      </c>
      <c r="BY80" s="12">
        <f>IF('Données projet'!$A$114&gt;35,BY79+BX80-CG79,IF(A80&lt;'Données projet'!$A$114,$BV$205^A80,IF(A80='Données projet'!$A$114,'Données projet'!$B$114,BY79+BX80-CG79)))</f>
        <v>563.79999999999995</v>
      </c>
      <c r="BZ80" s="13">
        <f>BY80*VLOOKUP('Données projet'!$B$12,Paramètres!$A$1:$I$89,3,0)*VLOOKUP('Données projet'!$B$12,Paramètres!$A$1:$I$89,5,0)</f>
        <v>337.15240000000006</v>
      </c>
      <c r="CA80" s="13">
        <f t="shared" si="93"/>
        <v>78.911326556971218</v>
      </c>
      <c r="CB80" s="20">
        <f t="shared" si="64"/>
        <v>724.64432375339163</v>
      </c>
      <c r="CC80" s="59">
        <f t="shared" si="65"/>
        <v>1017.977657086725</v>
      </c>
      <c r="CD80" s="59">
        <f ca="1">AVERAGE(OFFSET($CC$3,0,0,'Données projet'!$E$12+1,1))-AVERAGE(OFFSET($H$3,0,0,'Données projet'!$E$12+1,1))</f>
        <v>314.69202393413491</v>
      </c>
      <c r="CE80" s="59">
        <f t="shared" si="94"/>
        <v>321.1728368524748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1.379201910269771</v>
      </c>
      <c r="CL80" s="21">
        <f>EXP(-LN(2)/25)*CL79+(1-EXP(-LN(2)/25))/(LN(2)/25)*Calculateur!CG80*Calculateur!CI80*VLOOKUP('Données projet'!$B$12,Paramètres!$A$1:$I$89,3,0)*0.475*44/12</f>
        <v>5.7976539272168095</v>
      </c>
      <c r="CM80" s="21">
        <f>EXP(-LN(2)/2)*CM79+(1-EXP(-LN(2)/2))/(LN(2)/2)*CG80*CJ80*VLOOKUP('Données projet'!$B$12,Paramètres!$A$1:$I$89,3,0)*0.475*44/12</f>
        <v>2.5543800647383647E-6</v>
      </c>
      <c r="CN80" s="22">
        <f t="shared" si="66"/>
        <v>7.1768583918666451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12.9</v>
      </c>
      <c r="N81" s="13">
        <f>IF('Données projet'!$A$36&gt;35,N80+M81-V80,IF(A81&lt;'Données projet'!$A$36,$K$205^A81,IF(A81='Données projet'!$A$36,'Données projet'!$B$36,N80+M81-V80)))</f>
        <v>764.19999999999879</v>
      </c>
      <c r="O81" s="13">
        <f>N81*VLOOKUP('Données projet'!$B$9,Paramètres!$A$1:$I$89,3,0)*VLOOKUP('Données projet'!$B$9,Paramètres!$A$1:$I$89,5,0)</f>
        <v>427.18779999999936</v>
      </c>
      <c r="P81" s="13">
        <f t="shared" si="87"/>
        <v>97.267302762395772</v>
      </c>
      <c r="Q81" s="20">
        <f t="shared" si="54"/>
        <v>913.42597064450467</v>
      </c>
      <c r="R81" s="59">
        <f t="shared" si="55"/>
        <v>1206.759303977838</v>
      </c>
      <c r="S81" s="59">
        <f ca="1">AVERAGE(OFFSET($R$3,0,0,'Données projet'!$E$9+1,1))-AVERAGE(OFFSET($H$3,0,0,'Données projet'!$E$9+1,1))</f>
        <v>415.91544298418842</v>
      </c>
      <c r="T81" s="59">
        <f t="shared" si="88"/>
        <v>422.79312683312583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4.4138721377824384</v>
      </c>
      <c r="AA81" s="21">
        <f>EXP(-LN(2)/25)*AA80+(1-EXP(-LN(2)/25))/(LN(2)/25)*Calculateur!V81*Calculateur!X81*VLOOKUP('Données projet'!$B$9,Paramètres!$A$1:$I$89,3,0)*0.475*44/12</f>
        <v>10.242348930647127</v>
      </c>
      <c r="AB81" s="21">
        <f>EXP(-LN(2)/2)*AB80+(1-EXP(-LN(2)/2))/(LN(2)/2)*V81*Y81*VLOOKUP('Données projet'!$B$9,Paramètres!$A$1:$I$89,3,0)*0.475*44/12</f>
        <v>2.1738941285034475E-6</v>
      </c>
      <c r="AC81" s="22">
        <f t="shared" si="57"/>
        <v>14.656223242323694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17</v>
      </c>
      <c r="AI81" s="13">
        <f>IF('Données projet'!$A$62&gt;35,AI80+AH81-AQ80,IF(A81&lt;'Données projet'!$A$62,$AF$205^A81,IF(A81='Données projet'!$A$62,'Données projet'!$B$62,AI80+AH81-AQ80)))</f>
        <v>498.99999999999989</v>
      </c>
      <c r="AJ81" s="13">
        <f>AI81*VLOOKUP('Données projet'!$B$10,Paramètres!$A$1:$I$89,3,0)*VLOOKUP('Données projet'!$B$10,Paramètres!$A$1:$I$89,5,0)</f>
        <v>233.53199999999995</v>
      </c>
      <c r="AK81" s="13">
        <f t="shared" si="89"/>
        <v>57.04570382109808</v>
      </c>
      <c r="AL81" s="20">
        <f t="shared" si="58"/>
        <v>506.08950082174573</v>
      </c>
      <c r="AM81" s="59">
        <f t="shared" si="59"/>
        <v>799.42283415507904</v>
      </c>
      <c r="AN81" s="59">
        <f ca="1">AVERAGE(OFFSET($AM$3,0,0,'Données projet'!$E$10+1,1))-AVERAGE(OFFSET($H$3,0,0,'Données projet'!$E$10+1,1))</f>
        <v>215.23235148064941</v>
      </c>
      <c r="AO81" s="59">
        <f t="shared" si="90"/>
        <v>184.07239726900434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1.2115419136996166</v>
      </c>
      <c r="AV81" s="21">
        <f>EXP(-LN(2)/25)*AV80+(1-EXP(-LN(2)/25))/(LN(2)/25)*Calculateur!AQ81*Calculateur!AS81*VLOOKUP('Données projet'!$B$10,Paramètres!$A$1:$I$89,3,0)*0.475*44/12</f>
        <v>2.0758418847894227</v>
      </c>
      <c r="AW81" s="21">
        <f>EXP(-LN(2)/2)*AW80+(1-EXP(-LN(2)/2))/(LN(2)/2)*AQ81*AT81*VLOOKUP('Données projet'!$B$10,Paramètres!$A$1:$I$89,3,0)*0.475*44/12</f>
        <v>5.8604338647699308E-7</v>
      </c>
      <c r="AX81" s="21">
        <f t="shared" si="60"/>
        <v>3.2873843845324258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6</v>
      </c>
      <c r="BD81" s="12">
        <f>IF('Données projet'!$A$88&gt;35,BD80+BC81-BL80,IF(A81&lt;'Données projet'!$A$88,$BA$205^A81,IF(A81='Données projet'!$A$88,'Données projet'!$B$88,BD80+BC81-BL80)))</f>
        <v>430</v>
      </c>
      <c r="BE81" s="13">
        <f>BD81*VLOOKUP('Données projet'!$B$11,Paramètres!$A$1:$I$89,3,0)*VLOOKUP('Données projet'!$B$11,Paramètres!$A$1:$I$89,5,0)</f>
        <v>268.32</v>
      </c>
      <c r="BF81" s="13">
        <f t="shared" si="91"/>
        <v>64.492601473092478</v>
      </c>
      <c r="BG81" s="20">
        <f t="shared" si="61"/>
        <v>579.64861423230275</v>
      </c>
      <c r="BH81" s="59">
        <f t="shared" si="62"/>
        <v>872.98194756563612</v>
      </c>
      <c r="BI81" s="59">
        <f ca="1">AVERAGE(OFFSET($BH$3,0,0,'Données projet'!$E$11+1,1))-AVERAGE(OFFSET($H$3,0,0,'Données projet'!$E$11+1,1))</f>
        <v>261.27638267284169</v>
      </c>
      <c r="BJ81" s="59">
        <f t="shared" si="92"/>
        <v>297.50513563712764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3.2250194731873352</v>
      </c>
      <c r="BQ81" s="21">
        <f>EXP(-LN(2)/25)*BQ80+(1-EXP(-LN(2)/25))/(LN(2)/25)*Calculateur!BL81*Calculateur!BN81*VLOOKUP('Données projet'!$B$11,Paramètres!$A$1:$I$89,3,0)*0.475*44/12</f>
        <v>7.3647382393451224</v>
      </c>
      <c r="BR81" s="21">
        <f>EXP(-LN(2)/2)*BR80+(1-EXP(-LN(2)/2))/(LN(2)/2)*BL81*BO81*VLOOKUP('Données projet'!$B$11,Paramètres!$A$1:$I$89,3,0)*0.475*44/12</f>
        <v>1.4544243298120427E-6</v>
      </c>
      <c r="BS81" s="22">
        <f t="shared" si="63"/>
        <v>10.589759166956787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9.4</v>
      </c>
      <c r="BY81" s="12">
        <f>IF('Données projet'!$A$114&gt;35,BY80+BX81-CG80,IF(A81&lt;'Données projet'!$A$114,$BV$205^A81,IF(A81='Données projet'!$A$114,'Données projet'!$B$114,BY80+BX81-CG80)))</f>
        <v>573.19999999999993</v>
      </c>
      <c r="BZ81" s="13">
        <f>BY81*VLOOKUP('Données projet'!$B$12,Paramètres!$A$1:$I$89,3,0)*VLOOKUP('Données projet'!$B$12,Paramètres!$A$1:$I$89,5,0)</f>
        <v>342.77359999999999</v>
      </c>
      <c r="CA81" s="13">
        <f t="shared" si="93"/>
        <v>80.07271849812058</v>
      </c>
      <c r="CB81" s="20">
        <f t="shared" si="64"/>
        <v>736.45733805089333</v>
      </c>
      <c r="CC81" s="59">
        <f t="shared" si="65"/>
        <v>1029.7906713842267</v>
      </c>
      <c r="CD81" s="59">
        <f ca="1">AVERAGE(OFFSET($CC$3,0,0,'Données projet'!$E$12+1,1))-AVERAGE(OFFSET($H$3,0,0,'Données projet'!$E$12+1,1))</f>
        <v>314.69202393413491</v>
      </c>
      <c r="CE81" s="59">
        <f t="shared" si="94"/>
        <v>321.1728368524748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1.3521566020394815</v>
      </c>
      <c r="CL81" s="21">
        <f>EXP(-LN(2)/25)*CL80+(1-EXP(-LN(2)/25))/(LN(2)/25)*Calculateur!CG81*Calculateur!CI81*VLOOKUP('Données projet'!$B$12,Paramètres!$A$1:$I$89,3,0)*0.475*44/12</f>
        <v>5.6391167756916962</v>
      </c>
      <c r="CM81" s="21">
        <f>EXP(-LN(2)/2)*CM80+(1-EXP(-LN(2)/2))/(LN(2)/2)*CG81*CJ81*VLOOKUP('Données projet'!$B$12,Paramètres!$A$1:$I$89,3,0)*0.475*44/12</f>
        <v>1.80621946550423E-6</v>
      </c>
      <c r="CN81" s="22">
        <f t="shared" si="66"/>
        <v>6.9912751839506431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12.9</v>
      </c>
      <c r="N82" s="13">
        <f>IF('Données projet'!$A$36&gt;35,N81+M82-V81,IF(A82&lt;'Données projet'!$A$36,$K$205^A82,IF(A82='Données projet'!$A$36,'Données projet'!$B$36,N81+M82-V81)))</f>
        <v>777.09999999999877</v>
      </c>
      <c r="O82" s="13">
        <f>N82*VLOOKUP('Données projet'!$B$9,Paramètres!$A$1:$I$89,3,0)*VLOOKUP('Données projet'!$B$9,Paramètres!$A$1:$I$89,5,0)</f>
        <v>434.39889999999929</v>
      </c>
      <c r="P82" s="13">
        <f t="shared" si="87"/>
        <v>98.716678672362434</v>
      </c>
      <c r="Q82" s="20">
        <f t="shared" si="54"/>
        <v>928.50963285436319</v>
      </c>
      <c r="R82" s="59">
        <f t="shared" si="55"/>
        <v>1221.8429661876964</v>
      </c>
      <c r="S82" s="59">
        <f ca="1">AVERAGE(OFFSET($R$3,0,0,'Données projet'!$E$9+1,1))-AVERAGE(OFFSET($H$3,0,0,'Données projet'!$E$9+1,1))</f>
        <v>415.91544298418842</v>
      </c>
      <c r="T82" s="59">
        <f t="shared" si="88"/>
        <v>422.79312683312583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4.3273187973566962</v>
      </c>
      <c r="AA82" s="21">
        <f>EXP(-LN(2)/25)*AA81+(1-EXP(-LN(2)/25))/(LN(2)/25)*Calculateur!V82*Calculateur!X82*VLOOKUP('Données projet'!$B$9,Paramètres!$A$1:$I$89,3,0)*0.475*44/12</f>
        <v>9.9622713605168602</v>
      </c>
      <c r="AB82" s="21">
        <f>EXP(-LN(2)/2)*AB81+(1-EXP(-LN(2)/2))/(LN(2)/2)*V82*Y82*VLOOKUP('Données projet'!$B$9,Paramètres!$A$1:$I$89,3,0)*0.475*44/12</f>
        <v>1.5371752798464077E-6</v>
      </c>
      <c r="AC82" s="22">
        <f t="shared" si="57"/>
        <v>14.289591695048836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17</v>
      </c>
      <c r="AI82" s="13">
        <f>IF('Données projet'!$A$62&gt;35,AI81+AH82-AQ81,IF(A82&lt;'Données projet'!$A$62,$AF$205^A82,IF(A82='Données projet'!$A$62,'Données projet'!$B$62,AI81+AH82-AQ81)))</f>
        <v>515.99999999999989</v>
      </c>
      <c r="AJ82" s="13">
        <f>AI82*VLOOKUP('Données projet'!$B$10,Paramètres!$A$1:$I$89,3,0)*VLOOKUP('Données projet'!$B$10,Paramètres!$A$1:$I$89,5,0)</f>
        <v>241.48799999999997</v>
      </c>
      <c r="AK82" s="13">
        <f t="shared" si="89"/>
        <v>58.759565673424916</v>
      </c>
      <c r="AL82" s="20">
        <f t="shared" si="58"/>
        <v>522.93117688121504</v>
      </c>
      <c r="AM82" s="59">
        <f t="shared" si="59"/>
        <v>816.26451021454841</v>
      </c>
      <c r="AN82" s="59">
        <f ca="1">AVERAGE(OFFSET($AM$3,0,0,'Données projet'!$E$10+1,1))-AVERAGE(OFFSET($H$3,0,0,'Données projet'!$E$10+1,1))</f>
        <v>215.23235148064941</v>
      </c>
      <c r="AO82" s="59">
        <f t="shared" si="90"/>
        <v>184.07239726900434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1.1877843157395676</v>
      </c>
      <c r="AV82" s="21">
        <f>EXP(-LN(2)/25)*AV81+(1-EXP(-LN(2)/25))/(LN(2)/25)*Calculateur!AQ82*Calculateur!AS82*VLOOKUP('Données projet'!$B$10,Paramètres!$A$1:$I$89,3,0)*0.475*44/12</f>
        <v>2.0190778792860757</v>
      </c>
      <c r="AW82" s="21">
        <f>EXP(-LN(2)/2)*AW81+(1-EXP(-LN(2)/2))/(LN(2)/2)*AQ82*AT82*VLOOKUP('Données projet'!$B$10,Paramètres!$A$1:$I$89,3,0)*0.475*44/12</f>
        <v>4.1439525264741046E-7</v>
      </c>
      <c r="AX82" s="21">
        <f t="shared" si="60"/>
        <v>3.2068626094208961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6</v>
      </c>
      <c r="BD82" s="12">
        <f>IF('Données projet'!$A$88&gt;35,BD81+BC82-BL81,IF(A82&lt;'Données projet'!$A$88,$BA$205^A82,IF(A82='Données projet'!$A$88,'Données projet'!$B$88,BD81+BC82-BL81)))</f>
        <v>436</v>
      </c>
      <c r="BE82" s="13">
        <f>BD82*VLOOKUP('Données projet'!$B$11,Paramètres!$A$1:$I$89,3,0)*VLOOKUP('Données projet'!$B$11,Paramètres!$A$1:$I$89,5,0)</f>
        <v>272.06400000000002</v>
      </c>
      <c r="BF82" s="13">
        <f t="shared" si="91"/>
        <v>65.28710784811372</v>
      </c>
      <c r="BG82" s="20">
        <f t="shared" si="61"/>
        <v>587.55317950213146</v>
      </c>
      <c r="BH82" s="59">
        <f t="shared" si="62"/>
        <v>880.88651283546483</v>
      </c>
      <c r="BI82" s="59">
        <f ca="1">AVERAGE(OFFSET($BH$3,0,0,'Données projet'!$E$11+1,1))-AVERAGE(OFFSET($H$3,0,0,'Données projet'!$E$11+1,1))</f>
        <v>261.27638267284169</v>
      </c>
      <c r="BJ82" s="59">
        <f t="shared" si="92"/>
        <v>297.50513563712764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3.1617788083857783</v>
      </c>
      <c r="BQ82" s="21">
        <f>EXP(-LN(2)/25)*BQ81+(1-EXP(-LN(2)/25))/(LN(2)/25)*Calculateur!BL82*Calculateur!BN82*VLOOKUP('Données projet'!$B$11,Paramètres!$A$1:$I$89,3,0)*0.475*44/12</f>
        <v>7.1633490848954784</v>
      </c>
      <c r="BR82" s="21">
        <f>EXP(-LN(2)/2)*BR81+(1-EXP(-LN(2)/2))/(LN(2)/2)*BL82*BO82*VLOOKUP('Données projet'!$B$11,Paramètres!$A$1:$I$89,3,0)*0.475*44/12</f>
        <v>1.0284333063327951E-6</v>
      </c>
      <c r="BS82" s="22">
        <f t="shared" si="63"/>
        <v>10.325128921714564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9.4</v>
      </c>
      <c r="BY82" s="12">
        <f>IF('Données projet'!$A$114&gt;35,BY81+BX82-CG81,IF(A82&lt;'Données projet'!$A$114,$BV$205^A82,IF(A82='Données projet'!$A$114,'Données projet'!$B$114,BY81+BX82-CG81)))</f>
        <v>582.59999999999991</v>
      </c>
      <c r="BZ82" s="13">
        <f>BY82*VLOOKUP('Données projet'!$B$12,Paramètres!$A$1:$I$89,3,0)*VLOOKUP('Données projet'!$B$12,Paramètres!$A$1:$I$89,5,0)</f>
        <v>348.39479999999998</v>
      </c>
      <c r="CA82" s="13">
        <f t="shared" si="93"/>
        <v>81.231895511321952</v>
      </c>
      <c r="CB82" s="20">
        <f t="shared" si="64"/>
        <v>748.2664946822191</v>
      </c>
      <c r="CC82" s="59">
        <f t="shared" si="65"/>
        <v>1041.5998280155525</v>
      </c>
      <c r="CD82" s="59">
        <f ca="1">AVERAGE(OFFSET($CC$3,0,0,'Données projet'!$E$12+1,1))-AVERAGE(OFFSET($H$3,0,0,'Données projet'!$E$12+1,1))</f>
        <v>314.69202393413491</v>
      </c>
      <c r="CE82" s="59">
        <f t="shared" si="94"/>
        <v>321.1728368524748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1.3256416358075789</v>
      </c>
      <c r="CL82" s="21">
        <f>EXP(-LN(2)/25)*CL81+(1-EXP(-LN(2)/25))/(LN(2)/25)*Calculateur!CG82*Calculateur!CI82*VLOOKUP('Données projet'!$B$12,Paramètres!$A$1:$I$89,3,0)*0.475*44/12</f>
        <v>5.4849148309121443</v>
      </c>
      <c r="CM82" s="21">
        <f>EXP(-LN(2)/2)*CM81+(1-EXP(-LN(2)/2))/(LN(2)/2)*CG82*CJ82*VLOOKUP('Données projet'!$B$12,Paramètres!$A$1:$I$89,3,0)*0.475*44/12</f>
        <v>1.2771900323691824E-6</v>
      </c>
      <c r="CN82" s="22">
        <f t="shared" si="66"/>
        <v>6.8105577439097553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790</v>
      </c>
      <c r="L83" s="12">
        <f>VLOOKUP(A83,'Données projet'!$A$35:$I$55,9,0)</f>
        <v>12.9</v>
      </c>
      <c r="M83" s="12">
        <f t="array" ref="M83">INDEX(L:L,MIN(IF(ISNUMBER(L83:L279),ROW(L83:L279),"")))</f>
        <v>12.9</v>
      </c>
      <c r="N83" s="13">
        <f>IF('Données projet'!$A$36&gt;35,N82+M83-V82,IF(A83&lt;'Données projet'!$A$36,$K$205^A83,IF(A83='Données projet'!$A$36,'Données projet'!$B$36,N82+M83-V82)))</f>
        <v>789.99999999999875</v>
      </c>
      <c r="O83" s="13">
        <f>N83*VLOOKUP('Données projet'!$B$9,Paramètres!$A$1:$I$89,3,0)*VLOOKUP('Données projet'!$B$9,Paramètres!$A$1:$I$89,5,0)</f>
        <v>441.60999999999933</v>
      </c>
      <c r="P83" s="13">
        <f t="shared" si="87"/>
        <v>100.16325657794113</v>
      </c>
      <c r="Q83" s="20">
        <f t="shared" si="54"/>
        <v>943.58842187324615</v>
      </c>
      <c r="R83" s="59">
        <f t="shared" si="55"/>
        <v>1236.9217552065795</v>
      </c>
      <c r="S83" s="59">
        <f ca="1">AVERAGE(OFFSET($R$3,0,0,'Données projet'!$E$9+1,1))-AVERAGE(OFFSET($H$3,0,0,'Données projet'!$E$9+1,1))</f>
        <v>415.91544298418842</v>
      </c>
      <c r="T83" s="59">
        <f t="shared" si="88"/>
        <v>422.79312683312583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790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4.2424627151443781</v>
      </c>
      <c r="AA83" s="21">
        <f>EXP(-LN(2)/25)*AA82+(1-EXP(-LN(2)/25))/(LN(2)/25)*Calculateur!V83*Calculateur!X83*VLOOKUP('Données projet'!$B$9,Paramètres!$A$1:$I$89,3,0)*0.475*44/12</f>
        <v>9.6898525262704442</v>
      </c>
      <c r="AB83" s="21">
        <f>EXP(-LN(2)/2)*AB82+(1-EXP(-LN(2)/2))/(LN(2)/2)*V83*Y83*VLOOKUP('Données projet'!$B$9,Paramètres!$A$1:$I$89,3,0)*0.475*44/12</f>
        <v>1.0869470642517238E-6</v>
      </c>
      <c r="AC83" s="22">
        <f t="shared" si="57"/>
        <v>13.932316328361887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533</v>
      </c>
      <c r="AG83" s="12">
        <f>VLOOKUP(A83,'Données projet'!$A$61:$I$81,9,0)</f>
        <v>17</v>
      </c>
      <c r="AH83" s="12">
        <f t="array" ref="AH83">INDEX(AG:AG,MIN(IF(ISNUMBER(AG83:AG279),ROW(AG83:AG279),"")))</f>
        <v>17</v>
      </c>
      <c r="AI83" s="13">
        <f>IF('Données projet'!$A$62&gt;35,AI82+AH83-AQ82,IF(A83&lt;'Données projet'!$A$62,$AF$205^A83,IF(A83='Données projet'!$A$62,'Données projet'!$B$62,AI82+AH83-AQ82)))</f>
        <v>532.99999999999989</v>
      </c>
      <c r="AJ83" s="13">
        <f>AI83*VLOOKUP('Données projet'!$B$10,Paramètres!$A$1:$I$89,3,0)*VLOOKUP('Données projet'!$B$10,Paramètres!$A$1:$I$89,5,0)</f>
        <v>249.44399999999993</v>
      </c>
      <c r="AK83" s="13">
        <f t="shared" si="89"/>
        <v>60.466866397117599</v>
      </c>
      <c r="AL83" s="20">
        <f t="shared" si="58"/>
        <v>539.76142564164627</v>
      </c>
      <c r="AM83" s="59">
        <f t="shared" si="59"/>
        <v>833.09475897497964</v>
      </c>
      <c r="AN83" s="59">
        <f ca="1">AVERAGE(OFFSET($AM$3,0,0,'Données projet'!$E$10+1,1))-AVERAGE(OFFSET($H$3,0,0,'Données projet'!$E$10+1,1))</f>
        <v>215.23235148064941</v>
      </c>
      <c r="AO83" s="59">
        <f t="shared" si="90"/>
        <v>184.07239726900434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83.4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1.1644925897848111</v>
      </c>
      <c r="AV83" s="21">
        <f>EXP(-LN(2)/25)*AV82+(1-EXP(-LN(2)/25))/(LN(2)/25)*Calculateur!AQ83*Calculateur!AS83*VLOOKUP('Données projet'!$B$10,Paramètres!$A$1:$I$89,3,0)*0.475*44/12</f>
        <v>1.963866088498307</v>
      </c>
      <c r="AW83" s="21">
        <f>EXP(-LN(2)/2)*AW82+(1-EXP(-LN(2)/2))/(LN(2)/2)*AQ83*AT83*VLOOKUP('Données projet'!$B$10,Paramètres!$A$1:$I$89,3,0)*0.475*44/12</f>
        <v>2.9302169323849654E-7</v>
      </c>
      <c r="AX83" s="21">
        <f t="shared" si="60"/>
        <v>3.1283589713048112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442</v>
      </c>
      <c r="BB83" s="12">
        <f>VLOOKUP(A83,'Données projet'!$A$87:$I$107,9,0)</f>
        <v>6</v>
      </c>
      <c r="BC83" s="12">
        <f t="array" ref="BC83">INDEX(BB:BB,MIN(IF(ISNUMBER(BB83:BB279),ROW(BB83:BB279),"")))</f>
        <v>6</v>
      </c>
      <c r="BD83" s="12">
        <f>IF('Données projet'!$A$88&gt;35,BD82+BC83-BL82,IF(A83&lt;'Données projet'!$A$88,$BA$205^A83,IF(A83='Données projet'!$A$88,'Données projet'!$B$88,BD82+BC83-BL82)))</f>
        <v>442</v>
      </c>
      <c r="BE83" s="13">
        <f>BD83*VLOOKUP('Données projet'!$B$11,Paramètres!$A$1:$I$89,3,0)*VLOOKUP('Données projet'!$B$11,Paramètres!$A$1:$I$89,5,0)</f>
        <v>275.80799999999999</v>
      </c>
      <c r="BF83" s="13">
        <f t="shared" si="91"/>
        <v>66.08034253144065</v>
      </c>
      <c r="BG83" s="20">
        <f t="shared" si="61"/>
        <v>595.45552990892566</v>
      </c>
      <c r="BH83" s="59">
        <f t="shared" si="62"/>
        <v>888.78886324225891</v>
      </c>
      <c r="BI83" s="59">
        <f ca="1">AVERAGE(OFFSET($BH$3,0,0,'Données projet'!$E$11+1,1))-AVERAGE(OFFSET($H$3,0,0,'Données projet'!$E$11+1,1))</f>
        <v>261.27638267284169</v>
      </c>
      <c r="BJ83" s="59">
        <f t="shared" si="92"/>
        <v>297.50513563712764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442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3.0997782544479833</v>
      </c>
      <c r="BQ83" s="21">
        <f>EXP(-LN(2)/25)*BQ82+(1-EXP(-LN(2)/25))/(LN(2)/25)*Calculateur!BL83*Calculateur!BN83*VLOOKUP('Données projet'!$B$11,Paramètres!$A$1:$I$89,3,0)*0.475*44/12</f>
        <v>6.9674669274648551</v>
      </c>
      <c r="BR83" s="21">
        <f>EXP(-LN(2)/2)*BR82+(1-EXP(-LN(2)/2))/(LN(2)/2)*BL83*BO83*VLOOKUP('Données projet'!$B$11,Paramètres!$A$1:$I$89,3,0)*0.475*44/12</f>
        <v>7.2721216490602135E-7</v>
      </c>
      <c r="BS83" s="22">
        <f t="shared" si="63"/>
        <v>10.067245909125003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592</v>
      </c>
      <c r="BW83" s="12">
        <f>VLOOKUP(A83,'Données projet'!$A$113:$I$133,9,0)</f>
        <v>9.4</v>
      </c>
      <c r="BX83" s="12">
        <f t="array" ref="BX83">INDEX(BW:BW,MIN(IF(ISNUMBER(BW83:BW279),ROW(BW83:BW279),"")))</f>
        <v>9.4</v>
      </c>
      <c r="BY83" s="12">
        <f>IF('Données projet'!$A$114&gt;35,BY82+BX83-CG82,IF(A83&lt;'Données projet'!$A$114,$BV$205^A83,IF(A83='Données projet'!$A$114,'Données projet'!$B$114,BY82+BX83-CG82)))</f>
        <v>591.99999999999989</v>
      </c>
      <c r="BZ83" s="13">
        <f>BY83*VLOOKUP('Données projet'!$B$12,Paramètres!$A$1:$I$89,3,0)*VLOOKUP('Données projet'!$B$12,Paramètres!$A$1:$I$89,5,0)</f>
        <v>354.01599999999991</v>
      </c>
      <c r="CA83" s="13">
        <f t="shared" si="93"/>
        <v>82.388897459302981</v>
      </c>
      <c r="CB83" s="20">
        <f t="shared" si="64"/>
        <v>760.07186307495249</v>
      </c>
      <c r="CC83" s="59">
        <f t="shared" si="65"/>
        <v>1053.4051964082857</v>
      </c>
      <c r="CD83" s="59">
        <f ca="1">AVERAGE(OFFSET($CC$3,0,0,'Données projet'!$E$12+1,1))-AVERAGE(OFFSET($H$3,0,0,'Données projet'!$E$12+1,1))</f>
        <v>314.69202393413491</v>
      </c>
      <c r="CE83" s="59">
        <f t="shared" si="94"/>
        <v>321.1728368524748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592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1.2996466118909513</v>
      </c>
      <c r="CL83" s="21">
        <f>EXP(-LN(2)/25)*CL82+(1-EXP(-LN(2)/25))/(LN(2)/25)*Calculateur!CG83*Calculateur!CI83*VLOOKUP('Données projet'!$B$12,Paramètres!$A$1:$I$89,3,0)*0.475*44/12</f>
        <v>5.3349295464217166</v>
      </c>
      <c r="CM83" s="21">
        <f>EXP(-LN(2)/2)*CM82+(1-EXP(-LN(2)/2))/(LN(2)/2)*CG83*CJ83*VLOOKUP('Données projet'!$B$12,Paramètres!$A$1:$I$89,3,0)*0.475*44/12</f>
        <v>9.0310973275211499E-7</v>
      </c>
      <c r="CN83" s="22">
        <f t="shared" si="66"/>
        <v>6.6345770614224007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-1.2505552149377763E-12</v>
      </c>
      <c r="O84" s="13">
        <f>N84*VLOOKUP('Données projet'!$B$9,Paramètres!$A$1:$I$89,3,0)*VLOOKUP('Données projet'!$B$9,Paramètres!$A$1:$I$89,5,0)</f>
        <v>-6.9906036515021697E-13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415.91544298418842</v>
      </c>
      <c r="T84" s="59">
        <f t="shared" si="88"/>
        <v>422.79312683312583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4.1592706089471445</v>
      </c>
      <c r="AA84" s="21">
        <f>EXP(-LN(2)/25)*AA83+(1-EXP(-LN(2)/25))/(LN(2)/25)*Calculateur!V84*Calculateur!X84*VLOOKUP('Données projet'!$B$9,Paramètres!$A$1:$I$89,3,0)*0.475*44/12</f>
        <v>9.4248829993723806</v>
      </c>
      <c r="AB84" s="21">
        <f>EXP(-LN(2)/2)*AB83+(1-EXP(-LN(2)/2))/(LN(2)/2)*V84*Y84*VLOOKUP('Données projet'!$B$9,Paramètres!$A$1:$I$89,3,0)*0.475*44/12</f>
        <v>7.6858763992320385E-7</v>
      </c>
      <c r="AC84" s="22">
        <f t="shared" si="57"/>
        <v>13.584154376907165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17.5</v>
      </c>
      <c r="AI84" s="13">
        <f>IF('Données projet'!$A$62&gt;35,AI83+AH84-AQ83,IF(A84&lt;'Données projet'!$A$62,$AF$205^A84,IF(A84='Données projet'!$A$62,'Données projet'!$B$62,AI83+AH84-AQ83)))</f>
        <v>467.09999999999991</v>
      </c>
      <c r="AJ84" s="13">
        <f>AI84*VLOOKUP('Données projet'!$B$10,Paramètres!$A$1:$I$89,3,0)*VLOOKUP('Données projet'!$B$10,Paramètres!$A$1:$I$89,5,0)</f>
        <v>218.60279999999995</v>
      </c>
      <c r="AK84" s="13">
        <f t="shared" si="89"/>
        <v>53.811098692658383</v>
      </c>
      <c r="AL84" s="20">
        <f t="shared" si="58"/>
        <v>474.45420688971325</v>
      </c>
      <c r="AM84" s="59">
        <f t="shared" si="59"/>
        <v>767.78754022304656</v>
      </c>
      <c r="AN84" s="59">
        <f ca="1">AVERAGE(OFFSET($AM$3,0,0,'Données projet'!$E$10+1,1))-AVERAGE(OFFSET($H$3,0,0,'Données projet'!$E$10+1,1))</f>
        <v>215.23235148064941</v>
      </c>
      <c r="AO84" s="59">
        <f t="shared" si="90"/>
        <v>184.07239726900434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1.1416576003694774</v>
      </c>
      <c r="AV84" s="21">
        <f>EXP(-LN(2)/25)*AV83+(1-EXP(-LN(2)/25))/(LN(2)/25)*Calculateur!AQ84*Calculateur!AS84*VLOOKUP('Données projet'!$B$10,Paramètres!$A$1:$I$89,3,0)*0.475*44/12</f>
        <v>1.9101640670330917</v>
      </c>
      <c r="AW84" s="21">
        <f>EXP(-LN(2)/2)*AW83+(1-EXP(-LN(2)/2))/(LN(2)/2)*AQ84*AT84*VLOOKUP('Données projet'!$B$10,Paramètres!$A$1:$I$89,3,0)*0.475*44/12</f>
        <v>2.0719762632370523E-7</v>
      </c>
      <c r="AX84" s="21">
        <f t="shared" si="60"/>
        <v>3.0518218746001953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261.27638267284169</v>
      </c>
      <c r="BJ84" s="59">
        <f t="shared" si="92"/>
        <v>297.50513563712764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3.0389934935563048</v>
      </c>
      <c r="BQ84" s="21">
        <f>EXP(-LN(2)/25)*BQ83+(1-EXP(-LN(2)/25))/(LN(2)/25)*Calculateur!BL84*Calculateur!BN84*VLOOKUP('Données projet'!$B$11,Paramètres!$A$1:$I$89,3,0)*0.475*44/12</f>
        <v>6.7769411779301674</v>
      </c>
      <c r="BR84" s="21">
        <f>EXP(-LN(2)/2)*BR83+(1-EXP(-LN(2)/2))/(LN(2)/2)*BL84*BO84*VLOOKUP('Données projet'!$B$11,Paramètres!$A$1:$I$89,3,0)*0.475*44/12</f>
        <v>5.1421665316639755E-7</v>
      </c>
      <c r="BS84" s="22">
        <f t="shared" si="63"/>
        <v>9.8159351857031254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-1.1368683772161603E-13</v>
      </c>
      <c r="BZ84" s="13">
        <f>BY84*VLOOKUP('Données projet'!$B$12,Paramètres!$A$1:$I$89,3,0)*VLOOKUP('Données projet'!$B$12,Paramètres!$A$1:$I$89,5,0)</f>
        <v>-6.7984728957526396E-14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314.69202393413491</v>
      </c>
      <c r="CE84" s="59">
        <f t="shared" si="94"/>
        <v>321.1728368524748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1.2741613345379297</v>
      </c>
      <c r="CL84" s="21">
        <f>EXP(-LN(2)/25)*CL83+(1-EXP(-LN(2)/25))/(LN(2)/25)*Calculateur!CG84*Calculateur!CI84*VLOOKUP('Données projet'!$B$12,Paramètres!$A$1:$I$89,3,0)*0.475*44/12</f>
        <v>5.189045617423063</v>
      </c>
      <c r="CM84" s="21">
        <f>EXP(-LN(2)/2)*CM83+(1-EXP(-LN(2)/2))/(LN(2)/2)*CG84*CJ84*VLOOKUP('Données projet'!$B$12,Paramètres!$A$1:$I$89,3,0)*0.475*44/12</f>
        <v>6.3859501618459118E-7</v>
      </c>
      <c r="CN84" s="22">
        <f t="shared" si="66"/>
        <v>6.4632075905560091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-1.2505552149377763E-12</v>
      </c>
      <c r="O85" s="13">
        <f>N85*VLOOKUP('Données projet'!$B$9,Paramètres!$A$1:$I$89,3,0)*VLOOKUP('Données projet'!$B$9,Paramètres!$A$1:$I$89,5,0)</f>
        <v>-6.9906036515021697E-13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415.91544298418842</v>
      </c>
      <c r="T85" s="59">
        <f t="shared" si="88"/>
        <v>422.79312683312583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4.0777098492102644</v>
      </c>
      <c r="AA85" s="21">
        <f>EXP(-LN(2)/25)*AA84+(1-EXP(-LN(2)/25))/(LN(2)/25)*Calculateur!V85*Calculateur!X85*VLOOKUP('Données projet'!$B$9,Paramètres!$A$1:$I$89,3,0)*0.475*44/12</f>
        <v>9.167159078121486</v>
      </c>
      <c r="AB85" s="21">
        <f>EXP(-LN(2)/2)*AB84+(1-EXP(-LN(2)/2))/(LN(2)/2)*V85*Y85*VLOOKUP('Données projet'!$B$9,Paramètres!$A$1:$I$89,3,0)*0.475*44/12</f>
        <v>5.4347353212586188E-7</v>
      </c>
      <c r="AC85" s="22">
        <f t="shared" si="57"/>
        <v>13.244869470805284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17.5</v>
      </c>
      <c r="AI85" s="13">
        <f>IF('Données projet'!$A$62&gt;35,AI84+AH85-AQ84,IF(A85&lt;'Données projet'!$A$62,$AF$205^A85,IF(A85='Données projet'!$A$62,'Données projet'!$B$62,AI84+AH85-AQ84)))</f>
        <v>484.59999999999991</v>
      </c>
      <c r="AJ85" s="13">
        <f>AI85*VLOOKUP('Données projet'!$B$10,Paramètres!$A$1:$I$89,3,0)*VLOOKUP('Données projet'!$B$10,Paramètres!$A$1:$I$89,5,0)</f>
        <v>226.79279999999994</v>
      </c>
      <c r="AK85" s="13">
        <f t="shared" si="89"/>
        <v>55.588644170072158</v>
      </c>
      <c r="AL85" s="20">
        <f t="shared" si="58"/>
        <v>491.8143485962089</v>
      </c>
      <c r="AM85" s="59">
        <f t="shared" si="59"/>
        <v>785.14768192954216</v>
      </c>
      <c r="AN85" s="59">
        <f ca="1">AVERAGE(OFFSET($AM$3,0,0,'Données projet'!$E$10+1,1))-AVERAGE(OFFSET($H$3,0,0,'Données projet'!$E$10+1,1))</f>
        <v>215.23235148064941</v>
      </c>
      <c r="AO85" s="59">
        <f t="shared" si="90"/>
        <v>184.07239726900434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1.1192703911686102</v>
      </c>
      <c r="AV85" s="21">
        <f>EXP(-LN(2)/25)*AV84+(1-EXP(-LN(2)/25))/(LN(2)/25)*Calculateur!AQ85*Calculateur!AS85*VLOOKUP('Données projet'!$B$10,Paramètres!$A$1:$I$89,3,0)*0.475*44/12</f>
        <v>1.8579305301689093</v>
      </c>
      <c r="AW85" s="21">
        <f>EXP(-LN(2)/2)*AW84+(1-EXP(-LN(2)/2))/(LN(2)/2)*AQ85*AT85*VLOOKUP('Données projet'!$B$10,Paramètres!$A$1:$I$89,3,0)*0.475*44/12</f>
        <v>1.4651084661924827E-7</v>
      </c>
      <c r="AX85" s="21">
        <f t="shared" si="60"/>
        <v>2.977201067848366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261.27638267284169</v>
      </c>
      <c r="BJ85" s="59">
        <f t="shared" si="92"/>
        <v>297.50513563712764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2.9794006847506687</v>
      </c>
      <c r="BQ85" s="21">
        <f>EXP(-LN(2)/25)*BQ84+(1-EXP(-LN(2)/25))/(LN(2)/25)*Calculateur!BL85*Calculateur!BN85*VLOOKUP('Données projet'!$B$11,Paramètres!$A$1:$I$89,3,0)*0.475*44/12</f>
        <v>6.591625365035819</v>
      </c>
      <c r="BR85" s="21">
        <f>EXP(-LN(2)/2)*BR84+(1-EXP(-LN(2)/2))/(LN(2)/2)*BL85*BO85*VLOOKUP('Données projet'!$B$11,Paramètres!$A$1:$I$89,3,0)*0.475*44/12</f>
        <v>3.6360608245301068E-7</v>
      </c>
      <c r="BS85" s="22">
        <f t="shared" si="63"/>
        <v>9.5710264133925698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-1.1368683772161603E-13</v>
      </c>
      <c r="BZ85" s="13">
        <f>BY85*VLOOKUP('Données projet'!$B$12,Paramètres!$A$1:$I$89,3,0)*VLOOKUP('Données projet'!$B$12,Paramètres!$A$1:$I$89,5,0)</f>
        <v>-6.7984728957526396E-14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314.69202393413491</v>
      </c>
      <c r="CE85" s="59">
        <f t="shared" si="94"/>
        <v>321.1728368524748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1.2491758079293167</v>
      </c>
      <c r="CL85" s="21">
        <f>EXP(-LN(2)/25)*CL84+(1-EXP(-LN(2)/25))/(LN(2)/25)*Calculateur!CG85*Calculateur!CI85*VLOOKUP('Données projet'!$B$12,Paramètres!$A$1:$I$89,3,0)*0.475*44/12</f>
        <v>5.0471508921345798</v>
      </c>
      <c r="CM85" s="21">
        <f>EXP(-LN(2)/2)*CM84+(1-EXP(-LN(2)/2))/(LN(2)/2)*CG85*CJ85*VLOOKUP('Données projet'!$B$12,Paramètres!$A$1:$I$89,3,0)*0.475*44/12</f>
        <v>4.515548663760575E-7</v>
      </c>
      <c r="CN85" s="22">
        <f t="shared" si="66"/>
        <v>6.2963271516187627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-1.2505552149377763E-12</v>
      </c>
      <c r="O86" s="13">
        <f>N86*VLOOKUP('Données projet'!$B$9,Paramètres!$A$1:$I$89,3,0)*VLOOKUP('Données projet'!$B$9,Paramètres!$A$1:$I$89,5,0)</f>
        <v>-6.9906036515021697E-13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415.91544298418842</v>
      </c>
      <c r="T86" s="59">
        <f t="shared" si="88"/>
        <v>422.79312683312583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3.9977484462246728</v>
      </c>
      <c r="AA86" s="21">
        <f>EXP(-LN(2)/25)*AA85+(1-EXP(-LN(2)/25))/(LN(2)/25)*Calculateur!V86*Calculateur!X86*VLOOKUP('Données projet'!$B$9,Paramètres!$A$1:$I$89,3,0)*0.475*44/12</f>
        <v>8.9164826310503091</v>
      </c>
      <c r="AB86" s="21">
        <f>EXP(-LN(2)/2)*AB85+(1-EXP(-LN(2)/2))/(LN(2)/2)*V86*Y86*VLOOKUP('Données projet'!$B$9,Paramètres!$A$1:$I$89,3,0)*0.475*44/12</f>
        <v>3.8429381996160193E-7</v>
      </c>
      <c r="AC86" s="22">
        <f t="shared" si="57"/>
        <v>12.914231461568802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17.5</v>
      </c>
      <c r="AI86" s="13">
        <f>IF('Données projet'!$A$62&gt;35,AI85+AH86-AQ85,IF(A86&lt;'Données projet'!$A$62,$AF$205^A86,IF(A86='Données projet'!$A$62,'Données projet'!$B$62,AI85+AH86-AQ85)))</f>
        <v>502.09999999999991</v>
      </c>
      <c r="AJ86" s="13">
        <f>AI86*VLOOKUP('Données projet'!$B$10,Paramètres!$A$1:$I$89,3,0)*VLOOKUP('Données projet'!$B$10,Paramètres!$A$1:$I$89,5,0)</f>
        <v>234.98279999999997</v>
      </c>
      <c r="AK86" s="13">
        <f t="shared" si="89"/>
        <v>57.358731763746825</v>
      </c>
      <c r="AL86" s="20">
        <f t="shared" si="58"/>
        <v>509.16150115519235</v>
      </c>
      <c r="AM86" s="59">
        <f t="shared" si="59"/>
        <v>802.49483448852561</v>
      </c>
      <c r="AN86" s="59">
        <f ca="1">AVERAGE(OFFSET($AM$3,0,0,'Données projet'!$E$10+1,1))-AVERAGE(OFFSET($H$3,0,0,'Données projet'!$E$10+1,1))</f>
        <v>215.23235148064941</v>
      </c>
      <c r="AO86" s="59">
        <f t="shared" si="90"/>
        <v>184.07239726900434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1.0973221814853225</v>
      </c>
      <c r="AV86" s="21">
        <f>EXP(-LN(2)/25)*AV85+(1-EXP(-LN(2)/25))/(LN(2)/25)*Calculateur!AQ86*Calculateur!AS86*VLOOKUP('Données projet'!$B$10,Paramètres!$A$1:$I$89,3,0)*0.475*44/12</f>
        <v>1.8071253221171202</v>
      </c>
      <c r="AW86" s="21">
        <f>EXP(-LN(2)/2)*AW85+(1-EXP(-LN(2)/2))/(LN(2)/2)*AQ86*AT86*VLOOKUP('Données projet'!$B$10,Paramètres!$A$1:$I$89,3,0)*0.475*44/12</f>
        <v>1.0359881316185261E-7</v>
      </c>
      <c r="AX86" s="21">
        <f t="shared" si="60"/>
        <v>2.9044476072012557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261.27638267284169</v>
      </c>
      <c r="BJ86" s="59">
        <f t="shared" si="92"/>
        <v>297.50513563712764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2.9209764545776866</v>
      </c>
      <c r="BQ86" s="21">
        <f>EXP(-LN(2)/25)*BQ85+(1-EXP(-LN(2)/25))/(LN(2)/25)*Calculateur!BL86*Calculateur!BN86*VLOOKUP('Données projet'!$B$11,Paramètres!$A$1:$I$89,3,0)*0.475*44/12</f>
        <v>6.4113770227904023</v>
      </c>
      <c r="BR86" s="21">
        <f>EXP(-LN(2)/2)*BR85+(1-EXP(-LN(2)/2))/(LN(2)/2)*BL86*BO86*VLOOKUP('Données projet'!$B$11,Paramètres!$A$1:$I$89,3,0)*0.475*44/12</f>
        <v>2.5710832658319877E-7</v>
      </c>
      <c r="BS86" s="22">
        <f t="shared" si="63"/>
        <v>9.3323537344764151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-1.1368683772161603E-13</v>
      </c>
      <c r="BZ86" s="13">
        <f>BY86*VLOOKUP('Données projet'!$B$12,Paramètres!$A$1:$I$89,3,0)*VLOOKUP('Données projet'!$B$12,Paramètres!$A$1:$I$89,5,0)</f>
        <v>-6.7984728957526396E-14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314.69202393413491</v>
      </c>
      <c r="CE86" s="59">
        <f t="shared" si="94"/>
        <v>321.1728368524748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1.2246802322578321</v>
      </c>
      <c r="CL86" s="21">
        <f>EXP(-LN(2)/25)*CL85+(1-EXP(-LN(2)/25))/(LN(2)/25)*Calculateur!CG86*Calculateur!CI86*VLOOKUP('Données projet'!$B$12,Paramètres!$A$1:$I$89,3,0)*0.475*44/12</f>
        <v>4.9091362855710301</v>
      </c>
      <c r="CM86" s="21">
        <f>EXP(-LN(2)/2)*CM85+(1-EXP(-LN(2)/2))/(LN(2)/2)*CG86*CJ86*VLOOKUP('Données projet'!$B$12,Paramètres!$A$1:$I$89,3,0)*0.475*44/12</f>
        <v>3.1929750809229559E-7</v>
      </c>
      <c r="CN86" s="22">
        <f t="shared" si="66"/>
        <v>6.1338168371263704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-1.2505552149377763E-12</v>
      </c>
      <c r="O87" s="13">
        <f>N87*VLOOKUP('Données projet'!$B$9,Paramètres!$A$1:$I$89,3,0)*VLOOKUP('Données projet'!$B$9,Paramètres!$A$1:$I$89,5,0)</f>
        <v>-6.9906036515021697E-13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415.91544298418842</v>
      </c>
      <c r="T87" s="59">
        <f t="shared" si="88"/>
        <v>422.79312683312583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3.9193550375799888</v>
      </c>
      <c r="AA87" s="21">
        <f>EXP(-LN(2)/25)*AA86+(1-EXP(-LN(2)/25))/(LN(2)/25)*Calculateur!V87*Calculateur!X87*VLOOKUP('Données projet'!$B$9,Paramètres!$A$1:$I$89,3,0)*0.475*44/12</f>
        <v>8.672660944606795</v>
      </c>
      <c r="AB87" s="21">
        <f>EXP(-LN(2)/2)*AB86+(1-EXP(-LN(2)/2))/(LN(2)/2)*V87*Y87*VLOOKUP('Données projet'!$B$9,Paramètres!$A$1:$I$89,3,0)*0.475*44/12</f>
        <v>2.7173676606293094E-7</v>
      </c>
      <c r="AC87" s="22">
        <f t="shared" si="57"/>
        <v>12.59201625392355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17.5</v>
      </c>
      <c r="AI87" s="13">
        <f>IF('Données projet'!$A$62&gt;35,AI86+AH87-AQ86,IF(A87&lt;'Données projet'!$A$62,$AF$205^A87,IF(A87='Données projet'!$A$62,'Données projet'!$B$62,AI86+AH87-AQ86)))</f>
        <v>519.59999999999991</v>
      </c>
      <c r="AJ87" s="13">
        <f>AI87*VLOOKUP('Données projet'!$B$10,Paramètres!$A$1:$I$89,3,0)*VLOOKUP('Données projet'!$B$10,Paramètres!$A$1:$I$89,5,0)</f>
        <v>243.17279999999994</v>
      </c>
      <c r="AK87" s="13">
        <f t="shared" si="89"/>
        <v>59.121651195612671</v>
      </c>
      <c r="AL87" s="20">
        <f t="shared" si="58"/>
        <v>526.49616916569187</v>
      </c>
      <c r="AM87" s="59">
        <f t="shared" si="59"/>
        <v>819.82950249902524</v>
      </c>
      <c r="AN87" s="59">
        <f ca="1">AVERAGE(OFFSET($AM$3,0,0,'Données projet'!$E$10+1,1))-AVERAGE(OFFSET($H$3,0,0,'Données projet'!$E$10+1,1))</f>
        <v>215.23235148064941</v>
      </c>
      <c r="AO87" s="59">
        <f t="shared" si="90"/>
        <v>184.07239726900434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1.0758043628068381</v>
      </c>
      <c r="AV87" s="21">
        <f>EXP(-LN(2)/25)*AV86+(1-EXP(-LN(2)/25))/(LN(2)/25)*Calculateur!AQ87*Calculateur!AS87*VLOOKUP('Données projet'!$B$10,Paramètres!$A$1:$I$89,3,0)*0.475*44/12</f>
        <v>1.7577093851512371</v>
      </c>
      <c r="AW87" s="21">
        <f>EXP(-LN(2)/2)*AW86+(1-EXP(-LN(2)/2))/(LN(2)/2)*AQ87*AT87*VLOOKUP('Données projet'!$B$10,Paramètres!$A$1:$I$89,3,0)*0.475*44/12</f>
        <v>7.3255423309624135E-8</v>
      </c>
      <c r="AX87" s="21">
        <f t="shared" si="60"/>
        <v>2.8335138212134985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261.27638267284169</v>
      </c>
      <c r="BJ87" s="59">
        <f t="shared" si="92"/>
        <v>297.50513563712764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2.8636978879231352</v>
      </c>
      <c r="BQ87" s="21">
        <f>EXP(-LN(2)/25)*BQ86+(1-EXP(-LN(2)/25))/(LN(2)/25)*Calculateur!BL87*Calculateur!BN87*VLOOKUP('Données projet'!$B$11,Paramètres!$A$1:$I$89,3,0)*0.475*44/12</f>
        <v>6.2360575809425347</v>
      </c>
      <c r="BR87" s="21">
        <f>EXP(-LN(2)/2)*BR86+(1-EXP(-LN(2)/2))/(LN(2)/2)*BL87*BO87*VLOOKUP('Données projet'!$B$11,Paramètres!$A$1:$I$89,3,0)*0.475*44/12</f>
        <v>1.8180304122650534E-7</v>
      </c>
      <c r="BS87" s="22">
        <f t="shared" si="63"/>
        <v>9.0997556506687118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-1.1368683772161603E-13</v>
      </c>
      <c r="BZ87" s="13">
        <f>BY87*VLOOKUP('Données projet'!$B$12,Paramètres!$A$1:$I$89,3,0)*VLOOKUP('Données projet'!$B$12,Paramètres!$A$1:$I$89,5,0)</f>
        <v>-6.7984728957526396E-14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314.69202393413491</v>
      </c>
      <c r="CE87" s="59">
        <f t="shared" si="94"/>
        <v>321.1728368524748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1.2006649998844394</v>
      </c>
      <c r="CL87" s="21">
        <f>EXP(-LN(2)/25)*CL86+(1-EXP(-LN(2)/25))/(LN(2)/25)*Calculateur!CG87*Calculateur!CI87*VLOOKUP('Données projet'!$B$12,Paramètres!$A$1:$I$89,3,0)*0.475*44/12</f>
        <v>4.7748956956818329</v>
      </c>
      <c r="CM87" s="21">
        <f>EXP(-LN(2)/2)*CM86+(1-EXP(-LN(2)/2))/(LN(2)/2)*CG87*CJ87*VLOOKUP('Données projet'!$B$12,Paramètres!$A$1:$I$89,3,0)*0.475*44/12</f>
        <v>2.2577743318802875E-7</v>
      </c>
      <c r="CN87" s="22">
        <f t="shared" si="66"/>
        <v>5.975560921343706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-1.2505552149377763E-12</v>
      </c>
      <c r="O88" s="13">
        <f>N88*VLOOKUP('Données projet'!$B$9,Paramètres!$A$1:$I$89,3,0)*VLOOKUP('Données projet'!$B$9,Paramètres!$A$1:$I$89,5,0)</f>
        <v>-6.9906036515021697E-13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415.91544298418842</v>
      </c>
      <c r="T88" s="59">
        <f t="shared" si="88"/>
        <v>422.79312683312583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3.8424988758635688</v>
      </c>
      <c r="AA88" s="21">
        <f>EXP(-LN(2)/25)*AA87+(1-EXP(-LN(2)/25))/(LN(2)/25)*Calculateur!V88*Calculateur!X88*VLOOKUP('Données projet'!$B$9,Paramètres!$A$1:$I$89,3,0)*0.475*44/12</f>
        <v>8.4355065750011047</v>
      </c>
      <c r="AB88" s="21">
        <f>EXP(-LN(2)/2)*AB87+(1-EXP(-LN(2)/2))/(LN(2)/2)*V88*Y88*VLOOKUP('Données projet'!$B$9,Paramètres!$A$1:$I$89,3,0)*0.475*44/12</f>
        <v>1.9214690998080096E-7</v>
      </c>
      <c r="AC88" s="22">
        <f t="shared" si="57"/>
        <v>12.278005643011584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17.5</v>
      </c>
      <c r="AI88" s="13">
        <f>IF('Données projet'!$A$62&gt;35,AI87+AH88-AQ87,IF(A88&lt;'Données projet'!$A$62,$AF$205^A88,IF(A88='Données projet'!$A$62,'Données projet'!$B$62,AI87+AH88-AQ87)))</f>
        <v>537.09999999999991</v>
      </c>
      <c r="AJ88" s="13">
        <f>AI88*VLOOKUP('Données projet'!$B$10,Paramètres!$A$1:$I$89,3,0)*VLOOKUP('Données projet'!$B$10,Paramètres!$A$1:$I$89,5,0)</f>
        <v>251.36279999999996</v>
      </c>
      <c r="AK88" s="13">
        <f t="shared" si="89"/>
        <v>60.877671564837158</v>
      </c>
      <c r="AL88" s="20">
        <f t="shared" si="58"/>
        <v>543.81882130875795</v>
      </c>
      <c r="AM88" s="59">
        <f t="shared" si="59"/>
        <v>837.15215464209132</v>
      </c>
      <c r="AN88" s="59">
        <f ca="1">AVERAGE(OFFSET($AM$3,0,0,'Données projet'!$E$10+1,1))-AVERAGE(OFFSET($H$3,0,0,'Données projet'!$E$10+1,1))</f>
        <v>215.23235148064941</v>
      </c>
      <c r="AO88" s="59">
        <f t="shared" si="90"/>
        <v>184.07239726900434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1.0547084954280654</v>
      </c>
      <c r="AV88" s="21">
        <f>EXP(-LN(2)/25)*AV87+(1-EXP(-LN(2)/25))/(LN(2)/25)*Calculateur!AQ88*Calculateur!AS88*VLOOKUP('Données projet'!$B$10,Paramètres!$A$1:$I$89,3,0)*0.475*44/12</f>
        <v>1.7096447295803572</v>
      </c>
      <c r="AW88" s="21">
        <f>EXP(-LN(2)/2)*AW87+(1-EXP(-LN(2)/2))/(LN(2)/2)*AQ88*AT88*VLOOKUP('Données projet'!$B$10,Paramètres!$A$1:$I$89,3,0)*0.475*44/12</f>
        <v>5.1799406580926307E-8</v>
      </c>
      <c r="AX88" s="21">
        <f t="shared" si="60"/>
        <v>2.7643532768078289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261.27638267284169</v>
      </c>
      <c r="BJ88" s="59">
        <f t="shared" si="92"/>
        <v>297.50513563712764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2.8075425190242034</v>
      </c>
      <c r="BQ88" s="21">
        <f>EXP(-LN(2)/25)*BQ87+(1-EXP(-LN(2)/25))/(LN(2)/25)*Calculateur!BL88*Calculateur!BN88*VLOOKUP('Données projet'!$B$11,Paramètres!$A$1:$I$89,3,0)*0.475*44/12</f>
        <v>6.065532258451646</v>
      </c>
      <c r="BR88" s="21">
        <f>EXP(-LN(2)/2)*BR87+(1-EXP(-LN(2)/2))/(LN(2)/2)*BL88*BO88*VLOOKUP('Données projet'!$B$11,Paramètres!$A$1:$I$89,3,0)*0.475*44/12</f>
        <v>1.2855416329159939E-7</v>
      </c>
      <c r="BS88" s="22">
        <f t="shared" si="63"/>
        <v>8.8730749060300127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-1.1368683772161603E-13</v>
      </c>
      <c r="BZ88" s="13">
        <f>BY88*VLOOKUP('Données projet'!$B$12,Paramètres!$A$1:$I$89,3,0)*VLOOKUP('Données projet'!$B$12,Paramètres!$A$1:$I$89,5,0)</f>
        <v>-6.7984728957526396E-14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314.69202393413491</v>
      </c>
      <c r="CE88" s="59">
        <f t="shared" si="94"/>
        <v>321.1728368524748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1.1771206915700436</v>
      </c>
      <c r="CL88" s="21">
        <f>EXP(-LN(2)/25)*CL87+(1-EXP(-LN(2)/25))/(LN(2)/25)*Calculateur!CG88*Calculateur!CI88*VLOOKUP('Données projet'!$B$12,Paramètres!$A$1:$I$89,3,0)*0.475*44/12</f>
        <v>4.6443259217825617</v>
      </c>
      <c r="CM88" s="21">
        <f>EXP(-LN(2)/2)*CM87+(1-EXP(-LN(2)/2))/(LN(2)/2)*CG88*CJ88*VLOOKUP('Données projet'!$B$12,Paramètres!$A$1:$I$89,3,0)*0.475*44/12</f>
        <v>1.5964875404614779E-7</v>
      </c>
      <c r="CN88" s="22">
        <f t="shared" si="66"/>
        <v>5.8214467730013588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-1.2505552149377763E-12</v>
      </c>
      <c r="O89" s="13">
        <f>N89*VLOOKUP('Données projet'!$B$9,Paramètres!$A$1:$I$89,3,0)*VLOOKUP('Données projet'!$B$9,Paramètres!$A$1:$I$89,5,0)</f>
        <v>-6.9906036515021697E-13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415.91544298418842</v>
      </c>
      <c r="T89" s="59">
        <f t="shared" si="88"/>
        <v>422.79312683312583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3.767149816600778</v>
      </c>
      <c r="AA89" s="21">
        <f>EXP(-LN(2)/25)*AA88+(1-EXP(-LN(2)/25))/(LN(2)/25)*Calculateur!V89*Calculateur!X89*VLOOKUP('Données projet'!$B$9,Paramètres!$A$1:$I$89,3,0)*0.475*44/12</f>
        <v>8.2048372041036881</v>
      </c>
      <c r="AB89" s="21">
        <f>EXP(-LN(2)/2)*AB88+(1-EXP(-LN(2)/2))/(LN(2)/2)*V89*Y89*VLOOKUP('Données projet'!$B$9,Paramètres!$A$1:$I$89,3,0)*0.475*44/12</f>
        <v>1.3586838303146547E-7</v>
      </c>
      <c r="AC89" s="22">
        <f t="shared" si="57"/>
        <v>11.971987156572849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17.5</v>
      </c>
      <c r="AI89" s="13">
        <f>IF('Données projet'!$A$62&gt;35,AI88+AH89-AQ88,IF(A89&lt;'Données projet'!$A$62,$AF$205^A89,IF(A89='Données projet'!$A$62,'Données projet'!$B$62,AI88+AH89-AQ88)))</f>
        <v>554.59999999999991</v>
      </c>
      <c r="AJ89" s="13">
        <f>AI89*VLOOKUP('Données projet'!$B$10,Paramètres!$A$1:$I$89,3,0)*VLOOKUP('Données projet'!$B$10,Paramètres!$A$1:$I$89,5,0)</f>
        <v>259.55279999999993</v>
      </c>
      <c r="AK89" s="13">
        <f t="shared" si="89"/>
        <v>62.627043439399927</v>
      </c>
      <c r="AL89" s="20">
        <f t="shared" si="58"/>
        <v>561.12989399028811</v>
      </c>
      <c r="AM89" s="59">
        <f t="shared" si="59"/>
        <v>854.46322732362137</v>
      </c>
      <c r="AN89" s="59">
        <f ca="1">AVERAGE(OFFSET($AM$3,0,0,'Données projet'!$E$10+1,1))-AVERAGE(OFFSET($H$3,0,0,'Données projet'!$E$10+1,1))</f>
        <v>215.23235148064941</v>
      </c>
      <c r="AO89" s="59">
        <f t="shared" si="90"/>
        <v>184.07239726900434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1.0340263051413818</v>
      </c>
      <c r="AV89" s="21">
        <f>EXP(-LN(2)/25)*AV88+(1-EXP(-LN(2)/25))/(LN(2)/25)*Calculateur!AQ89*Calculateur!AS89*VLOOKUP('Données projet'!$B$10,Paramètres!$A$1:$I$89,3,0)*0.475*44/12</f>
        <v>1.6628944045436733</v>
      </c>
      <c r="AW89" s="21">
        <f>EXP(-LN(2)/2)*AW88+(1-EXP(-LN(2)/2))/(LN(2)/2)*AQ89*AT89*VLOOKUP('Données projet'!$B$10,Paramètres!$A$1:$I$89,3,0)*0.475*44/12</f>
        <v>3.6627711654812067E-8</v>
      </c>
      <c r="AX89" s="21">
        <f t="shared" si="60"/>
        <v>2.6969207463127667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261.27638267284169</v>
      </c>
      <c r="BJ89" s="59">
        <f t="shared" si="92"/>
        <v>297.50513563712764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2.7524883226579866</v>
      </c>
      <c r="BQ89" s="21">
        <f>EXP(-LN(2)/25)*BQ88+(1-EXP(-LN(2)/25))/(LN(2)/25)*Calculateur!BL89*Calculateur!BN89*VLOOKUP('Données projet'!$B$11,Paramètres!$A$1:$I$89,3,0)*0.475*44/12</f>
        <v>5.8996699598718072</v>
      </c>
      <c r="BR89" s="21">
        <f>EXP(-LN(2)/2)*BR88+(1-EXP(-LN(2)/2))/(LN(2)/2)*BL89*BO89*VLOOKUP('Données projet'!$B$11,Paramètres!$A$1:$I$89,3,0)*0.475*44/12</f>
        <v>9.0901520613252669E-8</v>
      </c>
      <c r="BS89" s="22">
        <f t="shared" si="63"/>
        <v>8.6521583734313143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-1.1368683772161603E-13</v>
      </c>
      <c r="BZ89" s="13">
        <f>BY89*VLOOKUP('Données projet'!$B$12,Paramètres!$A$1:$I$89,3,0)*VLOOKUP('Données projet'!$B$12,Paramètres!$A$1:$I$89,5,0)</f>
        <v>-6.7984728957526396E-14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314.69202393413491</v>
      </c>
      <c r="CE89" s="59">
        <f t="shared" si="94"/>
        <v>321.1728368524748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1.1540380727810831</v>
      </c>
      <c r="CL89" s="21">
        <f>EXP(-LN(2)/25)*CL88+(1-EXP(-LN(2)/25))/(LN(2)/25)*Calculateur!CG89*Calculateur!CI89*VLOOKUP('Données projet'!$B$12,Paramètres!$A$1:$I$89,3,0)*0.475*44/12</f>
        <v>4.5173265852169324</v>
      </c>
      <c r="CM89" s="21">
        <f>EXP(-LN(2)/2)*CM88+(1-EXP(-LN(2)/2))/(LN(2)/2)*CG89*CJ89*VLOOKUP('Données projet'!$B$12,Paramètres!$A$1:$I$89,3,0)*0.475*44/12</f>
        <v>1.1288871659401437E-7</v>
      </c>
      <c r="CN89" s="22">
        <f t="shared" si="66"/>
        <v>5.6713647708867319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-1.2505552149377763E-12</v>
      </c>
      <c r="O90" s="13">
        <f>N90*VLOOKUP('Données projet'!$B$9,Paramètres!$A$1:$I$89,3,0)*VLOOKUP('Données projet'!$B$9,Paramètres!$A$1:$I$89,5,0)</f>
        <v>-6.9906036515021697E-13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415.91544298418842</v>
      </c>
      <c r="T90" s="59">
        <f t="shared" si="88"/>
        <v>422.79312683312583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3.6932783064317425</v>
      </c>
      <c r="AA90" s="21">
        <f>EXP(-LN(2)/25)*AA89+(1-EXP(-LN(2)/25))/(LN(2)/25)*Calculateur!V90*Calculateur!X90*VLOOKUP('Données projet'!$B$9,Paramètres!$A$1:$I$89,3,0)*0.475*44/12</f>
        <v>7.9804754992838367</v>
      </c>
      <c r="AB90" s="21">
        <f>EXP(-LN(2)/2)*AB89+(1-EXP(-LN(2)/2))/(LN(2)/2)*V90*Y90*VLOOKUP('Données projet'!$B$9,Paramètres!$A$1:$I$89,3,0)*0.475*44/12</f>
        <v>9.6073454990400482E-8</v>
      </c>
      <c r="AC90" s="22">
        <f t="shared" si="57"/>
        <v>11.673753901789034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17.5</v>
      </c>
      <c r="AI90" s="13">
        <f>IF('Données projet'!$A$62&gt;35,AI89+AH90-AQ89,IF(A90&lt;'Données projet'!$A$62,$AF$205^A90,IF(A90='Données projet'!$A$62,'Données projet'!$B$62,AI89+AH90-AQ89)))</f>
        <v>572.09999999999991</v>
      </c>
      <c r="AJ90" s="13">
        <f>AI90*VLOOKUP('Données projet'!$B$10,Paramètres!$A$1:$I$89,3,0)*VLOOKUP('Données projet'!$B$10,Paramètres!$A$1:$I$89,5,0)</f>
        <v>267.74279999999993</v>
      </c>
      <c r="AK90" s="13">
        <f t="shared" si="89"/>
        <v>64.370000676259949</v>
      </c>
      <c r="AL90" s="20">
        <f t="shared" si="58"/>
        <v>578.42979451115264</v>
      </c>
      <c r="AM90" s="59">
        <f t="shared" si="59"/>
        <v>871.76312784448601</v>
      </c>
      <c r="AN90" s="59">
        <f ca="1">AVERAGE(OFFSET($AM$3,0,0,'Données projet'!$E$10+1,1))-AVERAGE(OFFSET($H$3,0,0,'Données projet'!$E$10+1,1))</f>
        <v>215.23235148064941</v>
      </c>
      <c r="AO90" s="59">
        <f t="shared" si="90"/>
        <v>184.07239726900434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1.0137496799913297</v>
      </c>
      <c r="AV90" s="21">
        <f>EXP(-LN(2)/25)*AV89+(1-EXP(-LN(2)/25))/(LN(2)/25)*Calculateur!AQ90*Calculateur!AS90*VLOOKUP('Données projet'!$B$10,Paramètres!$A$1:$I$89,3,0)*0.475*44/12</f>
        <v>1.6174224696036104</v>
      </c>
      <c r="AW90" s="21">
        <f>EXP(-LN(2)/2)*AW89+(1-EXP(-LN(2)/2))/(LN(2)/2)*AQ90*AT90*VLOOKUP('Données projet'!$B$10,Paramètres!$A$1:$I$89,3,0)*0.475*44/12</f>
        <v>2.5899703290463154E-8</v>
      </c>
      <c r="AX90" s="21">
        <f t="shared" si="60"/>
        <v>2.6311721754946436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261.27638267284169</v>
      </c>
      <c r="BJ90" s="59">
        <f t="shared" si="92"/>
        <v>297.50513563712764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2.6985137055027675</v>
      </c>
      <c r="BQ90" s="21">
        <f>EXP(-LN(2)/25)*BQ89+(1-EXP(-LN(2)/25))/(LN(2)/25)*Calculateur!BL90*Calculateur!BN90*VLOOKUP('Données projet'!$B$11,Paramètres!$A$1:$I$89,3,0)*0.475*44/12</f>
        <v>5.7383431745689535</v>
      </c>
      <c r="BR90" s="21">
        <f>EXP(-LN(2)/2)*BR89+(1-EXP(-LN(2)/2))/(LN(2)/2)*BL90*BO90*VLOOKUP('Données projet'!$B$11,Paramètres!$A$1:$I$89,3,0)*0.475*44/12</f>
        <v>6.4277081645799693E-8</v>
      </c>
      <c r="BS90" s="22">
        <f t="shared" si="63"/>
        <v>8.4368569443488024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-1.1368683772161603E-13</v>
      </c>
      <c r="BZ90" s="13">
        <f>BY90*VLOOKUP('Données projet'!$B$12,Paramètres!$A$1:$I$89,3,0)*VLOOKUP('Données projet'!$B$12,Paramètres!$A$1:$I$89,5,0)</f>
        <v>-6.7984728957526396E-14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314.69202393413491</v>
      </c>
      <c r="CE90" s="59">
        <f t="shared" si="94"/>
        <v>321.1728368524748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1.1314080900675667</v>
      </c>
      <c r="CL90" s="21">
        <f>EXP(-LN(2)/25)*CL89+(1-EXP(-LN(2)/25))/(LN(2)/25)*Calculateur!CG90*Calculateur!CI90*VLOOKUP('Données projet'!$B$12,Paramètres!$A$1:$I$89,3,0)*0.475*44/12</f>
        <v>4.3938000521882952</v>
      </c>
      <c r="CM90" s="21">
        <f>EXP(-LN(2)/2)*CM89+(1-EXP(-LN(2)/2))/(LN(2)/2)*CG90*CJ90*VLOOKUP('Données projet'!$B$12,Paramètres!$A$1:$I$89,3,0)*0.475*44/12</f>
        <v>7.9824377023073897E-8</v>
      </c>
      <c r="CN90" s="22">
        <f t="shared" si="66"/>
        <v>5.5252082220802388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-1.2505552149377763E-12</v>
      </c>
      <c r="O91" s="13">
        <f>N91*VLOOKUP('Données projet'!$B$9,Paramètres!$A$1:$I$89,3,0)*VLOOKUP('Données projet'!$B$9,Paramètres!$A$1:$I$89,5,0)</f>
        <v>-6.9906036515021697E-13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415.91544298418842</v>
      </c>
      <c r="T91" s="59">
        <f t="shared" si="88"/>
        <v>422.79312683312583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3.6208553715199496</v>
      </c>
      <c r="AA91" s="21">
        <f>EXP(-LN(2)/25)*AA90+(1-EXP(-LN(2)/25))/(LN(2)/25)*Calculateur!V91*Calculateur!X91*VLOOKUP('Données projet'!$B$9,Paramètres!$A$1:$I$89,3,0)*0.475*44/12</f>
        <v>7.7622489770809535</v>
      </c>
      <c r="AB91" s="21">
        <f>EXP(-LN(2)/2)*AB90+(1-EXP(-LN(2)/2))/(LN(2)/2)*V91*Y91*VLOOKUP('Données projet'!$B$9,Paramètres!$A$1:$I$89,3,0)*0.475*44/12</f>
        <v>6.7934191515732735E-8</v>
      </c>
      <c r="AC91" s="22">
        <f t="shared" si="57"/>
        <v>11.383104416535094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17.5</v>
      </c>
      <c r="AI91" s="13">
        <f>IF('Données projet'!$A$62&gt;35,AI90+AH91-AQ90,IF(A91&lt;'Données projet'!$A$62,$AF$205^A91,IF(A91='Données projet'!$A$62,'Données projet'!$B$62,AI90+AH91-AQ90)))</f>
        <v>589.59999999999991</v>
      </c>
      <c r="AJ91" s="13">
        <f>AI91*VLOOKUP('Données projet'!$B$10,Paramètres!$A$1:$I$89,3,0)*VLOOKUP('Données projet'!$B$10,Paramètres!$A$1:$I$89,5,0)</f>
        <v>275.93279999999999</v>
      </c>
      <c r="AK91" s="13">
        <f t="shared" si="89"/>
        <v>66.106762012556132</v>
      </c>
      <c r="AL91" s="20">
        <f t="shared" si="58"/>
        <v>595.7189038385352</v>
      </c>
      <c r="AM91" s="59">
        <f t="shared" si="59"/>
        <v>889.05223717186846</v>
      </c>
      <c r="AN91" s="59">
        <f ca="1">AVERAGE(OFFSET($AM$3,0,0,'Données projet'!$E$10+1,1))-AVERAGE(OFFSET($H$3,0,0,'Données projet'!$E$10+1,1))</f>
        <v>215.23235148064941</v>
      </c>
      <c r="AO91" s="59">
        <f t="shared" si="90"/>
        <v>184.07239726900434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0.99387066709294991</v>
      </c>
      <c r="AV91" s="21">
        <f>EXP(-LN(2)/25)*AV90+(1-EXP(-LN(2)/25))/(LN(2)/25)*Calculateur!AQ91*Calculateur!AS91*VLOOKUP('Données projet'!$B$10,Paramètres!$A$1:$I$89,3,0)*0.475*44/12</f>
        <v>1.5731939671157487</v>
      </c>
      <c r="AW91" s="21">
        <f>EXP(-LN(2)/2)*AW90+(1-EXP(-LN(2)/2))/(LN(2)/2)*AQ91*AT91*VLOOKUP('Données projet'!$B$10,Paramètres!$A$1:$I$89,3,0)*0.475*44/12</f>
        <v>1.8313855827406034E-8</v>
      </c>
      <c r="AX91" s="21">
        <f t="shared" si="60"/>
        <v>2.5670646525225544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261.27638267284169</v>
      </c>
      <c r="BJ91" s="59">
        <f t="shared" si="92"/>
        <v>297.50513563712764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2.6455974976686965</v>
      </c>
      <c r="BQ91" s="21">
        <f>EXP(-LN(2)/25)*BQ90+(1-EXP(-LN(2)/25))/(LN(2)/25)*Calculateur!BL91*Calculateur!BN91*VLOOKUP('Données projet'!$B$11,Paramètres!$A$1:$I$89,3,0)*0.475*44/12</f>
        <v>5.5814278786940132</v>
      </c>
      <c r="BR91" s="21">
        <f>EXP(-LN(2)/2)*BR90+(1-EXP(-LN(2)/2))/(LN(2)/2)*BL91*BO91*VLOOKUP('Données projet'!$B$11,Paramètres!$A$1:$I$89,3,0)*0.475*44/12</f>
        <v>4.5450760306626335E-8</v>
      </c>
      <c r="BS91" s="22">
        <f t="shared" si="63"/>
        <v>8.2270254218134689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-1.1368683772161603E-13</v>
      </c>
      <c r="BZ91" s="13">
        <f>BY91*VLOOKUP('Données projet'!$B$12,Paramètres!$A$1:$I$89,3,0)*VLOOKUP('Données projet'!$B$12,Paramètres!$A$1:$I$89,5,0)</f>
        <v>-6.7984728957526396E-14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314.69202393413491</v>
      </c>
      <c r="CE91" s="59">
        <f t="shared" si="94"/>
        <v>321.1728368524748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1.1092218675121359</v>
      </c>
      <c r="CL91" s="21">
        <f>EXP(-LN(2)/25)*CL90+(1-EXP(-LN(2)/25))/(LN(2)/25)*Calculateur!CG91*Calculateur!CI91*VLOOKUP('Données projet'!$B$12,Paramètres!$A$1:$I$89,3,0)*0.475*44/12</f>
        <v>4.2736513587013034</v>
      </c>
      <c r="CM91" s="21">
        <f>EXP(-LN(2)/2)*CM90+(1-EXP(-LN(2)/2))/(LN(2)/2)*CG91*CJ91*VLOOKUP('Données projet'!$B$12,Paramètres!$A$1:$I$89,3,0)*0.475*44/12</f>
        <v>5.6444358297007187E-8</v>
      </c>
      <c r="CN91" s="22">
        <f t="shared" si="66"/>
        <v>5.3828732826577976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-1.2505552149377763E-12</v>
      </c>
      <c r="O92" s="13">
        <f>N92*VLOOKUP('Données projet'!$B$9,Paramètres!$A$1:$I$89,3,0)*VLOOKUP('Données projet'!$B$9,Paramètres!$A$1:$I$89,5,0)</f>
        <v>-6.9906036515021697E-13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415.91544298418842</v>
      </c>
      <c r="T92" s="59">
        <f t="shared" si="88"/>
        <v>422.79312683312583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3.5498526061881486</v>
      </c>
      <c r="AA92" s="21">
        <f>EXP(-LN(2)/25)*AA91+(1-EXP(-LN(2)/25))/(LN(2)/25)*Calculateur!V92*Calculateur!X92*VLOOKUP('Données projet'!$B$9,Paramètres!$A$1:$I$89,3,0)*0.475*44/12</f>
        <v>7.549989870603742</v>
      </c>
      <c r="AB92" s="21">
        <f>EXP(-LN(2)/2)*AB91+(1-EXP(-LN(2)/2))/(LN(2)/2)*V92*Y92*VLOOKUP('Données projet'!$B$9,Paramètres!$A$1:$I$89,3,0)*0.475*44/12</f>
        <v>4.8036727495200241E-8</v>
      </c>
      <c r="AC92" s="22">
        <f t="shared" si="57"/>
        <v>11.099842524828619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17.5</v>
      </c>
      <c r="AI92" s="13">
        <f>IF('Données projet'!$A$62&gt;35,AI91+AH92-AQ91,IF(A92&lt;'Données projet'!$A$62,$AF$205^A92,IF(A92='Données projet'!$A$62,'Données projet'!$B$62,AI91+AH92-AQ91)))</f>
        <v>607.09999999999991</v>
      </c>
      <c r="AJ92" s="13">
        <f>AI92*VLOOKUP('Données projet'!$B$10,Paramètres!$A$1:$I$89,3,0)*VLOOKUP('Données projet'!$B$10,Paramètres!$A$1:$I$89,5,0)</f>
        <v>284.12279999999993</v>
      </c>
      <c r="AK92" s="13">
        <f t="shared" si="89"/>
        <v>67.837532462585557</v>
      </c>
      <c r="AL92" s="20">
        <f t="shared" si="58"/>
        <v>612.99757903900297</v>
      </c>
      <c r="AM92" s="59">
        <f t="shared" si="59"/>
        <v>906.33091237233634</v>
      </c>
      <c r="AN92" s="59">
        <f ca="1">AVERAGE(OFFSET($AM$3,0,0,'Données projet'!$E$10+1,1))-AVERAGE(OFFSET($H$3,0,0,'Données projet'!$E$10+1,1))</f>
        <v>215.23235148064941</v>
      </c>
      <c r="AO92" s="59">
        <f t="shared" si="90"/>
        <v>184.07239726900434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0.9743814695125067</v>
      </c>
      <c r="AV92" s="21">
        <f>EXP(-LN(2)/25)*AV91+(1-EXP(-LN(2)/25))/(LN(2)/25)*Calculateur!AQ92*Calculateur!AS92*VLOOKUP('Données projet'!$B$10,Paramètres!$A$1:$I$89,3,0)*0.475*44/12</f>
        <v>1.5301748953542933</v>
      </c>
      <c r="AW92" s="21">
        <f>EXP(-LN(2)/2)*AW91+(1-EXP(-LN(2)/2))/(LN(2)/2)*AQ92*AT92*VLOOKUP('Données projet'!$B$10,Paramètres!$A$1:$I$89,3,0)*0.475*44/12</f>
        <v>1.2949851645231577E-8</v>
      </c>
      <c r="AX92" s="21">
        <f t="shared" si="60"/>
        <v>2.5045563778166517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261.27638267284169</v>
      </c>
      <c r="BJ92" s="59">
        <f t="shared" si="92"/>
        <v>297.50513563712764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2.5937189443945519</v>
      </c>
      <c r="BQ92" s="21">
        <f>EXP(-LN(2)/25)*BQ91+(1-EXP(-LN(2)/25))/(LN(2)/25)*Calculateur!BL92*Calculateur!BN92*VLOOKUP('Données projet'!$B$11,Paramètres!$A$1:$I$89,3,0)*0.475*44/12</f>
        <v>5.4288034398365896</v>
      </c>
      <c r="BR92" s="21">
        <f>EXP(-LN(2)/2)*BR91+(1-EXP(-LN(2)/2))/(LN(2)/2)*BL92*BO92*VLOOKUP('Données projet'!$B$11,Paramètres!$A$1:$I$89,3,0)*0.475*44/12</f>
        <v>3.2138540822899847E-8</v>
      </c>
      <c r="BS92" s="22">
        <f t="shared" si="63"/>
        <v>8.0225224163696822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-1.1368683772161603E-13</v>
      </c>
      <c r="BZ92" s="13">
        <f>BY92*VLOOKUP('Données projet'!$B$12,Paramètres!$A$1:$I$89,3,0)*VLOOKUP('Données projet'!$B$12,Paramètres!$A$1:$I$89,5,0)</f>
        <v>-6.7984728957526396E-14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314.69202393413491</v>
      </c>
      <c r="CE92" s="59">
        <f t="shared" si="94"/>
        <v>321.1728368524748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1.0874707032487576</v>
      </c>
      <c r="CL92" s="21">
        <f>EXP(-LN(2)/25)*CL91+(1-EXP(-LN(2)/25))/(LN(2)/25)*Calculateur!CG92*Calculateur!CI92*VLOOKUP('Données projet'!$B$12,Paramètres!$A$1:$I$89,3,0)*0.475*44/12</f>
        <v>4.1567881375560587</v>
      </c>
      <c r="CM92" s="21">
        <f>EXP(-LN(2)/2)*CM91+(1-EXP(-LN(2)/2))/(LN(2)/2)*CG92*CJ92*VLOOKUP('Données projet'!$B$12,Paramètres!$A$1:$I$89,3,0)*0.475*44/12</f>
        <v>3.9912188511536949E-8</v>
      </c>
      <c r="CN92" s="22">
        <f t="shared" si="66"/>
        <v>5.2442588807170045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-1.2505552149377763E-12</v>
      </c>
      <c r="O93" s="13">
        <f>N93*VLOOKUP('Données projet'!$B$9,Paramètres!$A$1:$I$89,3,0)*VLOOKUP('Données projet'!$B$9,Paramètres!$A$1:$I$89,5,0)</f>
        <v>-6.9906036515021697E-13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415.91544298418842</v>
      </c>
      <c r="T93" s="59">
        <f t="shared" si="88"/>
        <v>422.79312683312583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3.4802421617770936</v>
      </c>
      <c r="AA93" s="21">
        <f>EXP(-LN(2)/25)*AA92+(1-EXP(-LN(2)/25))/(LN(2)/25)*Calculateur!V93*Calculateur!X93*VLOOKUP('Données projet'!$B$9,Paramètres!$A$1:$I$89,3,0)*0.475*44/12</f>
        <v>7.343535000555371</v>
      </c>
      <c r="AB93" s="21">
        <f>EXP(-LN(2)/2)*AB92+(1-EXP(-LN(2)/2))/(LN(2)/2)*V93*Y93*VLOOKUP('Données projet'!$B$9,Paramètres!$A$1:$I$89,3,0)*0.475*44/12</f>
        <v>3.3967095757866367E-8</v>
      </c>
      <c r="AC93" s="22">
        <f t="shared" si="57"/>
        <v>10.823777196299561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624.6</v>
      </c>
      <c r="AG93" s="12">
        <f>VLOOKUP(A93,'Données projet'!$A$61:$I$81,9,0)</f>
        <v>17.5</v>
      </c>
      <c r="AH93" s="12">
        <f t="array" ref="AH93">INDEX(AG:AG,MIN(IF(ISNUMBER(AG93:AG289),ROW(AG93:AG289),"")))</f>
        <v>17.5</v>
      </c>
      <c r="AI93" s="13">
        <f>IF('Données projet'!$A$62&gt;35,AI92+AH93-AQ92,IF(A93&lt;'Données projet'!$A$62,$AF$205^A93,IF(A93='Données projet'!$A$62,'Données projet'!$B$62,AI92+AH93-AQ92)))</f>
        <v>624.59999999999991</v>
      </c>
      <c r="AJ93" s="13">
        <f>AI93*VLOOKUP('Données projet'!$B$10,Paramètres!$A$1:$I$89,3,0)*VLOOKUP('Données projet'!$B$10,Paramètres!$A$1:$I$89,5,0)</f>
        <v>292.31279999999998</v>
      </c>
      <c r="AK93" s="13">
        <f t="shared" si="89"/>
        <v>69.562504549179678</v>
      </c>
      <c r="AL93" s="20">
        <f t="shared" si="58"/>
        <v>630.26615542315449</v>
      </c>
      <c r="AM93" s="59">
        <f t="shared" si="59"/>
        <v>923.59948875648774</v>
      </c>
      <c r="AN93" s="59">
        <f ca="1">AVERAGE(OFFSET($AM$3,0,0,'Données projet'!$E$10+1,1))-AVERAGE(OFFSET($H$3,0,0,'Données projet'!$E$10+1,1))</f>
        <v>215.23235148064941</v>
      </c>
      <c r="AO93" s="59">
        <f t="shared" si="90"/>
        <v>184.07239726900434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83.4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0.95527444320937926</v>
      </c>
      <c r="AV93" s="21">
        <f>EXP(-LN(2)/25)*AV92+(1-EXP(-LN(2)/25))/(LN(2)/25)*Calculateur!AQ93*Calculateur!AS93*VLOOKUP('Données projet'!$B$10,Paramètres!$A$1:$I$89,3,0)*0.475*44/12</f>
        <v>1.4883321823724296</v>
      </c>
      <c r="AW93" s="21">
        <f>EXP(-LN(2)/2)*AW92+(1-EXP(-LN(2)/2))/(LN(2)/2)*AQ93*AT93*VLOOKUP('Données projet'!$B$10,Paramètres!$A$1:$I$89,3,0)*0.475*44/12</f>
        <v>9.1569279137030168E-9</v>
      </c>
      <c r="AX93" s="21">
        <f t="shared" si="60"/>
        <v>2.4436066347387371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261.27638267284169</v>
      </c>
      <c r="BJ93" s="59">
        <f t="shared" si="92"/>
        <v>297.50513563712764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2.5428576979073201</v>
      </c>
      <c r="BQ93" s="21">
        <f>EXP(-LN(2)/25)*BQ92+(1-EXP(-LN(2)/25))/(LN(2)/25)*Calculateur!BL93*Calculateur!BN93*VLOOKUP('Données projet'!$B$11,Paramètres!$A$1:$I$89,3,0)*0.475*44/12</f>
        <v>5.2803525242858926</v>
      </c>
      <c r="BR93" s="21">
        <f>EXP(-LN(2)/2)*BR92+(1-EXP(-LN(2)/2))/(LN(2)/2)*BL93*BO93*VLOOKUP('Données projet'!$B$11,Paramètres!$A$1:$I$89,3,0)*0.475*44/12</f>
        <v>2.2725380153313167E-8</v>
      </c>
      <c r="BS93" s="22">
        <f t="shared" si="63"/>
        <v>7.8232102449185925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-1.1368683772161603E-13</v>
      </c>
      <c r="BZ93" s="13">
        <f>BY93*VLOOKUP('Données projet'!$B$12,Paramètres!$A$1:$I$89,3,0)*VLOOKUP('Données projet'!$B$12,Paramètres!$A$1:$I$89,5,0)</f>
        <v>-6.7984728957526396E-14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314.69202393413491</v>
      </c>
      <c r="CE93" s="59">
        <f t="shared" si="94"/>
        <v>321.1728368524748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1.0661460660496838</v>
      </c>
      <c r="CL93" s="21">
        <f>EXP(-LN(2)/25)*CL92+(1-EXP(-LN(2)/25))/(LN(2)/25)*Calculateur!CG93*Calculateur!CI93*VLOOKUP('Données projet'!$B$12,Paramètres!$A$1:$I$89,3,0)*0.475*44/12</f>
        <v>4.0431205473386003</v>
      </c>
      <c r="CM93" s="21">
        <f>EXP(-LN(2)/2)*CM92+(1-EXP(-LN(2)/2))/(LN(2)/2)*CG93*CJ93*VLOOKUP('Données projet'!$B$12,Paramètres!$A$1:$I$89,3,0)*0.475*44/12</f>
        <v>2.8222179148503593E-8</v>
      </c>
      <c r="CN93" s="22">
        <f t="shared" si="66"/>
        <v>5.1092666416104633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-1.2505552149377763E-12</v>
      </c>
      <c r="O94" s="13">
        <f>N94*VLOOKUP('Données projet'!$B$9,Paramètres!$A$1:$I$89,3,0)*VLOOKUP('Données projet'!$B$9,Paramètres!$A$1:$I$89,5,0)</f>
        <v>-6.9906036515021697E-13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415.91544298418842</v>
      </c>
      <c r="T94" s="59">
        <f t="shared" si="88"/>
        <v>422.79312683312583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3.4119967357227603</v>
      </c>
      <c r="AA94" s="21">
        <f>EXP(-LN(2)/25)*AA93+(1-EXP(-LN(2)/25))/(LN(2)/25)*Calculateur!V94*Calculateur!X94*VLOOKUP('Données projet'!$B$9,Paramètres!$A$1:$I$89,3,0)*0.475*44/12</f>
        <v>7.1427256497854623</v>
      </c>
      <c r="AB94" s="21">
        <f>EXP(-LN(2)/2)*AB93+(1-EXP(-LN(2)/2))/(LN(2)/2)*V94*Y94*VLOOKUP('Données projet'!$B$9,Paramètres!$A$1:$I$89,3,0)*0.475*44/12</f>
        <v>2.401836374760012E-8</v>
      </c>
      <c r="AC94" s="22">
        <f t="shared" si="57"/>
        <v>10.554722409526587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18.5</v>
      </c>
      <c r="AI94" s="13">
        <f>IF('Données projet'!$A$62&gt;35,AI93+AH94-AQ93,IF(A94&lt;'Données projet'!$A$62,$AF$205^A94,IF(A94='Données projet'!$A$62,'Données projet'!$B$62,AI93+AH94-AQ93)))</f>
        <v>559.69999999999993</v>
      </c>
      <c r="AJ94" s="13">
        <f>AI94*VLOOKUP('Données projet'!$B$10,Paramètres!$A$1:$I$89,3,0)*VLOOKUP('Données projet'!$B$10,Paramètres!$A$1:$I$89,5,0)</f>
        <v>261.93959999999998</v>
      </c>
      <c r="AK94" s="13">
        <f t="shared" si="89"/>
        <v>63.135643285567426</v>
      </c>
      <c r="AL94" s="20">
        <f t="shared" si="58"/>
        <v>566.1727153890298</v>
      </c>
      <c r="AM94" s="59">
        <f t="shared" si="59"/>
        <v>859.50604872236318</v>
      </c>
      <c r="AN94" s="59">
        <f ca="1">AVERAGE(OFFSET($AM$3,0,0,'Données projet'!$E$10+1,1))-AVERAGE(OFFSET($H$3,0,0,'Données projet'!$E$10+1,1))</f>
        <v>215.23235148064941</v>
      </c>
      <c r="AO94" s="59">
        <f t="shared" si="90"/>
        <v>184.07239726900434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0.93654209403792077</v>
      </c>
      <c r="AV94" s="21">
        <f>EXP(-LN(2)/25)*AV93+(1-EXP(-LN(2)/25))/(LN(2)/25)*Calculateur!AQ94*Calculateur!AS94*VLOOKUP('Données projet'!$B$10,Paramètres!$A$1:$I$89,3,0)*0.475*44/12</f>
        <v>1.4476336605774676</v>
      </c>
      <c r="AW94" s="21">
        <f>EXP(-LN(2)/2)*AW93+(1-EXP(-LN(2)/2))/(LN(2)/2)*AQ94*AT94*VLOOKUP('Données projet'!$B$10,Paramètres!$A$1:$I$89,3,0)*0.475*44/12</f>
        <v>6.4749258226157884E-9</v>
      </c>
      <c r="AX94" s="21">
        <f t="shared" si="60"/>
        <v>2.3841757610903143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261.27638267284169</v>
      </c>
      <c r="BJ94" s="59">
        <f t="shared" si="92"/>
        <v>297.50513563712764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2.4929938094414057</v>
      </c>
      <c r="BQ94" s="21">
        <f>EXP(-LN(2)/25)*BQ93+(1-EXP(-LN(2)/25))/(LN(2)/25)*Calculateur!BL94*Calculateur!BN94*VLOOKUP('Données projet'!$B$11,Paramètres!$A$1:$I$89,3,0)*0.475*44/12</f>
        <v>5.1359610068276238</v>
      </c>
      <c r="BR94" s="21">
        <f>EXP(-LN(2)/2)*BR93+(1-EXP(-LN(2)/2))/(LN(2)/2)*BL94*BO94*VLOOKUP('Données projet'!$B$11,Paramètres!$A$1:$I$89,3,0)*0.475*44/12</f>
        <v>1.6069270411449923E-8</v>
      </c>
      <c r="BS94" s="22">
        <f t="shared" si="63"/>
        <v>7.6289548323382999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-1.1368683772161603E-13</v>
      </c>
      <c r="BZ94" s="13">
        <f>BY94*VLOOKUP('Données projet'!$B$12,Paramètres!$A$1:$I$89,3,0)*VLOOKUP('Données projet'!$B$12,Paramètres!$A$1:$I$89,5,0)</f>
        <v>-6.7984728957526396E-14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314.69202393413491</v>
      </c>
      <c r="CE94" s="59">
        <f t="shared" si="94"/>
        <v>321.1728368524748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1.0452395919793394</v>
      </c>
      <c r="CL94" s="21">
        <f>EXP(-LN(2)/25)*CL93+(1-EXP(-LN(2)/25))/(LN(2)/25)*Calculateur!CG94*Calculateur!CI94*VLOOKUP('Données projet'!$B$12,Paramètres!$A$1:$I$89,3,0)*0.475*44/12</f>
        <v>3.9325612033531572</v>
      </c>
      <c r="CM94" s="21">
        <f>EXP(-LN(2)/2)*CM93+(1-EXP(-LN(2)/2))/(LN(2)/2)*CG94*CJ94*VLOOKUP('Données projet'!$B$12,Paramètres!$A$1:$I$89,3,0)*0.475*44/12</f>
        <v>1.9956094255768474E-8</v>
      </c>
      <c r="CN94" s="22">
        <f t="shared" si="66"/>
        <v>4.9778008152885915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-1.2505552149377763E-12</v>
      </c>
      <c r="O95" s="13">
        <f>N95*VLOOKUP('Données projet'!$B$9,Paramètres!$A$1:$I$89,3,0)*VLOOKUP('Données projet'!$B$9,Paramètres!$A$1:$I$89,5,0)</f>
        <v>-6.9906036515021697E-13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415.91544298418842</v>
      </c>
      <c r="T95" s="59">
        <f t="shared" si="88"/>
        <v>422.79312683312583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3.3450895608477529</v>
      </c>
      <c r="AA95" s="21">
        <f>EXP(-LN(2)/25)*AA94+(1-EXP(-LN(2)/25))/(LN(2)/25)*Calculateur!V95*Calculateur!X95*VLOOKUP('Données projet'!$B$9,Paramètres!$A$1:$I$89,3,0)*0.475*44/12</f>
        <v>6.9474074412724622</v>
      </c>
      <c r="AB95" s="21">
        <f>EXP(-LN(2)/2)*AB94+(1-EXP(-LN(2)/2))/(LN(2)/2)*V95*Y95*VLOOKUP('Données projet'!$B$9,Paramètres!$A$1:$I$89,3,0)*0.475*44/12</f>
        <v>1.6983547878933184E-8</v>
      </c>
      <c r="AC95" s="22">
        <f t="shared" si="57"/>
        <v>10.292497019103761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18.5</v>
      </c>
      <c r="AI95" s="13">
        <f>IF('Données projet'!$A$62&gt;35,AI94+AH95-AQ94,IF(A95&lt;'Données projet'!$A$62,$AF$205^A95,IF(A95='Données projet'!$A$62,'Données projet'!$B$62,AI94+AH95-AQ94)))</f>
        <v>578.19999999999993</v>
      </c>
      <c r="AJ95" s="13">
        <f>AI95*VLOOKUP('Données projet'!$B$10,Paramètres!$A$1:$I$89,3,0)*VLOOKUP('Données projet'!$B$10,Paramètres!$A$1:$I$89,5,0)</f>
        <v>270.59759999999994</v>
      </c>
      <c r="AK95" s="13">
        <f t="shared" si="89"/>
        <v>64.976078766498532</v>
      </c>
      <c r="AL95" s="20">
        <f t="shared" si="58"/>
        <v>584.45749051831808</v>
      </c>
      <c r="AM95" s="59">
        <f t="shared" si="59"/>
        <v>877.79082385165134</v>
      </c>
      <c r="AN95" s="59">
        <f ca="1">AVERAGE(OFFSET($AM$3,0,0,'Données projet'!$E$10+1,1))-AVERAGE(OFFSET($H$3,0,0,'Données projet'!$E$10+1,1))</f>
        <v>215.23235148064941</v>
      </c>
      <c r="AO95" s="59">
        <f t="shared" si="90"/>
        <v>184.07239726900434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0.91817707480810984</v>
      </c>
      <c r="AV95" s="21">
        <f>EXP(-LN(2)/25)*AV94+(1-EXP(-LN(2)/25))/(LN(2)/25)*Calculateur!AQ95*Calculateur!AS95*VLOOKUP('Données projet'!$B$10,Paramètres!$A$1:$I$89,3,0)*0.475*44/12</f>
        <v>1.4080480420012311</v>
      </c>
      <c r="AW95" s="21">
        <f>EXP(-LN(2)/2)*AW94+(1-EXP(-LN(2)/2))/(LN(2)/2)*AQ95*AT95*VLOOKUP('Données projet'!$B$10,Paramètres!$A$1:$I$89,3,0)*0.475*44/12</f>
        <v>4.5784639568515084E-9</v>
      </c>
      <c r="AX95" s="21">
        <f t="shared" si="60"/>
        <v>2.3262251213878047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261.27638267284169</v>
      </c>
      <c r="BJ95" s="59">
        <f t="shared" si="92"/>
        <v>297.50513563712764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2.4441077214143392</v>
      </c>
      <c r="BQ95" s="21">
        <f>EXP(-LN(2)/25)*BQ94+(1-EXP(-LN(2)/25))/(LN(2)/25)*Calculateur!BL95*Calculateur!BN95*VLOOKUP('Données projet'!$B$11,Paramètres!$A$1:$I$89,3,0)*0.475*44/12</f>
        <v>4.9955178830074711</v>
      </c>
      <c r="BR95" s="21">
        <f>EXP(-LN(2)/2)*BR94+(1-EXP(-LN(2)/2))/(LN(2)/2)*BL95*BO95*VLOOKUP('Données projet'!$B$11,Paramètres!$A$1:$I$89,3,0)*0.475*44/12</f>
        <v>1.1362690076656584E-8</v>
      </c>
      <c r="BS95" s="22">
        <f t="shared" si="63"/>
        <v>7.4396256157845002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-1.1368683772161603E-13</v>
      </c>
      <c r="BZ95" s="13">
        <f>BY95*VLOOKUP('Données projet'!$B$12,Paramètres!$A$1:$I$89,3,0)*VLOOKUP('Données projet'!$B$12,Paramètres!$A$1:$I$89,5,0)</f>
        <v>-6.7984728957526396E-14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314.69202393413491</v>
      </c>
      <c r="CE95" s="59">
        <f t="shared" si="94"/>
        <v>321.1728368524748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1.0247430811138245</v>
      </c>
      <c r="CL95" s="21">
        <f>EXP(-LN(2)/25)*CL94+(1-EXP(-LN(2)/25))/(LN(2)/25)*Calculateur!CG95*Calculateur!CI95*VLOOKUP('Données projet'!$B$12,Paramètres!$A$1:$I$89,3,0)*0.475*44/12</f>
        <v>3.8250251104430593</v>
      </c>
      <c r="CM95" s="21">
        <f>EXP(-LN(2)/2)*CM94+(1-EXP(-LN(2)/2))/(LN(2)/2)*CG95*CJ95*VLOOKUP('Données projet'!$B$12,Paramètres!$A$1:$I$89,3,0)*0.475*44/12</f>
        <v>1.4111089574251797E-8</v>
      </c>
      <c r="CN95" s="22">
        <f t="shared" si="66"/>
        <v>4.8497682056679725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-1.2505552149377763E-12</v>
      </c>
      <c r="O96" s="13">
        <f>N96*VLOOKUP('Données projet'!$B$9,Paramètres!$A$1:$I$89,3,0)*VLOOKUP('Données projet'!$B$9,Paramètres!$A$1:$I$89,5,0)</f>
        <v>-6.9906036515021697E-13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415.91544298418842</v>
      </c>
      <c r="T96" s="59">
        <f t="shared" si="88"/>
        <v>422.79312683312583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3.2794943948626973</v>
      </c>
      <c r="AA96" s="21">
        <f>EXP(-LN(2)/25)*AA95+(1-EXP(-LN(2)/25))/(LN(2)/25)*Calculateur!V96*Calculateur!X96*VLOOKUP('Données projet'!$B$9,Paramètres!$A$1:$I$89,3,0)*0.475*44/12</f>
        <v>6.7574302194425879</v>
      </c>
      <c r="AB96" s="21">
        <f>EXP(-LN(2)/2)*AB95+(1-EXP(-LN(2)/2))/(LN(2)/2)*V96*Y96*VLOOKUP('Données projet'!$B$9,Paramètres!$A$1:$I$89,3,0)*0.475*44/12</f>
        <v>1.200918187380006E-8</v>
      </c>
      <c r="AC96" s="22">
        <f t="shared" si="57"/>
        <v>10.036924626314466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18.5</v>
      </c>
      <c r="AI96" s="13">
        <f>IF('Données projet'!$A$62&gt;35,AI95+AH96-AQ95,IF(A96&lt;'Données projet'!$A$62,$AF$205^A96,IF(A96='Données projet'!$A$62,'Données projet'!$B$62,AI95+AH96-AQ95)))</f>
        <v>596.69999999999993</v>
      </c>
      <c r="AJ96" s="13">
        <f>AI96*VLOOKUP('Données projet'!$B$10,Paramètres!$A$1:$I$89,3,0)*VLOOKUP('Données projet'!$B$10,Paramètres!$A$1:$I$89,5,0)</f>
        <v>279.25559999999996</v>
      </c>
      <c r="AK96" s="13">
        <f t="shared" si="89"/>
        <v>66.809671397146161</v>
      </c>
      <c r="AL96" s="20">
        <f t="shared" si="58"/>
        <v>602.73034768336277</v>
      </c>
      <c r="AM96" s="59">
        <f t="shared" si="59"/>
        <v>896.06368101669614</v>
      </c>
      <c r="AN96" s="59">
        <f ca="1">AVERAGE(OFFSET($AM$3,0,0,'Données projet'!$E$10+1,1))-AVERAGE(OFFSET($H$3,0,0,'Données projet'!$E$10+1,1))</f>
        <v>215.23235148064941</v>
      </c>
      <c r="AO96" s="59">
        <f t="shared" si="90"/>
        <v>184.07239726900434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0.90017218240383978</v>
      </c>
      <c r="AV96" s="21">
        <f>EXP(-LN(2)/25)*AV95+(1-EXP(-LN(2)/25))/(LN(2)/25)*Calculateur!AQ96*Calculateur!AS96*VLOOKUP('Données projet'!$B$10,Paramètres!$A$1:$I$89,3,0)*0.475*44/12</f>
        <v>1.369544894246679</v>
      </c>
      <c r="AW96" s="21">
        <f>EXP(-LN(2)/2)*AW95+(1-EXP(-LN(2)/2))/(LN(2)/2)*AQ96*AT96*VLOOKUP('Données projet'!$B$10,Paramètres!$A$1:$I$89,3,0)*0.475*44/12</f>
        <v>3.2374629113078942E-9</v>
      </c>
      <c r="AX96" s="21">
        <f t="shared" si="60"/>
        <v>2.2697170798879815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261.27638267284169</v>
      </c>
      <c r="BJ96" s="59">
        <f t="shared" si="92"/>
        <v>297.50513563712764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2.3961802597559139</v>
      </c>
      <c r="BQ96" s="21">
        <f>EXP(-LN(2)/25)*BQ95+(1-EXP(-LN(2)/25))/(LN(2)/25)*Calculateur!BL96*Calculateur!BN96*VLOOKUP('Données projet'!$B$11,Paramètres!$A$1:$I$89,3,0)*0.475*44/12</f>
        <v>4.8589151837937639</v>
      </c>
      <c r="BR96" s="21">
        <f>EXP(-LN(2)/2)*BR95+(1-EXP(-LN(2)/2))/(LN(2)/2)*BL96*BO96*VLOOKUP('Données projet'!$B$11,Paramètres!$A$1:$I$89,3,0)*0.475*44/12</f>
        <v>8.0346352057249617E-9</v>
      </c>
      <c r="BS96" s="22">
        <f t="shared" si="63"/>
        <v>7.2550954515843129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-1.1368683772161603E-13</v>
      </c>
      <c r="BZ96" s="13">
        <f>BY96*VLOOKUP('Données projet'!$B$12,Paramètres!$A$1:$I$89,3,0)*VLOOKUP('Données projet'!$B$12,Paramètres!$A$1:$I$89,5,0)</f>
        <v>-6.7984728957526396E-14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314.69202393413491</v>
      </c>
      <c r="CE96" s="59">
        <f t="shared" si="94"/>
        <v>321.1728368524748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1.0046484943247451</v>
      </c>
      <c r="CL96" s="21">
        <f>EXP(-LN(2)/25)*CL95+(1-EXP(-LN(2)/25))/(LN(2)/25)*Calculateur!CG96*Calculateur!CI96*VLOOKUP('Données projet'!$B$12,Paramètres!$A$1:$I$89,3,0)*0.475*44/12</f>
        <v>3.7204295976486654</v>
      </c>
      <c r="CM96" s="21">
        <f>EXP(-LN(2)/2)*CM95+(1-EXP(-LN(2)/2))/(LN(2)/2)*CG96*CJ96*VLOOKUP('Données projet'!$B$12,Paramètres!$A$1:$I$89,3,0)*0.475*44/12</f>
        <v>9.9780471278842371E-9</v>
      </c>
      <c r="CN96" s="22">
        <f t="shared" si="66"/>
        <v>4.7250781019514569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-1.2505552149377763E-12</v>
      </c>
      <c r="O97" s="13">
        <f>N97*VLOOKUP('Données projet'!$B$9,Paramètres!$A$1:$I$89,3,0)*VLOOKUP('Données projet'!$B$9,Paramètres!$A$1:$I$89,5,0)</f>
        <v>-6.9906036515021697E-13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415.91544298418842</v>
      </c>
      <c r="T97" s="59">
        <f t="shared" si="88"/>
        <v>422.79312683312583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3.2151855100735083</v>
      </c>
      <c r="AA97" s="21">
        <f>EXP(-LN(2)/25)*AA96+(1-EXP(-LN(2)/25))/(LN(2)/25)*Calculateur!V97*Calculateur!X97*VLOOKUP('Données projet'!$B$9,Paramètres!$A$1:$I$89,3,0)*0.475*44/12</f>
        <v>6.5726479347341193</v>
      </c>
      <c r="AB97" s="21">
        <f>EXP(-LN(2)/2)*AB96+(1-EXP(-LN(2)/2))/(LN(2)/2)*V97*Y97*VLOOKUP('Données projet'!$B$9,Paramètres!$A$1:$I$89,3,0)*0.475*44/12</f>
        <v>8.4917739394665919E-9</v>
      </c>
      <c r="AC97" s="22">
        <f t="shared" si="57"/>
        <v>9.7878334532994025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18.5</v>
      </c>
      <c r="AI97" s="13">
        <f>IF('Données projet'!$A$62&gt;35,AI96+AH97-AQ96,IF(A97&lt;'Données projet'!$A$62,$AF$205^A97,IF(A97='Données projet'!$A$62,'Données projet'!$B$62,AI96+AH97-AQ96)))</f>
        <v>615.19999999999993</v>
      </c>
      <c r="AJ97" s="13">
        <f>AI97*VLOOKUP('Données projet'!$B$10,Paramètres!$A$1:$I$89,3,0)*VLOOKUP('Données projet'!$B$10,Paramètres!$A$1:$I$89,5,0)</f>
        <v>287.91359999999997</v>
      </c>
      <c r="AK97" s="13">
        <f t="shared" si="89"/>
        <v>68.636657677063752</v>
      </c>
      <c r="AL97" s="20">
        <f t="shared" si="58"/>
        <v>620.99169878755254</v>
      </c>
      <c r="AM97" s="59">
        <f t="shared" si="59"/>
        <v>914.32503212088591</v>
      </c>
      <c r="AN97" s="59">
        <f ca="1">AVERAGE(OFFSET($AM$3,0,0,'Données projet'!$E$10+1,1))-AVERAGE(OFFSET($H$3,0,0,'Données projet'!$E$10+1,1))</f>
        <v>215.23235148064941</v>
      </c>
      <c r="AO97" s="59">
        <f t="shared" si="90"/>
        <v>184.07239726900434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0.88252035495771752</v>
      </c>
      <c r="AV97" s="21">
        <f>EXP(-LN(2)/25)*AV96+(1-EXP(-LN(2)/25))/(LN(2)/25)*Calculateur!AQ97*Calculateur!AS97*VLOOKUP('Données projet'!$B$10,Paramètres!$A$1:$I$89,3,0)*0.475*44/12</f>
        <v>1.3320946170922678</v>
      </c>
      <c r="AW97" s="21">
        <f>EXP(-LN(2)/2)*AW96+(1-EXP(-LN(2)/2))/(LN(2)/2)*AQ97*AT97*VLOOKUP('Données projet'!$B$10,Paramètres!$A$1:$I$89,3,0)*0.475*44/12</f>
        <v>2.2892319784257542E-9</v>
      </c>
      <c r="AX97" s="21">
        <f t="shared" si="60"/>
        <v>2.2146149743392174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261.27638267284169</v>
      </c>
      <c r="BJ97" s="59">
        <f t="shared" si="92"/>
        <v>297.50513563712764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2.3491926263877452</v>
      </c>
      <c r="BQ97" s="21">
        <f>EXP(-LN(2)/25)*BQ96+(1-EXP(-LN(2)/25))/(LN(2)/25)*Calculateur!BL97*Calculateur!BN97*VLOOKUP('Données projet'!$B$11,Paramètres!$A$1:$I$89,3,0)*0.475*44/12</f>
        <v>4.7260478925736793</v>
      </c>
      <c r="BR97" s="21">
        <f>EXP(-LN(2)/2)*BR96+(1-EXP(-LN(2)/2))/(LN(2)/2)*BL97*BO97*VLOOKUP('Données projet'!$B$11,Paramètres!$A$1:$I$89,3,0)*0.475*44/12</f>
        <v>5.6813450383282918E-9</v>
      </c>
      <c r="BS97" s="22">
        <f t="shared" si="63"/>
        <v>7.0752405246427692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-1.1368683772161603E-13</v>
      </c>
      <c r="BZ97" s="13">
        <f>BY97*VLOOKUP('Données projet'!$B$12,Paramètres!$A$1:$I$89,3,0)*VLOOKUP('Données projet'!$B$12,Paramètres!$A$1:$I$89,5,0)</f>
        <v>-6.7984728957526396E-14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314.69202393413491</v>
      </c>
      <c r="CE97" s="59">
        <f t="shared" si="94"/>
        <v>321.1728368524748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0.98494795012611192</v>
      </c>
      <c r="CL97" s="21">
        <f>EXP(-LN(2)/25)*CL96+(1-EXP(-LN(2)/25))/(LN(2)/25)*Calculateur!CG97*Calculateur!CI97*VLOOKUP('Données projet'!$B$12,Paramètres!$A$1:$I$89,3,0)*0.475*44/12</f>
        <v>3.6186942546520733</v>
      </c>
      <c r="CM97" s="21">
        <f>EXP(-LN(2)/2)*CM96+(1-EXP(-LN(2)/2))/(LN(2)/2)*CG97*CJ97*VLOOKUP('Données projet'!$B$12,Paramètres!$A$1:$I$89,3,0)*0.475*44/12</f>
        <v>7.0555447871258984E-9</v>
      </c>
      <c r="CN97" s="22">
        <f t="shared" si="66"/>
        <v>4.6036422118337299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-1.2505552149377763E-12</v>
      </c>
      <c r="O98" s="13">
        <f>N98*VLOOKUP('Données projet'!$B$9,Paramètres!$A$1:$I$89,3,0)*VLOOKUP('Données projet'!$B$9,Paramètres!$A$1:$I$89,5,0)</f>
        <v>-6.9906036515021697E-13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415.91544298418842</v>
      </c>
      <c r="T98" s="59">
        <f t="shared" si="88"/>
        <v>422.79312683312583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3.1521376832904884</v>
      </c>
      <c r="AA98" s="21">
        <f>EXP(-LN(2)/25)*AA97+(1-EXP(-LN(2)/25))/(LN(2)/25)*Calculateur!V98*Calculateur!X98*VLOOKUP('Données projet'!$B$9,Paramètres!$A$1:$I$89,3,0)*0.475*44/12</f>
        <v>6.3929185313182817</v>
      </c>
      <c r="AB98" s="21">
        <f>EXP(-LN(2)/2)*AB97+(1-EXP(-LN(2)/2))/(LN(2)/2)*V98*Y98*VLOOKUP('Données projet'!$B$9,Paramètres!$A$1:$I$89,3,0)*0.475*44/12</f>
        <v>6.0045909369000301E-9</v>
      </c>
      <c r="AC98" s="22">
        <f t="shared" si="57"/>
        <v>9.5450562206133611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18.5</v>
      </c>
      <c r="AI98" s="13">
        <f>IF('Données projet'!$A$62&gt;35,AI97+AH98-AQ97,IF(A98&lt;'Données projet'!$A$62,$AF$205^A98,IF(A98='Données projet'!$A$62,'Données projet'!$B$62,AI97+AH98-AQ97)))</f>
        <v>633.69999999999993</v>
      </c>
      <c r="AJ98" s="13">
        <f>AI98*VLOOKUP('Données projet'!$B$10,Paramètres!$A$1:$I$89,3,0)*VLOOKUP('Données projet'!$B$10,Paramètres!$A$1:$I$89,5,0)</f>
        <v>296.57159999999999</v>
      </c>
      <c r="AK98" s="13">
        <f t="shared" si="89"/>
        <v>70.457259073622822</v>
      </c>
      <c r="AL98" s="20">
        <f t="shared" si="58"/>
        <v>639.24192955322633</v>
      </c>
      <c r="AM98" s="59">
        <f t="shared" si="59"/>
        <v>932.57526288655959</v>
      </c>
      <c r="AN98" s="59">
        <f ca="1">AVERAGE(OFFSET($AM$3,0,0,'Données projet'!$E$10+1,1))-AVERAGE(OFFSET($H$3,0,0,'Données projet'!$E$10+1,1))</f>
        <v>215.23235148064941</v>
      </c>
      <c r="AO98" s="59">
        <f t="shared" si="90"/>
        <v>184.07239726900434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0.8652146690812621</v>
      </c>
      <c r="AV98" s="21">
        <f>EXP(-LN(2)/25)*AV97+(1-EXP(-LN(2)/25))/(LN(2)/25)*Calculateur!AQ98*Calculateur!AS98*VLOOKUP('Données projet'!$B$10,Paramètres!$A$1:$I$89,3,0)*0.475*44/12</f>
        <v>1.2956684197360684</v>
      </c>
      <c r="AW98" s="21">
        <f>EXP(-LN(2)/2)*AW97+(1-EXP(-LN(2)/2))/(LN(2)/2)*AQ98*AT98*VLOOKUP('Données projet'!$B$10,Paramètres!$A$1:$I$89,3,0)*0.475*44/12</f>
        <v>1.6187314556539471E-9</v>
      </c>
      <c r="AX98" s="21">
        <f t="shared" si="60"/>
        <v>2.1608830904360619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261.27638267284169</v>
      </c>
      <c r="BJ98" s="59">
        <f t="shared" si="92"/>
        <v>297.50513563712764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2.3031263918503</v>
      </c>
      <c r="BQ98" s="21">
        <f>EXP(-LN(2)/25)*BQ97+(1-EXP(-LN(2)/25))/(LN(2)/25)*Calculateur!BL98*Calculateur!BN98*VLOOKUP('Données projet'!$B$11,Paramètres!$A$1:$I$89,3,0)*0.475*44/12</f>
        <v>4.5968138644191949</v>
      </c>
      <c r="BR98" s="21">
        <f>EXP(-LN(2)/2)*BR97+(1-EXP(-LN(2)/2))/(LN(2)/2)*BL98*BO98*VLOOKUP('Données projet'!$B$11,Paramètres!$A$1:$I$89,3,0)*0.475*44/12</f>
        <v>4.0173176028624808E-9</v>
      </c>
      <c r="BS98" s="22">
        <f t="shared" si="63"/>
        <v>6.8999402602868134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-1.1368683772161603E-13</v>
      </c>
      <c r="BZ98" s="13">
        <f>BY98*VLOOKUP('Données projet'!$B$12,Paramètres!$A$1:$I$89,3,0)*VLOOKUP('Données projet'!$B$12,Paramètres!$A$1:$I$89,5,0)</f>
        <v>-6.7984728957526396E-14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314.69202393413491</v>
      </c>
      <c r="CE98" s="59">
        <f t="shared" si="94"/>
        <v>321.1728368524748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0.96563372158306837</v>
      </c>
      <c r="CL98" s="21">
        <f>EXP(-LN(2)/25)*CL97+(1-EXP(-LN(2)/25))/(LN(2)/25)*Calculateur!CG98*Calculateur!CI98*VLOOKUP('Données projet'!$B$12,Paramètres!$A$1:$I$89,3,0)*0.475*44/12</f>
        <v>3.5197408699597523</v>
      </c>
      <c r="CM98" s="21">
        <f>EXP(-LN(2)/2)*CM97+(1-EXP(-LN(2)/2))/(LN(2)/2)*CG98*CJ98*VLOOKUP('Données projet'!$B$12,Paramètres!$A$1:$I$89,3,0)*0.475*44/12</f>
        <v>4.9890235639421186E-9</v>
      </c>
      <c r="CN98" s="22">
        <f t="shared" si="66"/>
        <v>4.4853745965318437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-1.2505552149377763E-12</v>
      </c>
      <c r="O99" s="13">
        <f>N99*VLOOKUP('Données projet'!$B$9,Paramètres!$A$1:$I$89,3,0)*VLOOKUP('Données projet'!$B$9,Paramètres!$A$1:$I$89,5,0)</f>
        <v>-6.9906036515021697E-13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415.91544298418842</v>
      </c>
      <c r="T99" s="59">
        <f t="shared" si="88"/>
        <v>422.79312683312583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3.0903261859353064</v>
      </c>
      <c r="AA99" s="21">
        <f>EXP(-LN(2)/25)*AA98+(1-EXP(-LN(2)/25))/(LN(2)/25)*Calculateur!V99*Calculateur!X99*VLOOKUP('Données projet'!$B$9,Paramètres!$A$1:$I$89,3,0)*0.475*44/12</f>
        <v>6.2181038378904088</v>
      </c>
      <c r="AB99" s="21">
        <f>EXP(-LN(2)/2)*AB98+(1-EXP(-LN(2)/2))/(LN(2)/2)*V99*Y99*VLOOKUP('Données projet'!$B$9,Paramètres!$A$1:$I$89,3,0)*0.475*44/12</f>
        <v>4.2458869697332959E-9</v>
      </c>
      <c r="AC99" s="22">
        <f t="shared" si="57"/>
        <v>9.3084300280716015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18.5</v>
      </c>
      <c r="AI99" s="13">
        <f>IF('Données projet'!$A$62&gt;35,AI98+AH99-AQ98,IF(A99&lt;'Données projet'!$A$62,$AF$205^A99,IF(A99='Données projet'!$A$62,'Données projet'!$B$62,AI98+AH99-AQ98)))</f>
        <v>652.19999999999993</v>
      </c>
      <c r="AJ99" s="13">
        <f>AI99*VLOOKUP('Données projet'!$B$10,Paramètres!$A$1:$I$89,3,0)*VLOOKUP('Données projet'!$B$10,Paramètres!$A$1:$I$89,5,0)</f>
        <v>305.22959999999995</v>
      </c>
      <c r="AK99" s="13">
        <f t="shared" si="89"/>
        <v>72.271683388093081</v>
      </c>
      <c r="AL99" s="20">
        <f t="shared" si="58"/>
        <v>657.48140190092874</v>
      </c>
      <c r="AM99" s="59">
        <f t="shared" si="59"/>
        <v>950.81473523426212</v>
      </c>
      <c r="AN99" s="59">
        <f ca="1">AVERAGE(OFFSET($AM$3,0,0,'Données projet'!$E$10+1,1))-AVERAGE(OFFSET($H$3,0,0,'Données projet'!$E$10+1,1))</f>
        <v>215.23235148064941</v>
      </c>
      <c r="AO99" s="59">
        <f t="shared" si="90"/>
        <v>184.07239726900434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0.84824833714941783</v>
      </c>
      <c r="AV99" s="21">
        <f>EXP(-LN(2)/25)*AV98+(1-EXP(-LN(2)/25))/(LN(2)/25)*Calculateur!AQ99*Calculateur!AS99*VLOOKUP('Données projet'!$B$10,Paramètres!$A$1:$I$89,3,0)*0.475*44/12</f>
        <v>1.2602382986621448</v>
      </c>
      <c r="AW99" s="21">
        <f>EXP(-LN(2)/2)*AW98+(1-EXP(-LN(2)/2))/(LN(2)/2)*AQ99*AT99*VLOOKUP('Données projet'!$B$10,Paramètres!$A$1:$I$89,3,0)*0.475*44/12</f>
        <v>1.1446159892128771E-9</v>
      </c>
      <c r="AX99" s="21">
        <f t="shared" si="60"/>
        <v>2.1084866369561786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261.27638267284169</v>
      </c>
      <c r="BJ99" s="59">
        <f t="shared" si="92"/>
        <v>297.50513563712764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2.2579634880745054</v>
      </c>
      <c r="BQ99" s="21">
        <f>EXP(-LN(2)/25)*BQ98+(1-EXP(-LN(2)/25))/(LN(2)/25)*Calculateur!BL99*Calculateur!BN99*VLOOKUP('Données projet'!$B$11,Paramètres!$A$1:$I$89,3,0)*0.475*44/12</f>
        <v>4.4711137475607172</v>
      </c>
      <c r="BR99" s="21">
        <f>EXP(-LN(2)/2)*BR98+(1-EXP(-LN(2)/2))/(LN(2)/2)*BL99*BO99*VLOOKUP('Données projet'!$B$11,Paramètres!$A$1:$I$89,3,0)*0.475*44/12</f>
        <v>2.8406725191641459E-9</v>
      </c>
      <c r="BS99" s="22">
        <f t="shared" si="63"/>
        <v>6.7290772384758952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-1.1368683772161603E-13</v>
      </c>
      <c r="BZ99" s="13">
        <f>BY99*VLOOKUP('Données projet'!$B$12,Paramètres!$A$1:$I$89,3,0)*VLOOKUP('Données projet'!$B$12,Paramètres!$A$1:$I$89,5,0)</f>
        <v>-6.7984728957526396E-14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314.69202393413491</v>
      </c>
      <c r="CE99" s="59">
        <f t="shared" si="94"/>
        <v>321.1728368524748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0.94669823328123781</v>
      </c>
      <c r="CL99" s="21">
        <f>EXP(-LN(2)/25)*CL98+(1-EXP(-LN(2)/25))/(LN(2)/25)*Calculateur!CG99*Calculateur!CI99*VLOOKUP('Données projet'!$B$12,Paramètres!$A$1:$I$89,3,0)*0.475*44/12</f>
        <v>3.4234933707755748</v>
      </c>
      <c r="CM99" s="21">
        <f>EXP(-LN(2)/2)*CM98+(1-EXP(-LN(2)/2))/(LN(2)/2)*CG99*CJ99*VLOOKUP('Données projet'!$B$12,Paramètres!$A$1:$I$89,3,0)*0.475*44/12</f>
        <v>3.5277723935629492E-9</v>
      </c>
      <c r="CN99" s="22">
        <f t="shared" si="66"/>
        <v>4.3701916075845855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-1.2505552149377763E-12</v>
      </c>
      <c r="O100" s="13">
        <f>N100*VLOOKUP('Données projet'!$B$9,Paramètres!$A$1:$I$89,3,0)*VLOOKUP('Données projet'!$B$9,Paramètres!$A$1:$I$89,5,0)</f>
        <v>-6.9906036515021697E-13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415.91544298418842</v>
      </c>
      <c r="T100" s="59">
        <f t="shared" si="88"/>
        <v>422.79312683312583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3.0297267743419689</v>
      </c>
      <c r="AA100" s="21">
        <f>EXP(-LN(2)/25)*AA99+(1-EXP(-LN(2)/25))/(LN(2)/25)*Calculateur!V100*Calculateur!X100*VLOOKUP('Données projet'!$B$9,Paramètres!$A$1:$I$89,3,0)*0.475*44/12</f>
        <v>6.048069461447426</v>
      </c>
      <c r="AB100" s="21">
        <f>EXP(-LN(2)/2)*AB99+(1-EXP(-LN(2)/2))/(LN(2)/2)*V100*Y100*VLOOKUP('Données projet'!$B$9,Paramètres!$A$1:$I$89,3,0)*0.475*44/12</f>
        <v>3.0022954684500151E-9</v>
      </c>
      <c r="AC100" s="22">
        <f t="shared" si="57"/>
        <v>9.0777962387916897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18.5</v>
      </c>
      <c r="AI100" s="13">
        <f>IF('Données projet'!$A$62&gt;35,AI99+AH100-AQ99,IF(A100&lt;'Données projet'!$A$62,$AF$205^A100,IF(A100='Données projet'!$A$62,'Données projet'!$B$62,AI99+AH100-AQ99)))</f>
        <v>670.69999999999993</v>
      </c>
      <c r="AJ100" s="13">
        <f>AI100*VLOOKUP('Données projet'!$B$10,Paramètres!$A$1:$I$89,3,0)*VLOOKUP('Données projet'!$B$10,Paramètres!$A$1:$I$89,5,0)</f>
        <v>313.88759999999996</v>
      </c>
      <c r="AK100" s="13">
        <f t="shared" si="89"/>
        <v>74.080125962367049</v>
      </c>
      <c r="AL100" s="20">
        <f t="shared" si="58"/>
        <v>675.71045605112249</v>
      </c>
      <c r="AM100" s="59">
        <f t="shared" si="59"/>
        <v>969.04378938445575</v>
      </c>
      <c r="AN100" s="59">
        <f ca="1">AVERAGE(OFFSET($AM$3,0,0,'Données projet'!$E$10+1,1))-AVERAGE(OFFSET($H$3,0,0,'Données projet'!$E$10+1,1))</f>
        <v>215.23235148064941</v>
      </c>
      <c r="AO100" s="59">
        <f t="shared" si="90"/>
        <v>184.07239726900434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0.83161470463831633</v>
      </c>
      <c r="AV100" s="21">
        <f>EXP(-LN(2)/25)*AV99+(1-EXP(-LN(2)/25))/(LN(2)/25)*Calculateur!AQ100*Calculateur!AS100*VLOOKUP('Données projet'!$B$10,Paramètres!$A$1:$I$89,3,0)*0.475*44/12</f>
        <v>1.2257770161121766</v>
      </c>
      <c r="AW100" s="21">
        <f>EXP(-LN(2)/2)*AW99+(1-EXP(-LN(2)/2))/(LN(2)/2)*AQ100*AT100*VLOOKUP('Données projet'!$B$10,Paramètres!$A$1:$I$89,3,0)*0.475*44/12</f>
        <v>8.0936572782697355E-10</v>
      </c>
      <c r="AX100" s="21">
        <f t="shared" si="60"/>
        <v>2.0573917215598589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261.27638267284169</v>
      </c>
      <c r="BJ100" s="59">
        <f t="shared" si="92"/>
        <v>297.50513563712764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2.2136862012951029</v>
      </c>
      <c r="BQ100" s="21">
        <f>EXP(-LN(2)/25)*BQ99+(1-EXP(-LN(2)/25))/(LN(2)/25)*Calculateur!BL100*Calculateur!BN100*VLOOKUP('Données projet'!$B$11,Paramètres!$A$1:$I$89,3,0)*0.475*44/12</f>
        <v>4.3488509070080159</v>
      </c>
      <c r="BR100" s="21">
        <f>EXP(-LN(2)/2)*BR99+(1-EXP(-LN(2)/2))/(LN(2)/2)*BL100*BO100*VLOOKUP('Données projet'!$B$11,Paramètres!$A$1:$I$89,3,0)*0.475*44/12</f>
        <v>2.0086588014312404E-9</v>
      </c>
      <c r="BS100" s="22">
        <f t="shared" si="63"/>
        <v>6.5625371103117773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-1.1368683772161603E-13</v>
      </c>
      <c r="BZ100" s="13">
        <f>BY100*VLOOKUP('Données projet'!$B$12,Paramètres!$A$1:$I$89,3,0)*VLOOKUP('Données projet'!$B$12,Paramètres!$A$1:$I$89,5,0)</f>
        <v>-6.7984728957526396E-14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314.69202393413491</v>
      </c>
      <c r="CE100" s="59">
        <f t="shared" si="94"/>
        <v>321.1728368524748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0.92813405835549867</v>
      </c>
      <c r="CL100" s="21">
        <f>EXP(-LN(2)/25)*CL99+(1-EXP(-LN(2)/25))/(LN(2)/25)*Calculateur!CG100*Calculateur!CI100*VLOOKUP('Données projet'!$B$12,Paramètres!$A$1:$I$89,3,0)*0.475*44/12</f>
        <v>3.3298777645180246</v>
      </c>
      <c r="CM100" s="21">
        <f>EXP(-LN(2)/2)*CM99+(1-EXP(-LN(2)/2))/(LN(2)/2)*CG100*CJ100*VLOOKUP('Données projet'!$B$12,Paramètres!$A$1:$I$89,3,0)*0.475*44/12</f>
        <v>2.4945117819710593E-9</v>
      </c>
      <c r="CN100" s="22">
        <f t="shared" si="66"/>
        <v>4.2580118253680359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-1.2505552149377763E-12</v>
      </c>
      <c r="O101" s="13">
        <f>N101*VLOOKUP('Données projet'!$B$9,Paramètres!$A$1:$I$89,3,0)*VLOOKUP('Données projet'!$B$9,Paramètres!$A$1:$I$89,5,0)</f>
        <v>-6.9906036515021697E-13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415.91544298418842</v>
      </c>
      <c r="T101" s="59">
        <f t="shared" si="88"/>
        <v>422.79312683312583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2.9703156802479853</v>
      </c>
      <c r="AA101" s="21">
        <f>EXP(-LN(2)/25)*AA100+(1-EXP(-LN(2)/25))/(LN(2)/25)*Calculateur!V101*Calculateur!X101*VLOOKUP('Données projet'!$B$9,Paramètres!$A$1:$I$89,3,0)*0.475*44/12</f>
        <v>5.8826846839699964</v>
      </c>
      <c r="AB101" s="21">
        <f>EXP(-LN(2)/2)*AB100+(1-EXP(-LN(2)/2))/(LN(2)/2)*V101*Y101*VLOOKUP('Données projet'!$B$9,Paramètres!$A$1:$I$89,3,0)*0.475*44/12</f>
        <v>2.122943484866648E-9</v>
      </c>
      <c r="AC101" s="22">
        <f t="shared" si="57"/>
        <v>8.8530003663409254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18.5</v>
      </c>
      <c r="AI101" s="13">
        <f>IF('Données projet'!$A$62&gt;35,AI100+AH101-AQ100,IF(A101&lt;'Données projet'!$A$62,$AF$205^A101,IF(A101='Données projet'!$A$62,'Données projet'!$B$62,AI100+AH101-AQ100)))</f>
        <v>689.19999999999993</v>
      </c>
      <c r="AJ101" s="13">
        <f>AI101*VLOOKUP('Données projet'!$B$10,Paramètres!$A$1:$I$89,3,0)*VLOOKUP('Données projet'!$B$10,Paramètres!$A$1:$I$89,5,0)</f>
        <v>322.54559999999998</v>
      </c>
      <c r="AK101" s="13">
        <f t="shared" si="89"/>
        <v>75.882770748800752</v>
      </c>
      <c r="AL101" s="20">
        <f t="shared" si="58"/>
        <v>693.92941238749461</v>
      </c>
      <c r="AM101" s="59">
        <f t="shared" si="59"/>
        <v>987.26274572082798</v>
      </c>
      <c r="AN101" s="59">
        <f ca="1">AVERAGE(OFFSET($AM$3,0,0,'Données projet'!$E$10+1,1))-AVERAGE(OFFSET($H$3,0,0,'Données projet'!$E$10+1,1))</f>
        <v>215.23235148064941</v>
      </c>
      <c r="AO101" s="59">
        <f t="shared" si="90"/>
        <v>184.07239726900434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0.81530724751524353</v>
      </c>
      <c r="AV101" s="21">
        <f>EXP(-LN(2)/25)*AV100+(1-EXP(-LN(2)/25))/(LN(2)/25)*Calculateur!AQ101*Calculateur!AS101*VLOOKUP('Données projet'!$B$10,Paramètres!$A$1:$I$89,3,0)*0.475*44/12</f>
        <v>1.1922580791457773</v>
      </c>
      <c r="AW101" s="21">
        <f>EXP(-LN(2)/2)*AW100+(1-EXP(-LN(2)/2))/(LN(2)/2)*AQ101*AT101*VLOOKUP('Données projet'!$B$10,Paramètres!$A$1:$I$89,3,0)*0.475*44/12</f>
        <v>5.7230799460643855E-10</v>
      </c>
      <c r="AX101" s="21">
        <f t="shared" si="60"/>
        <v>2.0075653272333289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261.27638267284169</v>
      </c>
      <c r="BJ101" s="59">
        <f t="shared" si="92"/>
        <v>297.50513563712764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2.170277165102966</v>
      </c>
      <c r="BQ101" s="21">
        <f>EXP(-LN(2)/25)*BQ100+(1-EXP(-LN(2)/25))/(LN(2)/25)*Calculateur!BL101*Calculateur!BN101*VLOOKUP('Données projet'!$B$11,Paramètres!$A$1:$I$89,3,0)*0.475*44/12</f>
        <v>4.2299313502597515</v>
      </c>
      <c r="BR101" s="21">
        <f>EXP(-LN(2)/2)*BR100+(1-EXP(-LN(2)/2))/(LN(2)/2)*BL101*BO101*VLOOKUP('Données projet'!$B$11,Paramètres!$A$1:$I$89,3,0)*0.475*44/12</f>
        <v>1.420336259582073E-9</v>
      </c>
      <c r="BS101" s="22">
        <f t="shared" si="63"/>
        <v>6.4002085167830529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-1.1368683772161603E-13</v>
      </c>
      <c r="BZ101" s="13">
        <f>BY101*VLOOKUP('Données projet'!$B$12,Paramètres!$A$1:$I$89,3,0)*VLOOKUP('Données projet'!$B$12,Paramètres!$A$1:$I$89,5,0)</f>
        <v>-6.7984728957526396E-14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314.69202393413491</v>
      </c>
      <c r="CE101" s="59">
        <f t="shared" si="94"/>
        <v>321.1728368524748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0.90993391557702463</v>
      </c>
      <c r="CL101" s="21">
        <f>EXP(-LN(2)/25)*CL100+(1-EXP(-LN(2)/25))/(LN(2)/25)*Calculateur!CG101*Calculateur!CI101*VLOOKUP('Données projet'!$B$12,Paramètres!$A$1:$I$89,3,0)*0.475*44/12</f>
        <v>3.2388220819366182</v>
      </c>
      <c r="CM101" s="21">
        <f>EXP(-LN(2)/2)*CM100+(1-EXP(-LN(2)/2))/(LN(2)/2)*CG101*CJ101*VLOOKUP('Données projet'!$B$12,Paramètres!$A$1:$I$89,3,0)*0.475*44/12</f>
        <v>1.7638861967814746E-9</v>
      </c>
      <c r="CN101" s="22">
        <f t="shared" si="66"/>
        <v>4.1487559992775287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-1.2505552149377763E-12</v>
      </c>
      <c r="O102" s="13">
        <f>N102*VLOOKUP('Données projet'!$B$9,Paramètres!$A$1:$I$89,3,0)*VLOOKUP('Données projet'!$B$9,Paramètres!$A$1:$I$89,5,0)</f>
        <v>-6.9906036515021697E-13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415.91544298418842</v>
      </c>
      <c r="T102" s="59">
        <f t="shared" si="88"/>
        <v>422.79312683312583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2.9120696014719956</v>
      </c>
      <c r="AA102" s="21">
        <f>EXP(-LN(2)/25)*AA101+(1-EXP(-LN(2)/25))/(LN(2)/25)*Calculateur!V102*Calculateur!X102*VLOOKUP('Données projet'!$B$9,Paramètres!$A$1:$I$89,3,0)*0.475*44/12</f>
        <v>5.7218223619298945</v>
      </c>
      <c r="AB102" s="21">
        <f>EXP(-LN(2)/2)*AB101+(1-EXP(-LN(2)/2))/(LN(2)/2)*V102*Y102*VLOOKUP('Données projet'!$B$9,Paramètres!$A$1:$I$89,3,0)*0.475*44/12</f>
        <v>1.5011477342250075E-9</v>
      </c>
      <c r="AC102" s="22">
        <f t="shared" si="57"/>
        <v>8.6338919649030377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18.5</v>
      </c>
      <c r="AI102" s="13">
        <f>IF('Données projet'!$A$62&gt;35,AI101+AH102-AQ101,IF(A102&lt;'Données projet'!$A$62,$AF$205^A102,IF(A102='Données projet'!$A$62,'Données projet'!$B$62,AI101+AH102-AQ101)))</f>
        <v>707.69999999999993</v>
      </c>
      <c r="AJ102" s="13">
        <f>AI102*VLOOKUP('Données projet'!$B$10,Paramètres!$A$1:$I$89,3,0)*VLOOKUP('Données projet'!$B$10,Paramètres!$A$1:$I$89,5,0)</f>
        <v>331.20359999999994</v>
      </c>
      <c r="AK102" s="13">
        <f t="shared" si="89"/>
        <v>77.67979126195354</v>
      </c>
      <c r="AL102" s="20">
        <f t="shared" si="58"/>
        <v>712.13857311456889</v>
      </c>
      <c r="AM102" s="59">
        <f t="shared" si="59"/>
        <v>1005.4719064479023</v>
      </c>
      <c r="AN102" s="59">
        <f ca="1">AVERAGE(OFFSET($AM$3,0,0,'Données projet'!$E$10+1,1))-AVERAGE(OFFSET($H$3,0,0,'Données projet'!$E$10+1,1))</f>
        <v>215.23235148064941</v>
      </c>
      <c r="AO102" s="59">
        <f t="shared" si="90"/>
        <v>184.07239726900434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0.79931956967978746</v>
      </c>
      <c r="AV102" s="21">
        <f>EXP(-LN(2)/25)*AV101+(1-EXP(-LN(2)/25))/(LN(2)/25)*Calculateur!AQ102*Calculateur!AS102*VLOOKUP('Données projet'!$B$10,Paramètres!$A$1:$I$89,3,0)*0.475*44/12</f>
        <v>1.1596557192734085</v>
      </c>
      <c r="AW102" s="21">
        <f>EXP(-LN(2)/2)*AW101+(1-EXP(-LN(2)/2))/(LN(2)/2)*AQ102*AT102*VLOOKUP('Données projet'!$B$10,Paramètres!$A$1:$I$89,3,0)*0.475*44/12</f>
        <v>4.0468286391348677E-10</v>
      </c>
      <c r="AX102" s="21">
        <f t="shared" si="60"/>
        <v>1.9589752893578789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261.27638267284169</v>
      </c>
      <c r="BJ102" s="59">
        <f t="shared" si="92"/>
        <v>297.50513563712764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2.1277193536336592</v>
      </c>
      <c r="BQ102" s="21">
        <f>EXP(-LN(2)/25)*BQ101+(1-EXP(-LN(2)/25))/(LN(2)/25)*Calculateur!BL102*Calculateur!BN102*VLOOKUP('Données projet'!$B$11,Paramètres!$A$1:$I$89,3,0)*0.475*44/12</f>
        <v>4.1142636550444767</v>
      </c>
      <c r="BR102" s="21">
        <f>EXP(-LN(2)/2)*BR101+(1-EXP(-LN(2)/2))/(LN(2)/2)*BL102*BO102*VLOOKUP('Données projet'!$B$11,Paramètres!$A$1:$I$89,3,0)*0.475*44/12</f>
        <v>1.0043294007156202E-9</v>
      </c>
      <c r="BS102" s="22">
        <f t="shared" si="63"/>
        <v>6.2419830096824649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-1.1368683772161603E-13</v>
      </c>
      <c r="BZ102" s="13">
        <f>BY102*VLOOKUP('Données projet'!$B$12,Paramètres!$A$1:$I$89,3,0)*VLOOKUP('Données projet'!$B$12,Paramètres!$A$1:$I$89,5,0)</f>
        <v>-6.7984728957526396E-14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314.69202393413491</v>
      </c>
      <c r="CE102" s="59">
        <f t="shared" si="94"/>
        <v>321.1728368524748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0.89209066649744551</v>
      </c>
      <c r="CL102" s="21">
        <f>EXP(-LN(2)/25)*CL101+(1-EXP(-LN(2)/25))/(LN(2)/25)*Calculateur!CG102*Calculateur!CI102*VLOOKUP('Données projet'!$B$12,Paramètres!$A$1:$I$89,3,0)*0.475*44/12</f>
        <v>3.1502563217838104</v>
      </c>
      <c r="CM102" s="21">
        <f>EXP(-LN(2)/2)*CM101+(1-EXP(-LN(2)/2))/(LN(2)/2)*CG102*CJ102*VLOOKUP('Données projet'!$B$12,Paramètres!$A$1:$I$89,3,0)*0.475*44/12</f>
        <v>1.2472558909855296E-9</v>
      </c>
      <c r="CN102" s="22">
        <f t="shared" si="66"/>
        <v>4.0423469895285118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-1.2505552149377763E-12</v>
      </c>
      <c r="O103" s="13">
        <f>N103*VLOOKUP('Données projet'!$B$9,Paramètres!$A$1:$I$89,3,0)*VLOOKUP('Données projet'!$B$9,Paramètres!$A$1:$I$89,5,0)</f>
        <v>-6.9906036515021697E-13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415.91544298418842</v>
      </c>
      <c r="T103" s="59">
        <f t="shared" si="88"/>
        <v>422.79312683312583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2.8549656927742029</v>
      </c>
      <c r="AA103" s="21">
        <f>EXP(-LN(2)/25)*AA102+(1-EXP(-LN(2)/25))/(LN(2)/25)*Calculateur!V103*Calculateur!X103*VLOOKUP('Données projet'!$B$9,Paramètres!$A$1:$I$89,3,0)*0.475*44/12</f>
        <v>5.565358828545361</v>
      </c>
      <c r="AB103" s="21">
        <f>EXP(-LN(2)/2)*AB102+(1-EXP(-LN(2)/2))/(LN(2)/2)*V103*Y103*VLOOKUP('Données projet'!$B$9,Paramètres!$A$1:$I$89,3,0)*0.475*44/12</f>
        <v>1.061471742433324E-9</v>
      </c>
      <c r="AC103" s="22">
        <f t="shared" si="57"/>
        <v>8.4203245223810352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726.2</v>
      </c>
      <c r="AG103" s="12">
        <f>VLOOKUP(A103,'Données projet'!$A$61:$I$81,9,0)</f>
        <v>18.5</v>
      </c>
      <c r="AH103" s="12">
        <f t="array" ref="AH103">INDEX(AG:AG,MIN(IF(ISNUMBER(AG103:AG299),ROW(AG103:AG299),"")))</f>
        <v>18.5</v>
      </c>
      <c r="AI103" s="13">
        <f>IF('Données projet'!$A$62&gt;35,AI102+AH103-AQ102,IF(A103&lt;'Données projet'!$A$62,$AF$205^A103,IF(A103='Données projet'!$A$62,'Données projet'!$B$62,AI102+AH103-AQ102)))</f>
        <v>726.19999999999993</v>
      </c>
      <c r="AJ103" s="13">
        <f>AI103*VLOOKUP('Données projet'!$B$10,Paramètres!$A$1:$I$89,3,0)*VLOOKUP('Données projet'!$B$10,Paramètres!$A$1:$I$89,5,0)</f>
        <v>339.86159999999995</v>
      </c>
      <c r="AK103" s="13">
        <f t="shared" si="89"/>
        <v>79.47135142801136</v>
      </c>
      <c r="AL103" s="20">
        <f t="shared" si="58"/>
        <v>730.33822373711973</v>
      </c>
      <c r="AM103" s="59">
        <f t="shared" si="59"/>
        <v>1023.671557070453</v>
      </c>
      <c r="AN103" s="59">
        <f ca="1">AVERAGE(OFFSET($AM$3,0,0,'Données projet'!$E$10+1,1))-AVERAGE(OFFSET($H$3,0,0,'Données projet'!$E$10+1,1))</f>
        <v>215.23235148064941</v>
      </c>
      <c r="AO103" s="59">
        <f t="shared" si="90"/>
        <v>184.07239726900434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726.2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0.78364540045516407</v>
      </c>
      <c r="AV103" s="21">
        <f>EXP(-LN(2)/25)*AV102+(1-EXP(-LN(2)/25))/(LN(2)/25)*Calculateur!AQ103*Calculateur!AS103*VLOOKUP('Données projet'!$B$10,Paramètres!$A$1:$I$89,3,0)*0.475*44/12</f>
        <v>1.1279448726462333</v>
      </c>
      <c r="AW103" s="21">
        <f>EXP(-LN(2)/2)*AW102+(1-EXP(-LN(2)/2))/(LN(2)/2)*AQ103*AT103*VLOOKUP('Données projet'!$B$10,Paramètres!$A$1:$I$89,3,0)*0.475*44/12</f>
        <v>2.8615399730321928E-10</v>
      </c>
      <c r="AX103" s="21">
        <f t="shared" si="60"/>
        <v>1.9115902733875514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261.27638267284169</v>
      </c>
      <c r="BJ103" s="59">
        <f t="shared" si="92"/>
        <v>297.50513563712764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2.0859960748895636</v>
      </c>
      <c r="BQ103" s="21">
        <f>EXP(-LN(2)/25)*BQ102+(1-EXP(-LN(2)/25))/(LN(2)/25)*Calculateur!BL103*Calculateur!BN103*VLOOKUP('Données projet'!$B$11,Paramètres!$A$1:$I$89,3,0)*0.475*44/12</f>
        <v>4.0017588990375632</v>
      </c>
      <c r="BR103" s="21">
        <f>EXP(-LN(2)/2)*BR102+(1-EXP(-LN(2)/2))/(LN(2)/2)*BL103*BO103*VLOOKUP('Données projet'!$B$11,Paramètres!$A$1:$I$89,3,0)*0.475*44/12</f>
        <v>7.1016812979103648E-10</v>
      </c>
      <c r="BS103" s="22">
        <f t="shared" si="63"/>
        <v>6.0877549746372948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-1.1368683772161603E-13</v>
      </c>
      <c r="BZ103" s="13">
        <f>BY103*VLOOKUP('Données projet'!$B$12,Paramètres!$A$1:$I$89,3,0)*VLOOKUP('Données projet'!$B$12,Paramètres!$A$1:$I$89,5,0)</f>
        <v>-6.7984728957526396E-14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314.69202393413491</v>
      </c>
      <c r="CE103" s="59">
        <f t="shared" si="94"/>
        <v>321.1728368524748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0.87459731264900964</v>
      </c>
      <c r="CL103" s="21">
        <f>EXP(-LN(2)/25)*CL102+(1-EXP(-LN(2)/25))/(LN(2)/25)*Calculateur!CG103*Calculateur!CI103*VLOOKUP('Données projet'!$B$12,Paramètres!$A$1:$I$89,3,0)*0.475*44/12</f>
        <v>3.0641123969998523</v>
      </c>
      <c r="CM103" s="21">
        <f>EXP(-LN(2)/2)*CM102+(1-EXP(-LN(2)/2))/(LN(2)/2)*CG103*CJ103*VLOOKUP('Données projet'!$B$12,Paramètres!$A$1:$I$89,3,0)*0.475*44/12</f>
        <v>8.8194309839073729E-10</v>
      </c>
      <c r="CN103" s="22">
        <f t="shared" si="66"/>
        <v>3.9387097105308047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-1.2505552149377763E-12</v>
      </c>
      <c r="O104" s="13">
        <f>N104*VLOOKUP('Données projet'!$B$9,Paramètres!$A$1:$I$89,3,0)*VLOOKUP('Données projet'!$B$9,Paramètres!$A$1:$I$89,5,0)</f>
        <v>-6.9906036515021697E-13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415.91544298418842</v>
      </c>
      <c r="T104" s="59">
        <f t="shared" si="88"/>
        <v>422.79312683312583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2.7989815568960288</v>
      </c>
      <c r="AA104" s="21">
        <f>EXP(-LN(2)/25)*AA103+(1-EXP(-LN(2)/25))/(LN(2)/25)*Calculateur!V104*Calculateur!X104*VLOOKUP('Données projet'!$B$9,Paramètres!$A$1:$I$89,3,0)*0.475*44/12</f>
        <v>5.4131737987092867</v>
      </c>
      <c r="AB104" s="21">
        <f>EXP(-LN(2)/2)*AB103+(1-EXP(-LN(2)/2))/(LN(2)/2)*V104*Y104*VLOOKUP('Données projet'!$B$9,Paramètres!$A$1:$I$89,3,0)*0.475*44/12</f>
        <v>7.5057386711250376E-10</v>
      </c>
      <c r="AC104" s="22">
        <f t="shared" si="57"/>
        <v>8.2121553563558898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-1.1368683772161603E-13</v>
      </c>
      <c r="AJ104" s="13">
        <f>AI104*VLOOKUP('Données projet'!$B$10,Paramètres!$A$1:$I$89,3,0)*VLOOKUP('Données projet'!$B$10,Paramètres!$A$1:$I$89,5,0)</f>
        <v>-5.3205440053716299E-14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215.23235148064941</v>
      </c>
      <c r="AO104" s="59">
        <f t="shared" si="90"/>
        <v>184.07239726900434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0.76827859212873628</v>
      </c>
      <c r="AV104" s="21">
        <f>EXP(-LN(2)/25)*AV103+(1-EXP(-LN(2)/25))/(LN(2)/25)*Calculateur!AQ104*Calculateur!AS104*VLOOKUP('Données projet'!$B$10,Paramètres!$A$1:$I$89,3,0)*0.475*44/12</f>
        <v>1.0971011607876793</v>
      </c>
      <c r="AW104" s="21">
        <f>EXP(-LN(2)/2)*AW103+(1-EXP(-LN(2)/2))/(LN(2)/2)*AQ104*AT104*VLOOKUP('Données projet'!$B$10,Paramètres!$A$1:$I$89,3,0)*0.475*44/12</f>
        <v>2.0234143195674339E-10</v>
      </c>
      <c r="AX104" s="21">
        <f t="shared" si="60"/>
        <v>1.865379753118757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261.27638267284169</v>
      </c>
      <c r="BJ104" s="59">
        <f t="shared" si="92"/>
        <v>297.50513563712764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2.0450909641929527</v>
      </c>
      <c r="BQ104" s="21">
        <f>EXP(-LN(2)/25)*BQ103+(1-EXP(-LN(2)/25))/(LN(2)/25)*Calculateur!BL104*Calculateur!BN104*VLOOKUP('Données projet'!$B$11,Paramètres!$A$1:$I$89,3,0)*0.475*44/12</f>
        <v>3.8923305915000266</v>
      </c>
      <c r="BR104" s="21">
        <f>EXP(-LN(2)/2)*BR103+(1-EXP(-LN(2)/2))/(LN(2)/2)*BL104*BO104*VLOOKUP('Données projet'!$B$11,Paramètres!$A$1:$I$89,3,0)*0.475*44/12</f>
        <v>5.0216470035781011E-10</v>
      </c>
      <c r="BS104" s="22">
        <f t="shared" si="63"/>
        <v>5.9374215561951438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-1.1368683772161603E-13</v>
      </c>
      <c r="BZ104" s="13">
        <f>BY104*VLOOKUP('Données projet'!$B$12,Paramètres!$A$1:$I$89,3,0)*VLOOKUP('Données projet'!$B$12,Paramètres!$A$1:$I$89,5,0)</f>
        <v>-6.7984728957526396E-14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314.69202393413491</v>
      </c>
      <c r="CE104" s="59">
        <f t="shared" si="94"/>
        <v>321.1728368524748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0.85744699279964931</v>
      </c>
      <c r="CL104" s="21">
        <f>EXP(-LN(2)/25)*CL103+(1-EXP(-LN(2)/25))/(LN(2)/25)*Calculateur!CG104*Calculateur!CI104*VLOOKUP('Données projet'!$B$12,Paramètres!$A$1:$I$89,3,0)*0.475*44/12</f>
        <v>2.9803240823692234</v>
      </c>
      <c r="CM104" s="21">
        <f>EXP(-LN(2)/2)*CM103+(1-EXP(-LN(2)/2))/(LN(2)/2)*CG104*CJ104*VLOOKUP('Données projet'!$B$12,Paramètres!$A$1:$I$89,3,0)*0.475*44/12</f>
        <v>6.2362794549276482E-10</v>
      </c>
      <c r="CN104" s="22">
        <f t="shared" si="66"/>
        <v>3.8377710757925008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-1.2505552149377763E-12</v>
      </c>
      <c r="O105" s="13">
        <f>N105*VLOOKUP('Données projet'!$B$9,Paramètres!$A$1:$I$89,3,0)*VLOOKUP('Données projet'!$B$9,Paramètres!$A$1:$I$89,5,0)</f>
        <v>-6.9906036515021697E-13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415.91544298418842</v>
      </c>
      <c r="T105" s="59">
        <f t="shared" si="88"/>
        <v>422.79312683312583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2.7440952357754744</v>
      </c>
      <c r="AA105" s="21">
        <f>EXP(-LN(2)/25)*AA104+(1-EXP(-LN(2)/25))/(LN(2)/25)*Calculateur!V105*Calculateur!X105*VLOOKUP('Données projet'!$B$9,Paramètres!$A$1:$I$89,3,0)*0.475*44/12</f>
        <v>5.2651502765171427</v>
      </c>
      <c r="AB105" s="21">
        <f>EXP(-LN(2)/2)*AB104+(1-EXP(-LN(2)/2))/(LN(2)/2)*V105*Y105*VLOOKUP('Données projet'!$B$9,Paramètres!$A$1:$I$89,3,0)*0.475*44/12</f>
        <v>5.3073587121666199E-10</v>
      </c>
      <c r="AC105" s="22">
        <f t="shared" si="57"/>
        <v>8.0092455128233535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-5.3205440053716299E-14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215.23235148064941</v>
      </c>
      <c r="AO105" s="59">
        <f t="shared" si="90"/>
        <v>184.07239726900434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0.75321311754076214</v>
      </c>
      <c r="AV105" s="21">
        <f>EXP(-LN(2)/25)*AV104+(1-EXP(-LN(2)/25))/(LN(2)/25)*Calculateur!AQ105*Calculateur!AS105*VLOOKUP('Données projet'!$B$10,Paramètres!$A$1:$I$89,3,0)*0.475*44/12</f>
        <v>1.0671008718518975</v>
      </c>
      <c r="AW105" s="21">
        <f>EXP(-LN(2)/2)*AW104+(1-EXP(-LN(2)/2))/(LN(2)/2)*AQ105*AT105*VLOOKUP('Données projet'!$B$10,Paramètres!$A$1:$I$89,3,0)*0.475*44/12</f>
        <v>1.4307699865160964E-10</v>
      </c>
      <c r="AX105" s="21">
        <f t="shared" si="60"/>
        <v>1.8203139895357368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261.27638267284169</v>
      </c>
      <c r="BJ105" s="59">
        <f t="shared" si="92"/>
        <v>297.50513563712764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2.0049879777674482</v>
      </c>
      <c r="BQ105" s="21">
        <f>EXP(-LN(2)/25)*BQ104+(1-EXP(-LN(2)/25))/(LN(2)/25)*Calculateur!BL105*Calculateur!BN105*VLOOKUP('Données projet'!$B$11,Paramètres!$A$1:$I$89,3,0)*0.475*44/12</f>
        <v>3.7858946067866888</v>
      </c>
      <c r="BR105" s="21">
        <f>EXP(-LN(2)/2)*BR104+(1-EXP(-LN(2)/2))/(LN(2)/2)*BL105*BO105*VLOOKUP('Données projet'!$B$11,Paramètres!$A$1:$I$89,3,0)*0.475*44/12</f>
        <v>3.5508406489551824E-10</v>
      </c>
      <c r="BS105" s="22">
        <f t="shared" si="63"/>
        <v>5.7908825849092205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-1.1368683772161603E-13</v>
      </c>
      <c r="BZ105" s="13">
        <f>BY105*VLOOKUP('Données projet'!$B$12,Paramètres!$A$1:$I$89,3,0)*VLOOKUP('Données projet'!$B$12,Paramètres!$A$1:$I$89,5,0)</f>
        <v>-6.7984728957526396E-14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314.69202393413491</v>
      </c>
      <c r="CE105" s="59">
        <f t="shared" si="94"/>
        <v>321.1728368524748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0.84063298026187272</v>
      </c>
      <c r="CL105" s="21">
        <f>EXP(-LN(2)/25)*CL104+(1-EXP(-LN(2)/25))/(LN(2)/25)*Calculateur!CG105*Calculateur!CI105*VLOOKUP('Données projet'!$B$12,Paramètres!$A$1:$I$89,3,0)*0.475*44/12</f>
        <v>2.8988269636084052</v>
      </c>
      <c r="CM105" s="21">
        <f>EXP(-LN(2)/2)*CM104+(1-EXP(-LN(2)/2))/(LN(2)/2)*CG105*CJ105*VLOOKUP('Données projet'!$B$12,Paramètres!$A$1:$I$89,3,0)*0.475*44/12</f>
        <v>4.4097154919536865E-10</v>
      </c>
      <c r="CN105" s="22">
        <f t="shared" si="66"/>
        <v>3.7394599443112497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-1.2505552149377763E-12</v>
      </c>
      <c r="O106" s="13">
        <f>N106*VLOOKUP('Données projet'!$B$9,Paramètres!$A$1:$I$89,3,0)*VLOOKUP('Données projet'!$B$9,Paramètres!$A$1:$I$89,5,0)</f>
        <v>-6.9906036515021697E-13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415.91544298418842</v>
      </c>
      <c r="T106" s="59">
        <f t="shared" si="88"/>
        <v>422.79312683312583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2.6902852019347439</v>
      </c>
      <c r="AA106" s="21">
        <f>EXP(-LN(2)/25)*AA105+(1-EXP(-LN(2)/25))/(LN(2)/25)*Calculateur!V106*Calculateur!X106*VLOOKUP('Données projet'!$B$9,Paramètres!$A$1:$I$89,3,0)*0.475*44/12</f>
        <v>5.1211744653235618</v>
      </c>
      <c r="AB106" s="21">
        <f>EXP(-LN(2)/2)*AB105+(1-EXP(-LN(2)/2))/(LN(2)/2)*V106*Y106*VLOOKUP('Données projet'!$B$9,Paramètres!$A$1:$I$89,3,0)*0.475*44/12</f>
        <v>3.7528693355625188E-10</v>
      </c>
      <c r="AC106" s="22">
        <f t="shared" si="57"/>
        <v>7.811459667633593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-5.3205440053716299E-14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215.23235148064941</v>
      </c>
      <c r="AO106" s="59">
        <f t="shared" si="90"/>
        <v>184.07239726900434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0.73844306772042612</v>
      </c>
      <c r="AV106" s="21">
        <f>EXP(-LN(2)/25)*AV105+(1-EXP(-LN(2)/25))/(LN(2)/25)*Calculateur!AQ106*Calculateur!AS106*VLOOKUP('Données projet'!$B$10,Paramètres!$A$1:$I$89,3,0)*0.475*44/12</f>
        <v>1.0379209423947113</v>
      </c>
      <c r="AW106" s="21">
        <f>EXP(-LN(2)/2)*AW105+(1-EXP(-LN(2)/2))/(LN(2)/2)*AQ106*AT106*VLOOKUP('Données projet'!$B$10,Paramètres!$A$1:$I$89,3,0)*0.475*44/12</f>
        <v>1.0117071597837169E-10</v>
      </c>
      <c r="AX106" s="21">
        <f t="shared" si="60"/>
        <v>1.7763640102163081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261.27638267284169</v>
      </c>
      <c r="BJ106" s="59">
        <f t="shared" si="92"/>
        <v>297.50513563712764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1.9656713864453415</v>
      </c>
      <c r="BQ106" s="21">
        <f>EXP(-LN(2)/25)*BQ105+(1-EXP(-LN(2)/25))/(LN(2)/25)*Calculateur!BL106*Calculateur!BN106*VLOOKUP('Données projet'!$B$11,Paramètres!$A$1:$I$89,3,0)*0.475*44/12</f>
        <v>3.6823691196725621</v>
      </c>
      <c r="BR106" s="21">
        <f>EXP(-LN(2)/2)*BR105+(1-EXP(-LN(2)/2))/(LN(2)/2)*BL106*BO106*VLOOKUP('Données projet'!$B$11,Paramètres!$A$1:$I$89,3,0)*0.475*44/12</f>
        <v>2.5108235017890505E-10</v>
      </c>
      <c r="BS106" s="22">
        <f t="shared" si="63"/>
        <v>5.6480405063689858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-1.1368683772161603E-13</v>
      </c>
      <c r="BZ106" s="13">
        <f>BY106*VLOOKUP('Données projet'!$B$12,Paramètres!$A$1:$I$89,3,0)*VLOOKUP('Données projet'!$B$12,Paramètres!$A$1:$I$89,5,0)</f>
        <v>-6.7984728957526396E-14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314.69202393413491</v>
      </c>
      <c r="CE106" s="59">
        <f t="shared" si="94"/>
        <v>321.1728368524748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0.82414868025442689</v>
      </c>
      <c r="CL106" s="21">
        <f>EXP(-LN(2)/25)*CL105+(1-EXP(-LN(2)/25))/(LN(2)/25)*Calculateur!CG106*Calculateur!CI106*VLOOKUP('Données projet'!$B$12,Paramètres!$A$1:$I$89,3,0)*0.475*44/12</f>
        <v>2.8195583878458486</v>
      </c>
      <c r="CM106" s="21">
        <f>EXP(-LN(2)/2)*CM105+(1-EXP(-LN(2)/2))/(LN(2)/2)*CG106*CJ106*VLOOKUP('Données projet'!$B$12,Paramètres!$A$1:$I$89,3,0)*0.475*44/12</f>
        <v>3.1181397274638241E-10</v>
      </c>
      <c r="CN106" s="22">
        <f t="shared" si="66"/>
        <v>3.6437070684120898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-1.2505552149377763E-12</v>
      </c>
      <c r="O107" s="13">
        <f>N107*VLOOKUP('Données projet'!$B$9,Paramètres!$A$1:$I$89,3,0)*VLOOKUP('Données projet'!$B$9,Paramètres!$A$1:$I$89,5,0)</f>
        <v>-6.9906036515021697E-13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415.91544298418842</v>
      </c>
      <c r="T107" s="59">
        <f t="shared" si="88"/>
        <v>422.79312683312583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2.6375303500367502</v>
      </c>
      <c r="AA107" s="21">
        <f>EXP(-LN(2)/25)*AA106+(1-EXP(-LN(2)/25))/(LN(2)/25)*Calculateur!V107*Calculateur!X107*VLOOKUP('Données projet'!$B$9,Paramètres!$A$1:$I$89,3,0)*0.475*44/12</f>
        <v>4.9811356802584283</v>
      </c>
      <c r="AB107" s="21">
        <f>EXP(-LN(2)/2)*AB106+(1-EXP(-LN(2)/2))/(LN(2)/2)*V107*Y107*VLOOKUP('Données projet'!$B$9,Paramètres!$A$1:$I$89,3,0)*0.475*44/12</f>
        <v>2.65367935608331E-10</v>
      </c>
      <c r="AC107" s="22">
        <f t="shared" si="57"/>
        <v>7.6186660305605471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-5.3205440053716299E-14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215.23235148064941</v>
      </c>
      <c r="AO107" s="59">
        <f t="shared" si="90"/>
        <v>184.07239726900434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0.72396264956822598</v>
      </c>
      <c r="AV107" s="21">
        <f>EXP(-LN(2)/25)*AV106+(1-EXP(-LN(2)/25))/(LN(2)/25)*Calculateur!AQ107*Calculateur!AS107*VLOOKUP('Données projet'!$B$10,Paramètres!$A$1:$I$89,3,0)*0.475*44/12</f>
        <v>1.0095389396430379</v>
      </c>
      <c r="AW107" s="21">
        <f>EXP(-LN(2)/2)*AW106+(1-EXP(-LN(2)/2))/(LN(2)/2)*AQ107*AT107*VLOOKUP('Données projet'!$B$10,Paramètres!$A$1:$I$89,3,0)*0.475*44/12</f>
        <v>7.1538499325804819E-11</v>
      </c>
      <c r="AX107" s="21">
        <f t="shared" si="60"/>
        <v>1.7335015892828023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261.27638267284169</v>
      </c>
      <c r="BJ107" s="59">
        <f t="shared" si="92"/>
        <v>297.50513563712764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1.9271257694983084</v>
      </c>
      <c r="BQ107" s="21">
        <f>EXP(-LN(2)/25)*BQ106+(1-EXP(-LN(2)/25))/(LN(2)/25)*Calculateur!BL107*Calculateur!BN107*VLOOKUP('Données projet'!$B$11,Paramètres!$A$1:$I$89,3,0)*0.475*44/12</f>
        <v>3.5816745424477401</v>
      </c>
      <c r="BR107" s="21">
        <f>EXP(-LN(2)/2)*BR106+(1-EXP(-LN(2)/2))/(LN(2)/2)*BL107*BO107*VLOOKUP('Données projet'!$B$11,Paramètres!$A$1:$I$89,3,0)*0.475*44/12</f>
        <v>1.7754203244775912E-10</v>
      </c>
      <c r="BS107" s="22">
        <f t="shared" si="63"/>
        <v>5.5088003121235909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-1.1368683772161603E-13</v>
      </c>
      <c r="BZ107" s="13">
        <f>BY107*VLOOKUP('Données projet'!$B$12,Paramètres!$A$1:$I$89,3,0)*VLOOKUP('Données projet'!$B$12,Paramètres!$A$1:$I$89,5,0)</f>
        <v>-6.7984728957526396E-14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314.69202393413491</v>
      </c>
      <c r="CE107" s="59">
        <f t="shared" si="94"/>
        <v>321.1728368524748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0.80798762731569695</v>
      </c>
      <c r="CL107" s="21">
        <f>EXP(-LN(2)/25)*CL106+(1-EXP(-LN(2)/25))/(LN(2)/25)*Calculateur!CG107*Calculateur!CI107*VLOOKUP('Données projet'!$B$12,Paramètres!$A$1:$I$89,3,0)*0.475*44/12</f>
        <v>2.7424574154560726</v>
      </c>
      <c r="CM107" s="21">
        <f>EXP(-LN(2)/2)*CM106+(1-EXP(-LN(2)/2))/(LN(2)/2)*CG107*CJ107*VLOOKUP('Données projet'!$B$12,Paramètres!$A$1:$I$89,3,0)*0.475*44/12</f>
        <v>2.2048577459768432E-10</v>
      </c>
      <c r="CN107" s="22">
        <f t="shared" si="66"/>
        <v>3.5504450429922554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-1.2505552149377763E-12</v>
      </c>
      <c r="O108" s="13">
        <f>N108*VLOOKUP('Données projet'!$B$9,Paramètres!$A$1:$I$89,3,0)*VLOOKUP('Données projet'!$B$9,Paramètres!$A$1:$I$89,5,0)</f>
        <v>-6.9906036515021697E-13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415.91544298418842</v>
      </c>
      <c r="T108" s="59">
        <f t="shared" si="88"/>
        <v>422.79312683312583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2.5858099886071937</v>
      </c>
      <c r="AA108" s="21">
        <f>EXP(-LN(2)/25)*AA107+(1-EXP(-LN(2)/25))/(LN(2)/25)*Calculateur!V108*Calculateur!X108*VLOOKUP('Données projet'!$B$9,Paramètres!$A$1:$I$89,3,0)*0.475*44/12</f>
        <v>4.8449262631352203</v>
      </c>
      <c r="AB108" s="21">
        <f>EXP(-LN(2)/2)*AB107+(1-EXP(-LN(2)/2))/(LN(2)/2)*V108*Y108*VLOOKUP('Données projet'!$B$9,Paramètres!$A$1:$I$89,3,0)*0.475*44/12</f>
        <v>1.8764346677812594E-10</v>
      </c>
      <c r="AC108" s="22">
        <f t="shared" si="57"/>
        <v>7.4307362519300577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-5.3205440053716299E-14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215.23235148064941</v>
      </c>
      <c r="AO108" s="59">
        <f t="shared" si="90"/>
        <v>184.07239726900434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0.7097661835838075</v>
      </c>
      <c r="AV108" s="21">
        <f>EXP(-LN(2)/25)*AV107+(1-EXP(-LN(2)/25))/(LN(2)/25)*Calculateur!AQ108*Calculateur!AS108*VLOOKUP('Données projet'!$B$10,Paramètres!$A$1:$I$89,3,0)*0.475*44/12</f>
        <v>0.98193304424915351</v>
      </c>
      <c r="AW108" s="21">
        <f>EXP(-LN(2)/2)*AW107+(1-EXP(-LN(2)/2))/(LN(2)/2)*AQ108*AT108*VLOOKUP('Données projet'!$B$10,Paramètres!$A$1:$I$89,3,0)*0.475*44/12</f>
        <v>5.0585357989185847E-11</v>
      </c>
      <c r="AX108" s="21">
        <f t="shared" si="60"/>
        <v>1.6916992278835463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261.27638267284169</v>
      </c>
      <c r="BJ108" s="59">
        <f t="shared" si="92"/>
        <v>297.50513563712764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1.8893360085891018</v>
      </c>
      <c r="BQ108" s="21">
        <f>EXP(-LN(2)/25)*BQ107+(1-EXP(-LN(2)/25))/(LN(2)/25)*Calculateur!BL108*Calculateur!BN108*VLOOKUP('Données projet'!$B$11,Paramètres!$A$1:$I$89,3,0)*0.475*44/12</f>
        <v>3.4837334637324284</v>
      </c>
      <c r="BR108" s="21">
        <f>EXP(-LN(2)/2)*BR107+(1-EXP(-LN(2)/2))/(LN(2)/2)*BL108*BO108*VLOOKUP('Données projet'!$B$11,Paramètres!$A$1:$I$89,3,0)*0.475*44/12</f>
        <v>1.2554117508945253E-10</v>
      </c>
      <c r="BS108" s="22">
        <f t="shared" si="63"/>
        <v>5.3730694724470718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-1.1368683772161603E-13</v>
      </c>
      <c r="BZ108" s="13">
        <f>BY108*VLOOKUP('Données projet'!$B$12,Paramètres!$A$1:$I$89,3,0)*VLOOKUP('Données projet'!$B$12,Paramètres!$A$1:$I$89,5,0)</f>
        <v>-6.7984728957526396E-14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314.69202393413491</v>
      </c>
      <c r="CE108" s="59">
        <f t="shared" si="94"/>
        <v>321.1728368524748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0.79214348276782653</v>
      </c>
      <c r="CL108" s="21">
        <f>EXP(-LN(2)/25)*CL107+(1-EXP(-LN(2)/25))/(LN(2)/25)*Calculateur!CG108*Calculateur!CI108*VLOOKUP('Données projet'!$B$12,Paramètres!$A$1:$I$89,3,0)*0.475*44/12</f>
        <v>2.6674647732108587</v>
      </c>
      <c r="CM108" s="21">
        <f>EXP(-LN(2)/2)*CM107+(1-EXP(-LN(2)/2))/(LN(2)/2)*CG108*CJ108*VLOOKUP('Données projet'!$B$12,Paramètres!$A$1:$I$89,3,0)*0.475*44/12</f>
        <v>1.5590698637319121E-10</v>
      </c>
      <c r="CN108" s="22">
        <f t="shared" si="66"/>
        <v>3.459608256134592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-1.2505552149377763E-12</v>
      </c>
      <c r="O109" s="13">
        <f>N109*VLOOKUP('Données projet'!$B$9,Paramètres!$A$1:$I$89,3,0)*VLOOKUP('Données projet'!$B$9,Paramètres!$A$1:$I$89,5,0)</f>
        <v>-6.9906036515021697E-13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415.91544298418842</v>
      </c>
      <c r="T109" s="59">
        <f t="shared" si="88"/>
        <v>422.79312683312583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2.5351038319189652</v>
      </c>
      <c r="AA109" s="21">
        <f>EXP(-LN(2)/25)*AA108+(1-EXP(-LN(2)/25))/(LN(2)/25)*Calculateur!V109*Calculateur!X109*VLOOKUP('Données projet'!$B$9,Paramètres!$A$1:$I$89,3,0)*0.475*44/12</f>
        <v>4.7124414996861885</v>
      </c>
      <c r="AB109" s="21">
        <f>EXP(-LN(2)/2)*AB108+(1-EXP(-LN(2)/2))/(LN(2)/2)*V109*Y109*VLOOKUP('Données projet'!$B$9,Paramètres!$A$1:$I$89,3,0)*0.475*44/12</f>
        <v>1.326839678041655E-10</v>
      </c>
      <c r="AC109" s="22">
        <f t="shared" si="57"/>
        <v>7.2475453317378378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-5.3205440053716299E-14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215.23235148064941</v>
      </c>
      <c r="AO109" s="59">
        <f t="shared" si="90"/>
        <v>184.07239726900434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0.6958481016383542</v>
      </c>
      <c r="AV109" s="21">
        <f>EXP(-LN(2)/25)*AV108+(1-EXP(-LN(2)/25))/(LN(2)/25)*Calculateur!AQ109*Calculateur!AS109*VLOOKUP('Données projet'!$B$10,Paramètres!$A$1:$I$89,3,0)*0.475*44/12</f>
        <v>0.95508203351654586</v>
      </c>
      <c r="AW109" s="21">
        <f>EXP(-LN(2)/2)*AW108+(1-EXP(-LN(2)/2))/(LN(2)/2)*AQ109*AT109*VLOOKUP('Données projet'!$B$10,Paramètres!$A$1:$I$89,3,0)*0.475*44/12</f>
        <v>3.576924966290241E-11</v>
      </c>
      <c r="AX109" s="21">
        <f t="shared" si="60"/>
        <v>1.6509301351906691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261.27638267284169</v>
      </c>
      <c r="BJ109" s="59">
        <f t="shared" si="92"/>
        <v>297.50513563712764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1.8522872818418465</v>
      </c>
      <c r="BQ109" s="21">
        <f>EXP(-LN(2)/25)*BQ108+(1-EXP(-LN(2)/25))/(LN(2)/25)*Calculateur!BL109*Calculateur!BN109*VLOOKUP('Données projet'!$B$11,Paramètres!$A$1:$I$89,3,0)*0.475*44/12</f>
        <v>3.3884705889650846</v>
      </c>
      <c r="BR109" s="21">
        <f>EXP(-LN(2)/2)*BR108+(1-EXP(-LN(2)/2))/(LN(2)/2)*BL109*BO109*VLOOKUP('Données projet'!$B$11,Paramètres!$A$1:$I$89,3,0)*0.475*44/12</f>
        <v>8.877101622387956E-11</v>
      </c>
      <c r="BS109" s="22">
        <f t="shared" si="63"/>
        <v>5.2407578708957017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-1.1368683772161603E-13</v>
      </c>
      <c r="BZ109" s="13">
        <f>BY109*VLOOKUP('Données projet'!$B$12,Paramètres!$A$1:$I$89,3,0)*VLOOKUP('Données projet'!$B$12,Paramètres!$A$1:$I$89,5,0)</f>
        <v>-6.7984728957526396E-14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314.69202393413491</v>
      </c>
      <c r="CE109" s="59">
        <f t="shared" si="94"/>
        <v>321.1728368524748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0.77661003223056591</v>
      </c>
      <c r="CL109" s="21">
        <f>EXP(-LN(2)/25)*CL108+(1-EXP(-LN(2)/25))/(LN(2)/25)*Calculateur!CG109*Calculateur!CI109*VLOOKUP('Données projet'!$B$12,Paramètres!$A$1:$I$89,3,0)*0.475*44/12</f>
        <v>2.594522808711532</v>
      </c>
      <c r="CM109" s="21">
        <f>EXP(-LN(2)/2)*CM108+(1-EXP(-LN(2)/2))/(LN(2)/2)*CG109*CJ109*VLOOKUP('Données projet'!$B$12,Paramètres!$A$1:$I$89,3,0)*0.475*44/12</f>
        <v>1.1024288729884216E-10</v>
      </c>
      <c r="CN109" s="22">
        <f t="shared" si="66"/>
        <v>3.3711328410523409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-1.2505552149377763E-12</v>
      </c>
      <c r="O110" s="13">
        <f>N110*VLOOKUP('Données projet'!$B$9,Paramètres!$A$1:$I$89,3,0)*VLOOKUP('Données projet'!$B$9,Paramètres!$A$1:$I$89,5,0)</f>
        <v>-6.9906036515021697E-13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415.91544298418842</v>
      </c>
      <c r="T110" s="59">
        <f t="shared" si="88"/>
        <v>422.79312683312583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2.4853919920356913</v>
      </c>
      <c r="AA110" s="21">
        <f>EXP(-LN(2)/25)*AA109+(1-EXP(-LN(2)/25))/(LN(2)/25)*Calculateur!V110*Calculateur!X110*VLOOKUP('Données projet'!$B$9,Paramètres!$A$1:$I$89,3,0)*0.475*44/12</f>
        <v>4.5835795390607412</v>
      </c>
      <c r="AB110" s="21">
        <f>EXP(-LN(2)/2)*AB109+(1-EXP(-LN(2)/2))/(LN(2)/2)*V110*Y110*VLOOKUP('Données projet'!$B$9,Paramètres!$A$1:$I$89,3,0)*0.475*44/12</f>
        <v>9.3821733389062971E-11</v>
      </c>
      <c r="AC110" s="22">
        <f t="shared" si="57"/>
        <v>7.0689715311902539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-5.3205440053716299E-14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215.23235148064941</v>
      </c>
      <c r="AO110" s="59">
        <f t="shared" si="90"/>
        <v>184.07239726900434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0.68220294479065957</v>
      </c>
      <c r="AV110" s="21">
        <f>EXP(-LN(2)/25)*AV109+(1-EXP(-LN(2)/25))/(LN(2)/25)*Calculateur!AQ110*Calculateur!AS110*VLOOKUP('Données projet'!$B$10,Paramètres!$A$1:$I$89,3,0)*0.475*44/12</f>
        <v>0.92896526508445465</v>
      </c>
      <c r="AW110" s="21">
        <f>EXP(-LN(2)/2)*AW109+(1-EXP(-LN(2)/2))/(LN(2)/2)*AQ110*AT110*VLOOKUP('Données projet'!$B$10,Paramètres!$A$1:$I$89,3,0)*0.475*44/12</f>
        <v>2.5292678994592923E-11</v>
      </c>
      <c r="AX110" s="21">
        <f t="shared" si="60"/>
        <v>1.611168209900407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261.27638267284169</v>
      </c>
      <c r="BJ110" s="59">
        <f t="shared" si="92"/>
        <v>297.50513563712764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1.8159650580286131</v>
      </c>
      <c r="BQ110" s="21">
        <f>EXP(-LN(2)/25)*BQ109+(1-EXP(-LN(2)/25))/(LN(2)/25)*Calculateur!BL110*Calculateur!BN110*VLOOKUP('Données projet'!$B$11,Paramètres!$A$1:$I$89,3,0)*0.475*44/12</f>
        <v>3.2958126825179104</v>
      </c>
      <c r="BR110" s="21">
        <f>EXP(-LN(2)/2)*BR109+(1-EXP(-LN(2)/2))/(LN(2)/2)*BL110*BO110*VLOOKUP('Données projet'!$B$11,Paramètres!$A$1:$I$89,3,0)*0.475*44/12</f>
        <v>6.2770587544726263E-11</v>
      </c>
      <c r="BS110" s="22">
        <f t="shared" si="63"/>
        <v>5.1117777406092939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-1.1368683772161603E-13</v>
      </c>
      <c r="BZ110" s="13">
        <f>BY110*VLOOKUP('Données projet'!$B$12,Paramètres!$A$1:$I$89,3,0)*VLOOKUP('Données projet'!$B$12,Paramètres!$A$1:$I$89,5,0)</f>
        <v>-6.7984728957526396E-14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314.69202393413491</v>
      </c>
      <c r="CE110" s="59">
        <f t="shared" si="94"/>
        <v>321.1728368524748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0.7613811831838716</v>
      </c>
      <c r="CL110" s="21">
        <f>EXP(-LN(2)/25)*CL109+(1-EXP(-LN(2)/25))/(LN(2)/25)*Calculateur!CG110*Calculateur!CI110*VLOOKUP('Données projet'!$B$12,Paramètres!$A$1:$I$89,3,0)*0.475*44/12</f>
        <v>2.5235754460672903</v>
      </c>
      <c r="CM110" s="21">
        <f>EXP(-LN(2)/2)*CM109+(1-EXP(-LN(2)/2))/(LN(2)/2)*CG110*CJ110*VLOOKUP('Données projet'!$B$12,Paramètres!$A$1:$I$89,3,0)*0.475*44/12</f>
        <v>7.7953493186595603E-11</v>
      </c>
      <c r="CN110" s="22">
        <f t="shared" si="66"/>
        <v>3.2849566293291157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-1.2505552149377763E-12</v>
      </c>
      <c r="O111" s="13">
        <f>N111*VLOOKUP('Données projet'!$B$9,Paramètres!$A$1:$I$89,3,0)*VLOOKUP('Données projet'!$B$9,Paramètres!$A$1:$I$89,5,0)</f>
        <v>-6.9906036515021697E-13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415.91544298418842</v>
      </c>
      <c r="T111" s="59">
        <f t="shared" si="88"/>
        <v>422.79312683312583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2.4366549710113001</v>
      </c>
      <c r="AA111" s="21">
        <f>EXP(-LN(2)/25)*AA110+(1-EXP(-LN(2)/25))/(LN(2)/25)*Calculateur!V111*Calculateur!X111*VLOOKUP('Données projet'!$B$9,Paramètres!$A$1:$I$89,3,0)*0.475*44/12</f>
        <v>4.4582413155251528</v>
      </c>
      <c r="AB111" s="21">
        <f>EXP(-LN(2)/2)*AB110+(1-EXP(-LN(2)/2))/(LN(2)/2)*V111*Y111*VLOOKUP('Données projet'!$B$9,Paramètres!$A$1:$I$89,3,0)*0.475*44/12</f>
        <v>6.6341983902082749E-11</v>
      </c>
      <c r="AC111" s="22">
        <f t="shared" si="57"/>
        <v>6.8948962866027941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-5.3205440053716299E-14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215.23235148064941</v>
      </c>
      <c r="AO111" s="59">
        <f t="shared" si="90"/>
        <v>184.07239726900434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0.66882536114602431</v>
      </c>
      <c r="AV111" s="21">
        <f>EXP(-LN(2)/25)*AV110+(1-EXP(-LN(2)/25))/(LN(2)/25)*Calculateur!AQ111*Calculateur!AS111*VLOOKUP('Données projet'!$B$10,Paramètres!$A$1:$I$89,3,0)*0.475*44/12</f>
        <v>0.90356266105856009</v>
      </c>
      <c r="AW111" s="21">
        <f>EXP(-LN(2)/2)*AW110+(1-EXP(-LN(2)/2))/(LN(2)/2)*AQ111*AT111*VLOOKUP('Données projet'!$B$10,Paramètres!$A$1:$I$89,3,0)*0.475*44/12</f>
        <v>1.7884624831451205E-11</v>
      </c>
      <c r="AX111" s="21">
        <f t="shared" si="60"/>
        <v>1.5723880222224691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261.27638267284169</v>
      </c>
      <c r="BJ111" s="59">
        <f t="shared" si="92"/>
        <v>297.50513563712764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1.7803550908699881</v>
      </c>
      <c r="BQ111" s="21">
        <f>EXP(-LN(2)/25)*BQ110+(1-EXP(-LN(2)/25))/(LN(2)/25)*Calculateur!BL111*Calculateur!BN111*VLOOKUP('Données projet'!$B$11,Paramètres!$A$1:$I$89,3,0)*0.475*44/12</f>
        <v>3.2056885113952016</v>
      </c>
      <c r="BR111" s="21">
        <f>EXP(-LN(2)/2)*BR110+(1-EXP(-LN(2)/2))/(LN(2)/2)*BL111*BO111*VLOOKUP('Données projet'!$B$11,Paramètres!$A$1:$I$89,3,0)*0.475*44/12</f>
        <v>4.438550811193978E-11</v>
      </c>
      <c r="BS111" s="22">
        <f t="shared" si="63"/>
        <v>4.9860436023095751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-1.1368683772161603E-13</v>
      </c>
      <c r="BZ111" s="13">
        <f>BY111*VLOOKUP('Données projet'!$B$12,Paramètres!$A$1:$I$89,3,0)*VLOOKUP('Données projet'!$B$12,Paramètres!$A$1:$I$89,5,0)</f>
        <v>-6.7984728957526396E-14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314.69202393413491</v>
      </c>
      <c r="CE111" s="59">
        <f t="shared" si="94"/>
        <v>321.1728368524748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0.74645096257830224</v>
      </c>
      <c r="CL111" s="21">
        <f>EXP(-LN(2)/25)*CL110+(1-EXP(-LN(2)/25))/(LN(2)/25)*Calculateur!CG111*Calculateur!CI111*VLOOKUP('Données projet'!$B$12,Paramètres!$A$1:$I$89,3,0)*0.475*44/12</f>
        <v>2.4545681427855155</v>
      </c>
      <c r="CM111" s="21">
        <f>EXP(-LN(2)/2)*CM110+(1-EXP(-LN(2)/2))/(LN(2)/2)*CG111*CJ111*VLOOKUP('Données projet'!$B$12,Paramètres!$A$1:$I$89,3,0)*0.475*44/12</f>
        <v>5.5121443649421081E-11</v>
      </c>
      <c r="CN111" s="22">
        <f t="shared" si="66"/>
        <v>3.201019105418939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-1.2505552149377763E-12</v>
      </c>
      <c r="O112" s="13">
        <f>N112*VLOOKUP('Données projet'!$B$9,Paramètres!$A$1:$I$89,3,0)*VLOOKUP('Données projet'!$B$9,Paramètres!$A$1:$I$89,5,0)</f>
        <v>-6.9906036515021697E-13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415.91544298418842</v>
      </c>
      <c r="T112" s="59">
        <f t="shared" si="88"/>
        <v>422.79312683312583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2.3888736532425496</v>
      </c>
      <c r="AA112" s="21">
        <f>EXP(-LN(2)/25)*AA111+(1-EXP(-LN(2)/25))/(LN(2)/25)*Calculateur!V112*Calculateur!X112*VLOOKUP('Données projet'!$B$9,Paramètres!$A$1:$I$89,3,0)*0.475*44/12</f>
        <v>4.3363304723033957</v>
      </c>
      <c r="AB112" s="21">
        <f>EXP(-LN(2)/2)*AB111+(1-EXP(-LN(2)/2))/(LN(2)/2)*V112*Y112*VLOOKUP('Données projet'!$B$9,Paramètres!$A$1:$I$89,3,0)*0.475*44/12</f>
        <v>4.6910866694531485E-11</v>
      </c>
      <c r="AC112" s="22">
        <f t="shared" si="57"/>
        <v>6.7252041255928559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-5.3205440053716299E-14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215.23235148064941</v>
      </c>
      <c r="AO112" s="59">
        <f t="shared" si="90"/>
        <v>184.07239726900434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0.65571010375714001</v>
      </c>
      <c r="AV112" s="21">
        <f>EXP(-LN(2)/25)*AV111+(1-EXP(-LN(2)/25))/(LN(2)/25)*Calculateur!AQ112*Calculateur!AS112*VLOOKUP('Données projet'!$B$10,Paramètres!$A$1:$I$89,3,0)*0.475*44/12</f>
        <v>0.87885469257561855</v>
      </c>
      <c r="AW112" s="21">
        <f>EXP(-LN(2)/2)*AW111+(1-EXP(-LN(2)/2))/(LN(2)/2)*AQ112*AT112*VLOOKUP('Données projet'!$B$10,Paramètres!$A$1:$I$89,3,0)*0.475*44/12</f>
        <v>1.2646339497296462E-11</v>
      </c>
      <c r="AX112" s="21">
        <f t="shared" si="60"/>
        <v>1.5345647963454048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261.27638267284169</v>
      </c>
      <c r="BJ112" s="59">
        <f t="shared" si="92"/>
        <v>297.50513563712764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1.7454434134474084</v>
      </c>
      <c r="BQ112" s="21">
        <f>EXP(-LN(2)/25)*BQ111+(1-EXP(-LN(2)/25))/(LN(2)/25)*Calculateur!BL112*Calculateur!BN112*VLOOKUP('Données projet'!$B$11,Paramètres!$A$1:$I$89,3,0)*0.475*44/12</f>
        <v>3.1180287904712678</v>
      </c>
      <c r="BR112" s="21">
        <f>EXP(-LN(2)/2)*BR111+(1-EXP(-LN(2)/2))/(LN(2)/2)*BL112*BO112*VLOOKUP('Données projet'!$B$11,Paramètres!$A$1:$I$89,3,0)*0.475*44/12</f>
        <v>3.1385293772363132E-11</v>
      </c>
      <c r="BS112" s="22">
        <f t="shared" si="63"/>
        <v>4.863472203950062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-1.1368683772161603E-13</v>
      </c>
      <c r="BZ112" s="13">
        <f>BY112*VLOOKUP('Données projet'!$B$12,Paramètres!$A$1:$I$89,3,0)*VLOOKUP('Données projet'!$B$12,Paramètres!$A$1:$I$89,5,0)</f>
        <v>-6.7984728957526396E-14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314.69202393413491</v>
      </c>
      <c r="CE112" s="59">
        <f t="shared" si="94"/>
        <v>321.1728368524748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0.73181351449227272</v>
      </c>
      <c r="CL112" s="21">
        <f>EXP(-LN(2)/25)*CL111+(1-EXP(-LN(2)/25))/(LN(2)/25)*Calculateur!CG112*Calculateur!CI112*VLOOKUP('Données projet'!$B$12,Paramètres!$A$1:$I$89,3,0)*0.475*44/12</f>
        <v>2.3874478478409169</v>
      </c>
      <c r="CM112" s="21">
        <f>EXP(-LN(2)/2)*CM111+(1-EXP(-LN(2)/2))/(LN(2)/2)*CG112*CJ112*VLOOKUP('Données projet'!$B$12,Paramètres!$A$1:$I$89,3,0)*0.475*44/12</f>
        <v>3.8976746593297801E-11</v>
      </c>
      <c r="CN112" s="22">
        <f t="shared" si="66"/>
        <v>3.1192613623721663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-1.2505552149377763E-12</v>
      </c>
      <c r="O113" s="13">
        <f>N113*VLOOKUP('Données projet'!$B$9,Paramètres!$A$1:$I$89,3,0)*VLOOKUP('Données projet'!$B$9,Paramètres!$A$1:$I$89,5,0)</f>
        <v>-6.9906036515021697E-13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415.91544298418842</v>
      </c>
      <c r="T113" s="59">
        <f t="shared" si="88"/>
        <v>422.79312683312583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2.3420292979715183</v>
      </c>
      <c r="AA113" s="21">
        <f>EXP(-LN(2)/25)*AA112+(1-EXP(-LN(2)/25))/(LN(2)/25)*Calculateur!V113*Calculateur!X113*VLOOKUP('Données projet'!$B$9,Paramètres!$A$1:$I$89,3,0)*0.475*44/12</f>
        <v>4.2177532875005506</v>
      </c>
      <c r="AB113" s="21">
        <f>EXP(-LN(2)/2)*AB112+(1-EXP(-LN(2)/2))/(LN(2)/2)*V113*Y113*VLOOKUP('Données projet'!$B$9,Paramètres!$A$1:$I$89,3,0)*0.475*44/12</f>
        <v>3.3170991951041374E-11</v>
      </c>
      <c r="AC113" s="22">
        <f t="shared" si="57"/>
        <v>6.5597825855052401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-5.3205440053716299E-14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215.23235148064941</v>
      </c>
      <c r="AO113" s="59">
        <f t="shared" si="90"/>
        <v>184.07239726900434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0.64285202856613466</v>
      </c>
      <c r="AV113" s="21">
        <f>EXP(-LN(2)/25)*AV112+(1-EXP(-LN(2)/25))/(LN(2)/25)*Calculateur!AQ113*Calculateur!AS113*VLOOKUP('Données projet'!$B$10,Paramètres!$A$1:$I$89,3,0)*0.475*44/12</f>
        <v>0.85482236479017859</v>
      </c>
      <c r="AW113" s="21">
        <f>EXP(-LN(2)/2)*AW112+(1-EXP(-LN(2)/2))/(LN(2)/2)*AQ113*AT113*VLOOKUP('Données projet'!$B$10,Paramètres!$A$1:$I$89,3,0)*0.475*44/12</f>
        <v>8.9423124157256024E-12</v>
      </c>
      <c r="AX113" s="21">
        <f t="shared" si="60"/>
        <v>1.4976743933652557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261.27638267284169</v>
      </c>
      <c r="BJ113" s="59">
        <f t="shared" si="92"/>
        <v>297.50513563712764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1.7112163327250649</v>
      </c>
      <c r="BQ113" s="21">
        <f>EXP(-LN(2)/25)*BQ112+(1-EXP(-LN(2)/25))/(LN(2)/25)*Calculateur!BL113*Calculateur!BN113*VLOOKUP('Données projet'!$B$11,Paramètres!$A$1:$I$89,3,0)*0.475*44/12</f>
        <v>3.0327661292258234</v>
      </c>
      <c r="BR113" s="21">
        <f>EXP(-LN(2)/2)*BR112+(1-EXP(-LN(2)/2))/(LN(2)/2)*BL113*BO113*VLOOKUP('Données projet'!$B$11,Paramètres!$A$1:$I$89,3,0)*0.475*44/12</f>
        <v>2.219275405596989E-11</v>
      </c>
      <c r="BS113" s="22">
        <f t="shared" si="63"/>
        <v>4.743982461973081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-1.1368683772161603E-13</v>
      </c>
      <c r="BZ113" s="13">
        <f>BY113*VLOOKUP('Données projet'!$B$12,Paramètres!$A$1:$I$89,3,0)*VLOOKUP('Données projet'!$B$12,Paramètres!$A$1:$I$89,5,0)</f>
        <v>-6.7984728957526396E-14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314.69202393413491</v>
      </c>
      <c r="CE113" s="59">
        <f t="shared" si="94"/>
        <v>321.1728368524748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0.71746309783524853</v>
      </c>
      <c r="CL113" s="21">
        <f>EXP(-LN(2)/25)*CL112+(1-EXP(-LN(2)/25))/(LN(2)/25)*Calculateur!CG113*Calculateur!CI113*VLOOKUP('Données projet'!$B$12,Paramètres!$A$1:$I$89,3,0)*0.475*44/12</f>
        <v>2.3221629608912813</v>
      </c>
      <c r="CM113" s="21">
        <f>EXP(-LN(2)/2)*CM112+(1-EXP(-LN(2)/2))/(LN(2)/2)*CG113*CJ113*VLOOKUP('Données projet'!$B$12,Paramètres!$A$1:$I$89,3,0)*0.475*44/12</f>
        <v>2.756072182471054E-11</v>
      </c>
      <c r="CN113" s="22">
        <f t="shared" si="66"/>
        <v>3.0396260587540902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-1.2505552149377763E-12</v>
      </c>
      <c r="O114" s="13">
        <f>N114*VLOOKUP('Données projet'!$B$9,Paramètres!$A$1:$I$89,3,0)*VLOOKUP('Données projet'!$B$9,Paramètres!$A$1:$I$89,5,0)</f>
        <v>-6.9906036515021697E-13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415.91544298418842</v>
      </c>
      <c r="T114" s="59">
        <f t="shared" si="88"/>
        <v>422.79312683312583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2.2961035319351164</v>
      </c>
      <c r="AA114" s="21">
        <f>EXP(-LN(2)/25)*AA113+(1-EXP(-LN(2)/25))/(LN(2)/25)*Calculateur!V114*Calculateur!X114*VLOOKUP('Données projet'!$B$9,Paramètres!$A$1:$I$89,3,0)*0.475*44/12</f>
        <v>4.1024186020518423</v>
      </c>
      <c r="AB114" s="21">
        <f>EXP(-LN(2)/2)*AB113+(1-EXP(-LN(2)/2))/(LN(2)/2)*V114*Y114*VLOOKUP('Données projet'!$B$9,Paramètres!$A$1:$I$89,3,0)*0.475*44/12</f>
        <v>2.3455433347265743E-11</v>
      </c>
      <c r="AC114" s="22">
        <f t="shared" si="57"/>
        <v>6.3985221340104133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-5.3205440053716299E-14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215.23235148064941</v>
      </c>
      <c r="AO114" s="59">
        <f t="shared" si="90"/>
        <v>184.07239726900434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0.63024609238697338</v>
      </c>
      <c r="AV114" s="21">
        <f>EXP(-LN(2)/25)*AV113+(1-EXP(-LN(2)/25))/(LN(2)/25)*Calculateur!AQ114*Calculateur!AS114*VLOOKUP('Données projet'!$B$10,Paramètres!$A$1:$I$89,3,0)*0.475*44/12</f>
        <v>0.83144720227183666</v>
      </c>
      <c r="AW114" s="21">
        <f>EXP(-LN(2)/2)*AW113+(1-EXP(-LN(2)/2))/(LN(2)/2)*AQ114*AT114*VLOOKUP('Données projet'!$B$10,Paramètres!$A$1:$I$89,3,0)*0.475*44/12</f>
        <v>6.3231697486482308E-12</v>
      </c>
      <c r="AX114" s="21">
        <f t="shared" si="60"/>
        <v>1.4616932946651333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261.27638267284169</v>
      </c>
      <c r="BJ114" s="59">
        <f t="shared" si="92"/>
        <v>297.50513563712764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1.6776604241792288</v>
      </c>
      <c r="BQ114" s="21">
        <f>EXP(-LN(2)/25)*BQ113+(1-EXP(-LN(2)/25))/(LN(2)/25)*Calculateur!BL114*Calculateur!BN114*VLOOKUP('Données projet'!$B$11,Paramètres!$A$1:$I$89,3,0)*0.475*44/12</f>
        <v>2.949834979935904</v>
      </c>
      <c r="BR114" s="21">
        <f>EXP(-LN(2)/2)*BR113+(1-EXP(-LN(2)/2))/(LN(2)/2)*BL114*BO114*VLOOKUP('Données projet'!$B$11,Paramètres!$A$1:$I$89,3,0)*0.475*44/12</f>
        <v>1.5692646886181566E-11</v>
      </c>
      <c r="BS114" s="22">
        <f t="shared" si="63"/>
        <v>4.6274954041308254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-1.1368683772161603E-13</v>
      </c>
      <c r="BZ114" s="13">
        <f>BY114*VLOOKUP('Données projet'!$B$12,Paramètres!$A$1:$I$89,3,0)*VLOOKUP('Données projet'!$B$12,Paramètres!$A$1:$I$89,5,0)</f>
        <v>-6.7984728957526396E-14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314.69202393413491</v>
      </c>
      <c r="CE114" s="59">
        <f t="shared" si="94"/>
        <v>321.1728368524748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0.7033940840959787</v>
      </c>
      <c r="CL114" s="21">
        <f>EXP(-LN(2)/25)*CL113+(1-EXP(-LN(2)/25))/(LN(2)/25)*Calculateur!CG114*Calculateur!CI114*VLOOKUP('Données projet'!$B$12,Paramètres!$A$1:$I$89,3,0)*0.475*44/12</f>
        <v>2.2586632926084667</v>
      </c>
      <c r="CM114" s="21">
        <f>EXP(-LN(2)/2)*CM113+(1-EXP(-LN(2)/2))/(LN(2)/2)*CG114*CJ114*VLOOKUP('Données projet'!$B$12,Paramètres!$A$1:$I$89,3,0)*0.475*44/12</f>
        <v>1.9488373296648901E-11</v>
      </c>
      <c r="CN114" s="22">
        <f t="shared" si="66"/>
        <v>2.9620573767239335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-1.2505552149377763E-12</v>
      </c>
      <c r="O115" s="13">
        <f>N115*VLOOKUP('Données projet'!$B$9,Paramètres!$A$1:$I$89,3,0)*VLOOKUP('Données projet'!$B$9,Paramètres!$A$1:$I$89,5,0)</f>
        <v>-6.9906036515021697E-13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415.91544298418842</v>
      </c>
      <c r="T115" s="59">
        <f t="shared" si="88"/>
        <v>422.79312683312583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2.251078342158737</v>
      </c>
      <c r="AA115" s="21">
        <f>EXP(-LN(2)/25)*AA114+(1-EXP(-LN(2)/25))/(LN(2)/25)*Calculateur!V115*Calculateur!X115*VLOOKUP('Données projet'!$B$9,Paramètres!$A$1:$I$89,3,0)*0.475*44/12</f>
        <v>3.9902377496419166</v>
      </c>
      <c r="AB115" s="21">
        <f>EXP(-LN(2)/2)*AB114+(1-EXP(-LN(2)/2))/(LN(2)/2)*V115*Y115*VLOOKUP('Données projet'!$B$9,Paramètres!$A$1:$I$89,3,0)*0.475*44/12</f>
        <v>1.6585495975520687E-11</v>
      </c>
      <c r="AC115" s="22">
        <f t="shared" si="57"/>
        <v>6.2413160918172395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-5.3205440053716299E-14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215.23235148064941</v>
      </c>
      <c r="AO115" s="59">
        <f t="shared" si="90"/>
        <v>184.07239726900434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0.61788735092742364</v>
      </c>
      <c r="AV115" s="21">
        <f>EXP(-LN(2)/25)*AV114+(1-EXP(-LN(2)/25))/(LN(2)/25)*Calculateur!AQ115*Calculateur!AS115*VLOOKUP('Données projet'!$B$10,Paramètres!$A$1:$I$89,3,0)*0.475*44/12</f>
        <v>0.80871123480180518</v>
      </c>
      <c r="AW115" s="21">
        <f>EXP(-LN(2)/2)*AW114+(1-EXP(-LN(2)/2))/(LN(2)/2)*AQ115*AT115*VLOOKUP('Données projet'!$B$10,Paramètres!$A$1:$I$89,3,0)*0.475*44/12</f>
        <v>4.4711562078628012E-12</v>
      </c>
      <c r="AX115" s="21">
        <f t="shared" si="60"/>
        <v>1.4265985857337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261.27638267284169</v>
      </c>
      <c r="BJ115" s="59">
        <f t="shared" si="92"/>
        <v>297.50513563712764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1.6447625265328931</v>
      </c>
      <c r="BQ115" s="21">
        <f>EXP(-LN(2)/25)*BQ114+(1-EXP(-LN(2)/25))/(LN(2)/25)*Calculateur!BL115*Calculateur!BN115*VLOOKUP('Données projet'!$B$11,Paramètres!$A$1:$I$89,3,0)*0.475*44/12</f>
        <v>2.8691715872844772</v>
      </c>
      <c r="BR115" s="21">
        <f>EXP(-LN(2)/2)*BR114+(1-EXP(-LN(2)/2))/(LN(2)/2)*BL115*BO115*VLOOKUP('Données projet'!$B$11,Paramètres!$A$1:$I$89,3,0)*0.475*44/12</f>
        <v>1.1096377027984945E-11</v>
      </c>
      <c r="BS115" s="22">
        <f t="shared" si="63"/>
        <v>4.5139341138284665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-1.1368683772161603E-13</v>
      </c>
      <c r="BZ115" s="13">
        <f>BY115*VLOOKUP('Données projet'!$B$12,Paramètres!$A$1:$I$89,3,0)*VLOOKUP('Données projet'!$B$12,Paramètres!$A$1:$I$89,5,0)</f>
        <v>-6.7984728957526396E-14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314.69202393413491</v>
      </c>
      <c r="CE115" s="59">
        <f t="shared" si="94"/>
        <v>321.1728368524748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0.68960095513488484</v>
      </c>
      <c r="CL115" s="21">
        <f>EXP(-LN(2)/25)*CL114+(1-EXP(-LN(2)/25))/(LN(2)/25)*Calculateur!CG115*Calculateur!CI115*VLOOKUP('Données projet'!$B$12,Paramètres!$A$1:$I$89,3,0)*0.475*44/12</f>
        <v>2.196900026094148</v>
      </c>
      <c r="CM115" s="21">
        <f>EXP(-LN(2)/2)*CM114+(1-EXP(-LN(2)/2))/(LN(2)/2)*CG115*CJ115*VLOOKUP('Données projet'!$B$12,Paramètres!$A$1:$I$89,3,0)*0.475*44/12</f>
        <v>1.378036091235527E-11</v>
      </c>
      <c r="CN115" s="22">
        <f t="shared" si="66"/>
        <v>2.8865009812428135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-1.2505552149377763E-12</v>
      </c>
      <c r="O116" s="13">
        <f>N116*VLOOKUP('Données projet'!$B$9,Paramètres!$A$1:$I$89,3,0)*VLOOKUP('Données projet'!$B$9,Paramètres!$A$1:$I$89,5,0)</f>
        <v>-6.9906036515021697E-13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415.91544298418842</v>
      </c>
      <c r="T116" s="59">
        <f t="shared" si="88"/>
        <v>422.79312683312583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2.2069360688912183</v>
      </c>
      <c r="AA116" s="21">
        <f>EXP(-LN(2)/25)*AA115+(1-EXP(-LN(2)/25))/(LN(2)/25)*Calculateur!V116*Calculateur!X116*VLOOKUP('Données projet'!$B$9,Paramètres!$A$1:$I$89,3,0)*0.475*44/12</f>
        <v>3.881124488540475</v>
      </c>
      <c r="AB116" s="21">
        <f>EXP(-LN(2)/2)*AB115+(1-EXP(-LN(2)/2))/(LN(2)/2)*V116*Y116*VLOOKUP('Données projet'!$B$9,Paramètres!$A$1:$I$89,3,0)*0.475*44/12</f>
        <v>1.1727716673632871E-11</v>
      </c>
      <c r="AC116" s="22">
        <f t="shared" si="57"/>
        <v>6.0880605574434208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-5.3205440053716299E-14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215.23235148064941</v>
      </c>
      <c r="AO116" s="59">
        <f t="shared" si="90"/>
        <v>184.07239726900434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0.60577095684980775</v>
      </c>
      <c r="AV116" s="21">
        <f>EXP(-LN(2)/25)*AV115+(1-EXP(-LN(2)/25))/(LN(2)/25)*Calculateur!AQ116*Calculateur!AS116*VLOOKUP('Données projet'!$B$10,Paramètres!$A$1:$I$89,3,0)*0.475*44/12</f>
        <v>0.78659698355787433</v>
      </c>
      <c r="AW116" s="21">
        <f>EXP(-LN(2)/2)*AW115+(1-EXP(-LN(2)/2))/(LN(2)/2)*AQ116*AT116*VLOOKUP('Données projet'!$B$10,Paramètres!$A$1:$I$89,3,0)*0.475*44/12</f>
        <v>3.1615848743241154E-12</v>
      </c>
      <c r="AX116" s="21">
        <f t="shared" si="60"/>
        <v>1.3923679404108438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261.27638267284169</v>
      </c>
      <c r="BJ116" s="59">
        <f t="shared" si="92"/>
        <v>297.50513563712764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1.6125097365936658</v>
      </c>
      <c r="BQ116" s="21">
        <f>EXP(-LN(2)/25)*BQ115+(1-EXP(-LN(2)/25))/(LN(2)/25)*Calculateur!BL116*Calculateur!BN116*VLOOKUP('Données projet'!$B$11,Paramètres!$A$1:$I$89,3,0)*0.475*44/12</f>
        <v>2.7907139393470071</v>
      </c>
      <c r="BR116" s="21">
        <f>EXP(-LN(2)/2)*BR115+(1-EXP(-LN(2)/2))/(LN(2)/2)*BL116*BO116*VLOOKUP('Données projet'!$B$11,Paramètres!$A$1:$I$89,3,0)*0.475*44/12</f>
        <v>7.8463234430907829E-12</v>
      </c>
      <c r="BS116" s="22">
        <f t="shared" si="63"/>
        <v>4.403223675948519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-1.1368683772161603E-13</v>
      </c>
      <c r="BZ116" s="13">
        <f>BY116*VLOOKUP('Données projet'!$B$12,Paramètres!$A$1:$I$89,3,0)*VLOOKUP('Données projet'!$B$12,Paramètres!$A$1:$I$89,5,0)</f>
        <v>-6.7984728957526396E-14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314.69202393413491</v>
      </c>
      <c r="CE116" s="59">
        <f t="shared" si="94"/>
        <v>321.1728368524748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0.67607830101974009</v>
      </c>
      <c r="CL116" s="21">
        <f>EXP(-LN(2)/25)*CL115+(1-EXP(-LN(2)/25))/(LN(2)/25)*Calculateur!CG116*Calculateur!CI116*VLOOKUP('Données projet'!$B$12,Paramètres!$A$1:$I$89,3,0)*0.475*44/12</f>
        <v>2.1368256793506522</v>
      </c>
      <c r="CM116" s="21">
        <f>EXP(-LN(2)/2)*CM115+(1-EXP(-LN(2)/2))/(LN(2)/2)*CG116*CJ116*VLOOKUP('Données projet'!$B$12,Paramètres!$A$1:$I$89,3,0)*0.475*44/12</f>
        <v>9.7441866483244503E-12</v>
      </c>
      <c r="CN116" s="22">
        <f t="shared" si="66"/>
        <v>2.8129039803801366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-1.2505552149377763E-12</v>
      </c>
      <c r="O117" s="13">
        <f>N117*VLOOKUP('Données projet'!$B$9,Paramètres!$A$1:$I$89,3,0)*VLOOKUP('Données projet'!$B$9,Paramètres!$A$1:$I$89,5,0)</f>
        <v>-6.9906036515021697E-13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415.91544298418842</v>
      </c>
      <c r="T117" s="59">
        <f t="shared" si="88"/>
        <v>422.79312683312583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2.1636593986783472</v>
      </c>
      <c r="AA117" s="21">
        <f>EXP(-LN(2)/25)*AA116+(1-EXP(-LN(2)/25))/(LN(2)/25)*Calculateur!V117*Calculateur!X117*VLOOKUP('Données projet'!$B$9,Paramètres!$A$1:$I$89,3,0)*0.475*44/12</f>
        <v>3.7749949353018692</v>
      </c>
      <c r="AB117" s="21">
        <f>EXP(-LN(2)/2)*AB116+(1-EXP(-LN(2)/2))/(LN(2)/2)*V117*Y117*VLOOKUP('Données projet'!$B$9,Paramètres!$A$1:$I$89,3,0)*0.475*44/12</f>
        <v>8.2927479877603436E-12</v>
      </c>
      <c r="AC117" s="22">
        <f t="shared" si="57"/>
        <v>5.9386543339885094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-5.3205440053716299E-14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215.23235148064941</v>
      </c>
      <c r="AO117" s="59">
        <f t="shared" si="90"/>
        <v>184.07239726900434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0.59389215786978322</v>
      </c>
      <c r="AV117" s="21">
        <f>EXP(-LN(2)/25)*AV116+(1-EXP(-LN(2)/25))/(LN(2)/25)*Calculateur!AQ117*Calculateur!AS117*VLOOKUP('Données projet'!$B$10,Paramètres!$A$1:$I$89,3,0)*0.475*44/12</f>
        <v>0.76508744767714665</v>
      </c>
      <c r="AW117" s="21">
        <f>EXP(-LN(2)/2)*AW116+(1-EXP(-LN(2)/2))/(LN(2)/2)*AQ117*AT117*VLOOKUP('Données projet'!$B$10,Paramètres!$A$1:$I$89,3,0)*0.475*44/12</f>
        <v>2.2355781039314006E-12</v>
      </c>
      <c r="AX117" s="21">
        <f t="shared" si="60"/>
        <v>1.3589796055491654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261.27638267284169</v>
      </c>
      <c r="BJ117" s="59">
        <f t="shared" si="92"/>
        <v>297.50513563712764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1.5808894041928874</v>
      </c>
      <c r="BQ117" s="21">
        <f>EXP(-LN(2)/25)*BQ116+(1-EXP(-LN(2)/25))/(LN(2)/25)*Calculateur!BL117*Calculateur!BN117*VLOOKUP('Données projet'!$B$11,Paramètres!$A$1:$I$89,3,0)*0.475*44/12</f>
        <v>2.7144017199182953</v>
      </c>
      <c r="BR117" s="21">
        <f>EXP(-LN(2)/2)*BR116+(1-EXP(-LN(2)/2))/(LN(2)/2)*BL117*BO117*VLOOKUP('Données projet'!$B$11,Paramètres!$A$1:$I$89,3,0)*0.475*44/12</f>
        <v>5.5481885139924725E-12</v>
      </c>
      <c r="BS117" s="22">
        <f t="shared" si="63"/>
        <v>4.2952911241167309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-1.1368683772161603E-13</v>
      </c>
      <c r="BZ117" s="13">
        <f>BY117*VLOOKUP('Données projet'!$B$12,Paramètres!$A$1:$I$89,3,0)*VLOOKUP('Données projet'!$B$12,Paramètres!$A$1:$I$89,5,0)</f>
        <v>-6.7984728957526396E-14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314.69202393413491</v>
      </c>
      <c r="CE117" s="59">
        <f t="shared" si="94"/>
        <v>321.1728368524748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0.66282081790378877</v>
      </c>
      <c r="CL117" s="21">
        <f>EXP(-LN(2)/25)*CL116+(1-EXP(-LN(2)/25))/(LN(2)/25)*Calculateur!CG117*Calculateur!CI117*VLOOKUP('Données projet'!$B$12,Paramètres!$A$1:$I$89,3,0)*0.475*44/12</f>
        <v>2.0783940687780298</v>
      </c>
      <c r="CM117" s="21">
        <f>EXP(-LN(2)/2)*CM116+(1-EXP(-LN(2)/2))/(LN(2)/2)*CG117*CJ117*VLOOKUP('Données projet'!$B$12,Paramètres!$A$1:$I$89,3,0)*0.475*44/12</f>
        <v>6.8901804561776351E-12</v>
      </c>
      <c r="CN117" s="22">
        <f t="shared" si="66"/>
        <v>2.7412148866887085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-1.2505552149377763E-12</v>
      </c>
      <c r="O118" s="13">
        <f>N118*VLOOKUP('Données projet'!$B$9,Paramètres!$A$1:$I$89,3,0)*VLOOKUP('Données projet'!$B$9,Paramètres!$A$1:$I$89,5,0)</f>
        <v>-6.9906036515021697E-13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415.91544298418842</v>
      </c>
      <c r="T118" s="59">
        <f t="shared" si="88"/>
        <v>422.79312683312583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2.1212313575721882</v>
      </c>
      <c r="AA118" s="21">
        <f>EXP(-LN(2)/25)*AA117+(1-EXP(-LN(2)/25))/(LN(2)/25)*Calculateur!V118*Calculateur!X118*VLOOKUP('Données projet'!$B$9,Paramètres!$A$1:$I$89,3,0)*0.475*44/12</f>
        <v>3.6717675002776837</v>
      </c>
      <c r="AB118" s="21">
        <f>EXP(-LN(2)/2)*AB117+(1-EXP(-LN(2)/2))/(LN(2)/2)*V118*Y118*VLOOKUP('Données projet'!$B$9,Paramètres!$A$1:$I$89,3,0)*0.475*44/12</f>
        <v>5.8638583368164357E-12</v>
      </c>
      <c r="AC118" s="22">
        <f t="shared" si="57"/>
        <v>5.7929988578557357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-5.3205440053716299E-14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215.23235148064941</v>
      </c>
      <c r="AO118" s="59">
        <f t="shared" si="90"/>
        <v>184.07239726900434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0.58224629489240498</v>
      </c>
      <c r="AV118" s="21">
        <f>EXP(-LN(2)/25)*AV117+(1-EXP(-LN(2)/25))/(LN(2)/25)*Calculateur!AQ118*Calculateur!AS118*VLOOKUP('Données projet'!$B$10,Paramètres!$A$1:$I$89,3,0)*0.475*44/12</f>
        <v>0.7441660911862148</v>
      </c>
      <c r="AW118" s="21">
        <f>EXP(-LN(2)/2)*AW117+(1-EXP(-LN(2)/2))/(LN(2)/2)*AQ118*AT118*VLOOKUP('Données projet'!$B$10,Paramètres!$A$1:$I$89,3,0)*0.475*44/12</f>
        <v>1.5807924371620577E-12</v>
      </c>
      <c r="AX118" s="21">
        <f t="shared" si="60"/>
        <v>1.3264123860802004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261.27638267284169</v>
      </c>
      <c r="BJ118" s="59">
        <f t="shared" si="92"/>
        <v>297.50513563712764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1.5498891272239899</v>
      </c>
      <c r="BQ118" s="21">
        <f>EXP(-LN(2)/25)*BQ117+(1-EXP(-LN(2)/25))/(LN(2)/25)*Calculateur!BL118*Calculateur!BN118*VLOOKUP('Données projet'!$B$11,Paramètres!$A$1:$I$89,3,0)*0.475*44/12</f>
        <v>2.6401762621429468</v>
      </c>
      <c r="BR118" s="21">
        <f>EXP(-LN(2)/2)*BR117+(1-EXP(-LN(2)/2))/(LN(2)/2)*BL118*BO118*VLOOKUP('Données projet'!$B$11,Paramètres!$A$1:$I$89,3,0)*0.475*44/12</f>
        <v>3.9231617215453914E-12</v>
      </c>
      <c r="BS118" s="22">
        <f t="shared" si="63"/>
        <v>4.1900653893708597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-1.1368683772161603E-13</v>
      </c>
      <c r="BZ118" s="13">
        <f>BY118*VLOOKUP('Données projet'!$B$12,Paramètres!$A$1:$I$89,3,0)*VLOOKUP('Données projet'!$B$12,Paramètres!$A$1:$I$89,5,0)</f>
        <v>-6.7984728957526396E-14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314.69202393413491</v>
      </c>
      <c r="CE118" s="59">
        <f t="shared" si="94"/>
        <v>321.1728368524748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0.64982330594547499</v>
      </c>
      <c r="CL118" s="21">
        <f>EXP(-LN(2)/25)*CL117+(1-EXP(-LN(2)/25))/(LN(2)/25)*Calculateur!CG118*Calculateur!CI118*VLOOKUP('Données projet'!$B$12,Paramètres!$A$1:$I$89,3,0)*0.475*44/12</f>
        <v>2.0215602736693006</v>
      </c>
      <c r="CM118" s="21">
        <f>EXP(-LN(2)/2)*CM117+(1-EXP(-LN(2)/2))/(LN(2)/2)*CG118*CJ118*VLOOKUP('Données projet'!$B$12,Paramètres!$A$1:$I$89,3,0)*0.475*44/12</f>
        <v>4.8720933241622252E-12</v>
      </c>
      <c r="CN118" s="22">
        <f t="shared" si="66"/>
        <v>2.6713835796196475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-1.2505552149377763E-12</v>
      </c>
      <c r="O119" s="13">
        <f>N119*VLOOKUP('Données projet'!$B$9,Paramètres!$A$1:$I$89,3,0)*VLOOKUP('Données projet'!$B$9,Paramètres!$A$1:$I$89,5,0)</f>
        <v>-6.9906036515021697E-13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415.91544298418842</v>
      </c>
      <c r="T119" s="59">
        <f t="shared" si="88"/>
        <v>422.79312683312583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2.0796353044735714</v>
      </c>
      <c r="AA119" s="21">
        <f>EXP(-LN(2)/25)*AA118+(1-EXP(-LN(2)/25))/(LN(2)/25)*Calculateur!V119*Calculateur!X119*VLOOKUP('Données projet'!$B$9,Paramètres!$A$1:$I$89,3,0)*0.475*44/12</f>
        <v>3.5713628248927294</v>
      </c>
      <c r="AB119" s="21">
        <f>EXP(-LN(2)/2)*AB118+(1-EXP(-LN(2)/2))/(LN(2)/2)*V119*Y119*VLOOKUP('Données projet'!$B$9,Paramètres!$A$1:$I$89,3,0)*0.475*44/12</f>
        <v>4.1463739938801718E-12</v>
      </c>
      <c r="AC119" s="22">
        <f t="shared" si="57"/>
        <v>5.6509981293704463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-5.3205440053716299E-14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215.23235148064941</v>
      </c>
      <c r="AO119" s="59">
        <f t="shared" si="90"/>
        <v>184.07239726900434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0.57082880018473814</v>
      </c>
      <c r="AV119" s="21">
        <f>EXP(-LN(2)/25)*AV118+(1-EXP(-LN(2)/25))/(LN(2)/25)*Calculateur!AQ119*Calculateur!AS119*VLOOKUP('Données projet'!$B$10,Paramètres!$A$1:$I$89,3,0)*0.475*44/12</f>
        <v>0.72381683028873378</v>
      </c>
      <c r="AW119" s="21">
        <f>EXP(-LN(2)/2)*AW118+(1-EXP(-LN(2)/2))/(LN(2)/2)*AQ119*AT119*VLOOKUP('Données projet'!$B$10,Paramètres!$A$1:$I$89,3,0)*0.475*44/12</f>
        <v>1.1177890519657003E-12</v>
      </c>
      <c r="AX119" s="21">
        <f t="shared" si="60"/>
        <v>1.2946456304745897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261.27638267284169</v>
      </c>
      <c r="BJ119" s="59">
        <f t="shared" si="92"/>
        <v>297.50513563712764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1.5194967467781506</v>
      </c>
      <c r="BQ119" s="21">
        <f>EXP(-LN(2)/25)*BQ118+(1-EXP(-LN(2)/25))/(LN(2)/25)*Calculateur!BL119*Calculateur!BN119*VLOOKUP('Données projet'!$B$11,Paramètres!$A$1:$I$89,3,0)*0.475*44/12</f>
        <v>2.5679805034138123</v>
      </c>
      <c r="BR119" s="21">
        <f>EXP(-LN(2)/2)*BR118+(1-EXP(-LN(2)/2))/(LN(2)/2)*BL119*BO119*VLOOKUP('Données projet'!$B$11,Paramètres!$A$1:$I$89,3,0)*0.475*44/12</f>
        <v>2.7740942569962362E-12</v>
      </c>
      <c r="BS119" s="22">
        <f t="shared" si="63"/>
        <v>4.0874772501947367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-1.1368683772161603E-13</v>
      </c>
      <c r="BZ119" s="13">
        <f>BY119*VLOOKUP('Données projet'!$B$12,Paramètres!$A$1:$I$89,3,0)*VLOOKUP('Données projet'!$B$12,Paramètres!$A$1:$I$89,5,0)</f>
        <v>-6.7984728957526396E-14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314.69202393413491</v>
      </c>
      <c r="CE119" s="59">
        <f t="shared" si="94"/>
        <v>321.1728368524748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0.63708066726896428</v>
      </c>
      <c r="CL119" s="21">
        <f>EXP(-LN(2)/25)*CL118+(1-EXP(-LN(2)/25))/(LN(2)/25)*Calculateur!CG119*Calculateur!CI119*VLOOKUP('Données projet'!$B$12,Paramètres!$A$1:$I$89,3,0)*0.475*44/12</f>
        <v>1.966280601676579</v>
      </c>
      <c r="CM119" s="21">
        <f>EXP(-LN(2)/2)*CM118+(1-EXP(-LN(2)/2))/(LN(2)/2)*CG119*CJ119*VLOOKUP('Données projet'!$B$12,Paramètres!$A$1:$I$89,3,0)*0.475*44/12</f>
        <v>3.4450902280888176E-12</v>
      </c>
      <c r="CN119" s="22">
        <f t="shared" si="66"/>
        <v>2.6033612689489884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-1.2505552149377763E-12</v>
      </c>
      <c r="O120" s="13">
        <f>N120*VLOOKUP('Données projet'!$B$9,Paramètres!$A$1:$I$89,3,0)*VLOOKUP('Données projet'!$B$9,Paramètres!$A$1:$I$89,5,0)</f>
        <v>-6.9906036515021697E-13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415.91544298418842</v>
      </c>
      <c r="T120" s="59">
        <f t="shared" si="88"/>
        <v>422.79312683312583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2.0388549246051313</v>
      </c>
      <c r="AA120" s="21">
        <f>EXP(-LN(2)/25)*AA119+(1-EXP(-LN(2)/25))/(LN(2)/25)*Calculateur!V120*Calculateur!X120*VLOOKUP('Données projet'!$B$9,Paramètres!$A$1:$I$89,3,0)*0.475*44/12</f>
        <v>3.4737037206362293</v>
      </c>
      <c r="AB120" s="21">
        <f>EXP(-LN(2)/2)*AB119+(1-EXP(-LN(2)/2))/(LN(2)/2)*V120*Y120*VLOOKUP('Données projet'!$B$9,Paramètres!$A$1:$I$89,3,0)*0.475*44/12</f>
        <v>2.9319291684082178E-12</v>
      </c>
      <c r="AC120" s="22">
        <f t="shared" si="57"/>
        <v>5.512558645244293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-5.3205440053716299E-14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215.23235148064941</v>
      </c>
      <c r="AO120" s="59">
        <f t="shared" si="90"/>
        <v>184.07239726900434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0.55963519558430452</v>
      </c>
      <c r="AV120" s="21">
        <f>EXP(-LN(2)/25)*AV119+(1-EXP(-LN(2)/25))/(LN(2)/25)*Calculateur!AQ120*Calculateur!AS120*VLOOKUP('Données projet'!$B$10,Paramètres!$A$1:$I$89,3,0)*0.475*44/12</f>
        <v>0.70402402100061556</v>
      </c>
      <c r="AW120" s="21">
        <f>EXP(-LN(2)/2)*AW119+(1-EXP(-LN(2)/2))/(LN(2)/2)*AQ120*AT120*VLOOKUP('Données projet'!$B$10,Paramètres!$A$1:$I$89,3,0)*0.475*44/12</f>
        <v>7.9039621858102885E-13</v>
      </c>
      <c r="AX120" s="21">
        <f t="shared" si="60"/>
        <v>1.2636592165857106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261.27638267284169</v>
      </c>
      <c r="BJ120" s="59">
        <f t="shared" si="92"/>
        <v>297.50513563712764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1.4897003423753326</v>
      </c>
      <c r="BQ120" s="21">
        <f>EXP(-LN(2)/25)*BQ119+(1-EXP(-LN(2)/25))/(LN(2)/25)*Calculateur!BL120*Calculateur!BN120*VLOOKUP('Données projet'!$B$11,Paramètres!$A$1:$I$89,3,0)*0.475*44/12</f>
        <v>2.497758941503736</v>
      </c>
      <c r="BR120" s="21">
        <f>EXP(-LN(2)/2)*BR119+(1-EXP(-LN(2)/2))/(LN(2)/2)*BL120*BO120*VLOOKUP('Données projet'!$B$11,Paramètres!$A$1:$I$89,3,0)*0.475*44/12</f>
        <v>1.9615808607726957E-12</v>
      </c>
      <c r="BS120" s="22">
        <f t="shared" si="63"/>
        <v>3.9874592838810301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-1.1368683772161603E-13</v>
      </c>
      <c r="BZ120" s="13">
        <f>BY120*VLOOKUP('Données projet'!$B$12,Paramètres!$A$1:$I$89,3,0)*VLOOKUP('Données projet'!$B$12,Paramètres!$A$1:$I$89,5,0)</f>
        <v>-6.7984728957526396E-14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314.69202393413491</v>
      </c>
      <c r="CE120" s="59">
        <f t="shared" si="94"/>
        <v>321.1728368524748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0.6245879039646578</v>
      </c>
      <c r="CL120" s="21">
        <f>EXP(-LN(2)/25)*CL119+(1-EXP(-LN(2)/25))/(LN(2)/25)*Calculateur!CG120*Calculateur!CI120*VLOOKUP('Données projet'!$B$12,Paramètres!$A$1:$I$89,3,0)*0.475*44/12</f>
        <v>1.9125125552215301</v>
      </c>
      <c r="CM120" s="21">
        <f>EXP(-LN(2)/2)*CM119+(1-EXP(-LN(2)/2))/(LN(2)/2)*CG120*CJ120*VLOOKUP('Données projet'!$B$12,Paramètres!$A$1:$I$89,3,0)*0.475*44/12</f>
        <v>2.4360466620811126E-12</v>
      </c>
      <c r="CN120" s="22">
        <f t="shared" si="66"/>
        <v>2.5371004591886237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-1.2505552149377763E-12</v>
      </c>
      <c r="O121" s="13">
        <f>N121*VLOOKUP('Données projet'!$B$9,Paramètres!$A$1:$I$89,3,0)*VLOOKUP('Données projet'!$B$9,Paramètres!$A$1:$I$89,5,0)</f>
        <v>-6.9906036515021697E-13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415.91544298418842</v>
      </c>
      <c r="T121" s="59">
        <f t="shared" si="88"/>
        <v>422.79312683312583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1.9988742231123355</v>
      </c>
      <c r="AA121" s="21">
        <f>EXP(-LN(2)/25)*AA120+(1-EXP(-LN(2)/25))/(LN(2)/25)*Calculateur!V121*Calculateur!X121*VLOOKUP('Données projet'!$B$9,Paramètres!$A$1:$I$89,3,0)*0.475*44/12</f>
        <v>3.3787151097212922</v>
      </c>
      <c r="AB121" s="21">
        <f>EXP(-LN(2)/2)*AB120+(1-EXP(-LN(2)/2))/(LN(2)/2)*V121*Y121*VLOOKUP('Données projet'!$B$9,Paramètres!$A$1:$I$89,3,0)*0.475*44/12</f>
        <v>2.0731869969400859E-12</v>
      </c>
      <c r="AC121" s="22">
        <f t="shared" si="57"/>
        <v>5.3775893328357007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-5.3205440053716299E-14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215.23235148064941</v>
      </c>
      <c r="AO121" s="59">
        <f t="shared" si="90"/>
        <v>184.07239726900434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0.54866109074266067</v>
      </c>
      <c r="AV121" s="21">
        <f>EXP(-LN(2)/25)*AV120+(1-EXP(-LN(2)/25))/(LN(2)/25)*Calculateur!AQ121*Calculateur!AS121*VLOOKUP('Données projet'!$B$10,Paramètres!$A$1:$I$89,3,0)*0.475*44/12</f>
        <v>0.68477244712333951</v>
      </c>
      <c r="AW121" s="21">
        <f>EXP(-LN(2)/2)*AW120+(1-EXP(-LN(2)/2))/(LN(2)/2)*AQ121*AT121*VLOOKUP('Données projet'!$B$10,Paramètres!$A$1:$I$89,3,0)*0.475*44/12</f>
        <v>5.5889452598285015E-13</v>
      </c>
      <c r="AX121" s="21">
        <f t="shared" si="60"/>
        <v>1.2334335378665591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261.27638267284169</v>
      </c>
      <c r="BJ121" s="59">
        <f t="shared" si="92"/>
        <v>297.50513563712764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1.4604882272888415</v>
      </c>
      <c r="BQ121" s="21">
        <f>EXP(-LN(2)/25)*BQ120+(1-EXP(-LN(2)/25))/(LN(2)/25)*Calculateur!BL121*Calculateur!BN121*VLOOKUP('Données projet'!$B$11,Paramètres!$A$1:$I$89,3,0)*0.475*44/12</f>
        <v>2.4294575918968824</v>
      </c>
      <c r="BR121" s="21">
        <f>EXP(-LN(2)/2)*BR120+(1-EXP(-LN(2)/2))/(LN(2)/2)*BL121*BO121*VLOOKUP('Données projet'!$B$11,Paramètres!$A$1:$I$89,3,0)*0.475*44/12</f>
        <v>1.3870471284981181E-12</v>
      </c>
      <c r="BS121" s="22">
        <f t="shared" si="63"/>
        <v>3.8899458191871106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-1.1368683772161603E-13</v>
      </c>
      <c r="BZ121" s="13">
        <f>BY121*VLOOKUP('Données projet'!$B$12,Paramètres!$A$1:$I$89,3,0)*VLOOKUP('Données projet'!$B$12,Paramètres!$A$1:$I$89,5,0)</f>
        <v>-6.7984728957526396E-14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314.69202393413491</v>
      </c>
      <c r="CE121" s="59">
        <f t="shared" si="94"/>
        <v>321.1728368524748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0.61234011612891548</v>
      </c>
      <c r="CL121" s="21">
        <f>EXP(-LN(2)/25)*CL120+(1-EXP(-LN(2)/25))/(LN(2)/25)*Calculateur!CG121*Calculateur!CI121*VLOOKUP('Données projet'!$B$12,Paramètres!$A$1:$I$89,3,0)*0.475*44/12</f>
        <v>1.8602147988243332</v>
      </c>
      <c r="CM121" s="21">
        <f>EXP(-LN(2)/2)*CM120+(1-EXP(-LN(2)/2))/(LN(2)/2)*CG121*CJ121*VLOOKUP('Données projet'!$B$12,Paramètres!$A$1:$I$89,3,0)*0.475*44/12</f>
        <v>1.7225451140444088E-12</v>
      </c>
      <c r="CN121" s="22">
        <f t="shared" si="66"/>
        <v>2.4725549149549715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-1.2505552149377763E-12</v>
      </c>
      <c r="O122" s="13">
        <f>N122*VLOOKUP('Données projet'!$B$9,Paramètres!$A$1:$I$89,3,0)*VLOOKUP('Données projet'!$B$9,Paramètres!$A$1:$I$89,5,0)</f>
        <v>-6.9906036515021697E-13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415.91544298418842</v>
      </c>
      <c r="T122" s="59">
        <f t="shared" si="88"/>
        <v>422.79312683312583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1.9596775187899935</v>
      </c>
      <c r="AA122" s="21">
        <f>EXP(-LN(2)/25)*AA121+(1-EXP(-LN(2)/25))/(LN(2)/25)*Calculateur!V122*Calculateur!X122*VLOOKUP('Données projet'!$B$9,Paramètres!$A$1:$I$89,3,0)*0.475*44/12</f>
        <v>3.2863239673670579</v>
      </c>
      <c r="AB122" s="21">
        <f>EXP(-LN(2)/2)*AB121+(1-EXP(-LN(2)/2))/(LN(2)/2)*V122*Y122*VLOOKUP('Données projet'!$B$9,Paramètres!$A$1:$I$89,3,0)*0.475*44/12</f>
        <v>1.4659645842041089E-12</v>
      </c>
      <c r="AC122" s="22">
        <f t="shared" si="57"/>
        <v>5.2460014861585176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-5.3205440053716299E-14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215.23235148064941</v>
      </c>
      <c r="AO122" s="59">
        <f t="shared" si="90"/>
        <v>184.07239726900434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0.5379021814034185</v>
      </c>
      <c r="AV122" s="21">
        <f>EXP(-LN(2)/25)*AV121+(1-EXP(-LN(2)/25))/(LN(2)/25)*Calculateur!AQ122*Calculateur!AS122*VLOOKUP('Données projet'!$B$10,Paramètres!$A$1:$I$89,3,0)*0.475*44/12</f>
        <v>0.66604730854613392</v>
      </c>
      <c r="AW122" s="21">
        <f>EXP(-LN(2)/2)*AW121+(1-EXP(-LN(2)/2))/(LN(2)/2)*AQ122*AT122*VLOOKUP('Données projet'!$B$10,Paramètres!$A$1:$I$89,3,0)*0.475*44/12</f>
        <v>3.9519810929051443E-13</v>
      </c>
      <c r="AX122" s="21">
        <f t="shared" si="60"/>
        <v>1.2039494899499477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261.27638267284169</v>
      </c>
      <c r="BJ122" s="59">
        <f t="shared" si="92"/>
        <v>297.50513563712764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1.4318489439615658</v>
      </c>
      <c r="BQ122" s="21">
        <f>EXP(-LN(2)/25)*BQ121+(1-EXP(-LN(2)/25))/(LN(2)/25)*Calculateur!BL122*Calculateur!BN122*VLOOKUP('Données projet'!$B$11,Paramètres!$A$1:$I$89,3,0)*0.475*44/12</f>
        <v>2.3630239462868401</v>
      </c>
      <c r="BR122" s="21">
        <f>EXP(-LN(2)/2)*BR121+(1-EXP(-LN(2)/2))/(LN(2)/2)*BL122*BO122*VLOOKUP('Données projet'!$B$11,Paramètres!$A$1:$I$89,3,0)*0.475*44/12</f>
        <v>9.8079043038634786E-13</v>
      </c>
      <c r="BS122" s="22">
        <f t="shared" si="63"/>
        <v>3.7948728902493869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-1.1368683772161603E-13</v>
      </c>
      <c r="BZ122" s="13">
        <f>BY122*VLOOKUP('Données projet'!$B$12,Paramètres!$A$1:$I$89,3,0)*VLOOKUP('Données projet'!$B$12,Paramètres!$A$1:$I$89,5,0)</f>
        <v>-6.7984728957526396E-14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314.69202393413491</v>
      </c>
      <c r="CE122" s="59">
        <f t="shared" si="94"/>
        <v>321.1728368524748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0.60033249994221916</v>
      </c>
      <c r="CL122" s="21">
        <f>EXP(-LN(2)/25)*CL121+(1-EXP(-LN(2)/25))/(LN(2)/25)*Calculateur!CG122*Calculateur!CI122*VLOOKUP('Données projet'!$B$12,Paramètres!$A$1:$I$89,3,0)*0.475*44/12</f>
        <v>1.8093471273260371</v>
      </c>
      <c r="CM122" s="21">
        <f>EXP(-LN(2)/2)*CM121+(1-EXP(-LN(2)/2))/(LN(2)/2)*CG122*CJ122*VLOOKUP('Données projet'!$B$12,Paramètres!$A$1:$I$89,3,0)*0.475*44/12</f>
        <v>1.2180233310405563E-12</v>
      </c>
      <c r="CN122" s="22">
        <f t="shared" si="66"/>
        <v>2.4096796272694743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-1.2505552149377763E-12</v>
      </c>
      <c r="O123" s="13">
        <f>N123*VLOOKUP('Données projet'!$B$9,Paramètres!$A$1:$I$89,3,0)*VLOOKUP('Données projet'!$B$9,Paramètres!$A$1:$I$89,5,0)</f>
        <v>-6.9906036515021697E-13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415.91544298418842</v>
      </c>
      <c r="T123" s="59">
        <f t="shared" si="88"/>
        <v>422.79312683312583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1.9212494379317835</v>
      </c>
      <c r="AA123" s="21">
        <f>EXP(-LN(2)/25)*AA122+(1-EXP(-LN(2)/25))/(LN(2)/25)*Calculateur!V123*Calculateur!X123*VLOOKUP('Données projet'!$B$9,Paramètres!$A$1:$I$89,3,0)*0.475*44/12</f>
        <v>3.1964592656591391</v>
      </c>
      <c r="AB123" s="21">
        <f>EXP(-LN(2)/2)*AB122+(1-EXP(-LN(2)/2))/(LN(2)/2)*V123*Y123*VLOOKUP('Données projet'!$B$9,Paramètres!$A$1:$I$89,3,0)*0.475*44/12</f>
        <v>1.036593498470043E-12</v>
      </c>
      <c r="AC123" s="22">
        <f t="shared" si="57"/>
        <v>5.1177087035919593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-5.3205440053716299E-14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215.23235148064941</v>
      </c>
      <c r="AO123" s="59">
        <f t="shared" si="90"/>
        <v>184.07239726900434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0.52735424771403216</v>
      </c>
      <c r="AV123" s="21">
        <f>EXP(-LN(2)/25)*AV122+(1-EXP(-LN(2)/25))/(LN(2)/25)*Calculateur!AQ123*Calculateur!AS123*VLOOKUP('Données projet'!$B$10,Paramètres!$A$1:$I$89,3,0)*0.475*44/12</f>
        <v>0.64783420986803419</v>
      </c>
      <c r="AW123" s="21">
        <f>EXP(-LN(2)/2)*AW122+(1-EXP(-LN(2)/2))/(LN(2)/2)*AQ123*AT123*VLOOKUP('Données projet'!$B$10,Paramètres!$A$1:$I$89,3,0)*0.475*44/12</f>
        <v>2.7944726299142507E-13</v>
      </c>
      <c r="AX123" s="21">
        <f t="shared" si="60"/>
        <v>1.1751884575823459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261.27638267284169</v>
      </c>
      <c r="BJ123" s="59">
        <f t="shared" si="92"/>
        <v>297.50513563712764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1.4037712595120999</v>
      </c>
      <c r="BQ123" s="21">
        <f>EXP(-LN(2)/25)*BQ122+(1-EXP(-LN(2)/25))/(LN(2)/25)*Calculateur!BL123*Calculateur!BN123*VLOOKUP('Données projet'!$B$11,Paramètres!$A$1:$I$89,3,0)*0.475*44/12</f>
        <v>2.2984069322095979</v>
      </c>
      <c r="BR123" s="21">
        <f>EXP(-LN(2)/2)*BR122+(1-EXP(-LN(2)/2))/(LN(2)/2)*BL123*BO123*VLOOKUP('Données projet'!$B$11,Paramètres!$A$1:$I$89,3,0)*0.475*44/12</f>
        <v>6.9352356424905906E-13</v>
      </c>
      <c r="BS123" s="22">
        <f t="shared" si="63"/>
        <v>3.7021781917223917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-1.1368683772161603E-13</v>
      </c>
      <c r="BZ123" s="13">
        <f>BY123*VLOOKUP('Données projet'!$B$12,Paramètres!$A$1:$I$89,3,0)*VLOOKUP('Données projet'!$B$12,Paramètres!$A$1:$I$89,5,0)</f>
        <v>-6.7984728957526396E-14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314.69202393413491</v>
      </c>
      <c r="CE123" s="59">
        <f t="shared" si="94"/>
        <v>321.1728368524748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0.58856034578502125</v>
      </c>
      <c r="CL123" s="21">
        <f>EXP(-LN(2)/25)*CL122+(1-EXP(-LN(2)/25))/(LN(2)/25)*Calculateur!CG123*Calculateur!CI123*VLOOKUP('Données projet'!$B$12,Paramètres!$A$1:$I$89,3,0)*0.475*44/12</f>
        <v>1.7598704349798764</v>
      </c>
      <c r="CM123" s="21">
        <f>EXP(-LN(2)/2)*CM122+(1-EXP(-LN(2)/2))/(LN(2)/2)*CG123*CJ123*VLOOKUP('Données projet'!$B$12,Paramètres!$A$1:$I$89,3,0)*0.475*44/12</f>
        <v>8.6127255702220439E-13</v>
      </c>
      <c r="CN123" s="22">
        <f t="shared" si="66"/>
        <v>2.3484307807657587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-1.2505552149377763E-12</v>
      </c>
      <c r="O124" s="13">
        <f>N124*VLOOKUP('Données projet'!$B$9,Paramètres!$A$1:$I$89,3,0)*VLOOKUP('Données projet'!$B$9,Paramètres!$A$1:$I$89,5,0)</f>
        <v>-6.9906036515021697E-13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415.91544298418842</v>
      </c>
      <c r="T124" s="59">
        <f t="shared" si="88"/>
        <v>422.79312683312583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1.8835749083003881</v>
      </c>
      <c r="AA124" s="21">
        <f>EXP(-LN(2)/25)*AA123+(1-EXP(-LN(2)/25))/(LN(2)/25)*Calculateur!V124*Calculateur!X124*VLOOKUP('Données projet'!$B$9,Paramètres!$A$1:$I$89,3,0)*0.475*44/12</f>
        <v>3.1090519189452026</v>
      </c>
      <c r="AB124" s="21">
        <f>EXP(-LN(2)/2)*AB123+(1-EXP(-LN(2)/2))/(LN(2)/2)*V124*Y124*VLOOKUP('Données projet'!$B$9,Paramètres!$A$1:$I$89,3,0)*0.475*44/12</f>
        <v>7.3298229210205446E-13</v>
      </c>
      <c r="AC124" s="22">
        <f t="shared" si="57"/>
        <v>4.9926268272463235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-5.3205440053716299E-14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215.23235148064941</v>
      </c>
      <c r="AO124" s="59">
        <f t="shared" si="90"/>
        <v>184.07239726900434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0.51701315257069036</v>
      </c>
      <c r="AV124" s="21">
        <f>EXP(-LN(2)/25)*AV123+(1-EXP(-LN(2)/25))/(LN(2)/25)*Calculateur!AQ124*Calculateur!AS124*VLOOKUP('Données projet'!$B$10,Paramètres!$A$1:$I$89,3,0)*0.475*44/12</f>
        <v>0.63011914933107238</v>
      </c>
      <c r="AW124" s="21">
        <f>EXP(-LN(2)/2)*AW123+(1-EXP(-LN(2)/2))/(LN(2)/2)*AQ124*AT124*VLOOKUP('Données projet'!$B$10,Paramètres!$A$1:$I$89,3,0)*0.475*44/12</f>
        <v>1.9759905464525721E-13</v>
      </c>
      <c r="AX124" s="21">
        <f t="shared" si="60"/>
        <v>1.1471323019019604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261.27638267284169</v>
      </c>
      <c r="BJ124" s="59">
        <f t="shared" si="92"/>
        <v>297.50513563712764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1.3762441613289917</v>
      </c>
      <c r="BQ124" s="21">
        <f>EXP(-LN(2)/25)*BQ123+(1-EXP(-LN(2)/25))/(LN(2)/25)*Calculateur!BL124*Calculateur!BN124*VLOOKUP('Données projet'!$B$11,Paramètres!$A$1:$I$89,3,0)*0.475*44/12</f>
        <v>2.2355568737803591</v>
      </c>
      <c r="BR124" s="21">
        <f>EXP(-LN(2)/2)*BR123+(1-EXP(-LN(2)/2))/(LN(2)/2)*BL124*BO124*VLOOKUP('Données projet'!$B$11,Paramètres!$A$1:$I$89,3,0)*0.475*44/12</f>
        <v>4.9039521519317393E-13</v>
      </c>
      <c r="BS124" s="22">
        <f t="shared" si="63"/>
        <v>3.6118010351098411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-1.1368683772161603E-13</v>
      </c>
      <c r="BZ124" s="13">
        <f>BY124*VLOOKUP('Données projet'!$B$12,Paramètres!$A$1:$I$89,3,0)*VLOOKUP('Données projet'!$B$12,Paramètres!$A$1:$I$89,5,0)</f>
        <v>-6.7984728957526396E-14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314.69202393413491</v>
      </c>
      <c r="CE124" s="59">
        <f t="shared" si="94"/>
        <v>321.1728368524748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0.57701903639054097</v>
      </c>
      <c r="CL124" s="21">
        <f>EXP(-LN(2)/25)*CL123+(1-EXP(-LN(2)/25))/(LN(2)/25)*Calculateur!CG124*Calculateur!CI124*VLOOKUP('Données projet'!$B$12,Paramètres!$A$1:$I$89,3,0)*0.475*44/12</f>
        <v>1.7117466853877876</v>
      </c>
      <c r="CM124" s="21">
        <f>EXP(-LN(2)/2)*CM123+(1-EXP(-LN(2)/2))/(LN(2)/2)*CG124*CJ124*VLOOKUP('Données projet'!$B$12,Paramètres!$A$1:$I$89,3,0)*0.475*44/12</f>
        <v>6.0901166552027815E-13</v>
      </c>
      <c r="CN124" s="22">
        <f t="shared" si="66"/>
        <v>2.2887657217789372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-1.2505552149377763E-12</v>
      </c>
      <c r="O125" s="13">
        <f>N125*VLOOKUP('Données projet'!$B$9,Paramètres!$A$1:$I$89,3,0)*VLOOKUP('Données projet'!$B$9,Paramètres!$A$1:$I$89,5,0)</f>
        <v>-6.9906036515021697E-13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415.91544298418842</v>
      </c>
      <c r="T125" s="59">
        <f t="shared" si="88"/>
        <v>422.79312683312583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1.8466391532158704</v>
      </c>
      <c r="AA125" s="21">
        <f>EXP(-LN(2)/25)*AA124+(1-EXP(-LN(2)/25))/(LN(2)/25)*Calculateur!V125*Calculateur!X125*VLOOKUP('Données projet'!$B$9,Paramètres!$A$1:$I$89,3,0)*0.475*44/12</f>
        <v>3.0240347307237117</v>
      </c>
      <c r="AB125" s="21">
        <f>EXP(-LN(2)/2)*AB124+(1-EXP(-LN(2)/2))/(LN(2)/2)*V125*Y125*VLOOKUP('Données projet'!$B$9,Paramètres!$A$1:$I$89,3,0)*0.475*44/12</f>
        <v>5.1829674923502148E-13</v>
      </c>
      <c r="AC125" s="22">
        <f t="shared" si="57"/>
        <v>4.8706738839401007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-5.3205440053716299E-14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215.23235148064941</v>
      </c>
      <c r="AO125" s="59">
        <f t="shared" si="90"/>
        <v>184.07239726900434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0.50687483999566429</v>
      </c>
      <c r="AV125" s="21">
        <f>EXP(-LN(2)/25)*AV124+(1-EXP(-LN(2)/25))/(LN(2)/25)*Calculateur!AQ125*Calculateur!AS125*VLOOKUP('Données projet'!$B$10,Paramètres!$A$1:$I$89,3,0)*0.475*44/12</f>
        <v>0.6128885080560883</v>
      </c>
      <c r="AW125" s="21">
        <f>EXP(-LN(2)/2)*AW124+(1-EXP(-LN(2)/2))/(LN(2)/2)*AQ125*AT125*VLOOKUP('Données projet'!$B$10,Paramètres!$A$1:$I$89,3,0)*0.475*44/12</f>
        <v>1.3972363149571254E-13</v>
      </c>
      <c r="AX125" s="21">
        <f t="shared" si="60"/>
        <v>1.1197633480518923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261.27638267284169</v>
      </c>
      <c r="BJ125" s="59">
        <f t="shared" si="92"/>
        <v>297.50513563712764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1.3492568527513822</v>
      </c>
      <c r="BQ125" s="21">
        <f>EXP(-LN(2)/25)*BQ124+(1-EXP(-LN(2)/25))/(LN(2)/25)*Calculateur!BL125*Calculateur!BN125*VLOOKUP('Données projet'!$B$11,Paramètres!$A$1:$I$89,3,0)*0.475*44/12</f>
        <v>2.1744254535040084</v>
      </c>
      <c r="BR125" s="21">
        <f>EXP(-LN(2)/2)*BR124+(1-EXP(-LN(2)/2))/(LN(2)/2)*BL125*BO125*VLOOKUP('Données projet'!$B$11,Paramètres!$A$1:$I$89,3,0)*0.475*44/12</f>
        <v>3.4676178212452953E-13</v>
      </c>
      <c r="BS125" s="22">
        <f t="shared" si="63"/>
        <v>3.5236823062557376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-1.1368683772161603E-13</v>
      </c>
      <c r="BZ125" s="13">
        <f>BY125*VLOOKUP('Données projet'!$B$12,Paramètres!$A$1:$I$89,3,0)*VLOOKUP('Données projet'!$B$12,Paramètres!$A$1:$I$89,5,0)</f>
        <v>-6.7984728957526396E-14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314.69202393413491</v>
      </c>
      <c r="CE125" s="59">
        <f t="shared" si="94"/>
        <v>321.1728368524748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0.5657040450337828</v>
      </c>
      <c r="CL125" s="21">
        <f>EXP(-LN(2)/25)*CL124+(1-EXP(-LN(2)/25))/(LN(2)/25)*Calculateur!CG125*Calculateur!CI125*VLOOKUP('Données projet'!$B$12,Paramètres!$A$1:$I$89,3,0)*0.475*44/12</f>
        <v>1.6649388822590125</v>
      </c>
      <c r="CM125" s="21">
        <f>EXP(-LN(2)/2)*CM124+(1-EXP(-LN(2)/2))/(LN(2)/2)*CG125*CJ125*VLOOKUP('Données projet'!$B$12,Paramètres!$A$1:$I$89,3,0)*0.475*44/12</f>
        <v>4.3063627851110219E-13</v>
      </c>
      <c r="CN125" s="22">
        <f t="shared" si="66"/>
        <v>2.2306429272932262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-1.2505552149377763E-12</v>
      </c>
      <c r="O126" s="13">
        <f>N126*VLOOKUP('Données projet'!$B$9,Paramètres!$A$1:$I$89,3,0)*VLOOKUP('Données projet'!$B$9,Paramètres!$A$1:$I$89,5,0)</f>
        <v>-6.9906036515021697E-13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415.91544298418842</v>
      </c>
      <c r="T126" s="59">
        <f t="shared" si="88"/>
        <v>422.79312683312583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1.8104276857599739</v>
      </c>
      <c r="AA126" s="21">
        <f>EXP(-LN(2)/25)*AA125+(1-EXP(-LN(2)/25))/(LN(2)/25)*Calculateur!V126*Calculateur!X126*VLOOKUP('Données projet'!$B$9,Paramètres!$A$1:$I$89,3,0)*0.475*44/12</f>
        <v>2.9413423419849969</v>
      </c>
      <c r="AB126" s="21">
        <f>EXP(-LN(2)/2)*AB125+(1-EXP(-LN(2)/2))/(LN(2)/2)*V126*Y126*VLOOKUP('Données projet'!$B$9,Paramètres!$A$1:$I$89,3,0)*0.475*44/12</f>
        <v>3.6649114605102723E-13</v>
      </c>
      <c r="AC126" s="22">
        <f t="shared" si="57"/>
        <v>4.7517700277453381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-5.3205440053716299E-14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215.23235148064941</v>
      </c>
      <c r="AO126" s="59">
        <f t="shared" si="90"/>
        <v>184.07239726900434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0.4969353335464744</v>
      </c>
      <c r="AV126" s="21">
        <f>EXP(-LN(2)/25)*AV125+(1-EXP(-LN(2)/25))/(LN(2)/25)*Calculateur!AQ126*Calculateur!AS126*VLOOKUP('Données projet'!$B$10,Paramètres!$A$1:$I$89,3,0)*0.475*44/12</f>
        <v>0.59612903957288865</v>
      </c>
      <c r="AW126" s="21">
        <f>EXP(-LN(2)/2)*AW125+(1-EXP(-LN(2)/2))/(LN(2)/2)*AQ126*AT126*VLOOKUP('Données projet'!$B$10,Paramètres!$A$1:$I$89,3,0)*0.475*44/12</f>
        <v>9.8799527322628607E-14</v>
      </c>
      <c r="AX126" s="21">
        <f t="shared" si="60"/>
        <v>1.0930643731194618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261.27638267284169</v>
      </c>
      <c r="BJ126" s="59">
        <f t="shared" si="92"/>
        <v>297.50513563712764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1.3227987488343467</v>
      </c>
      <c r="BQ126" s="21">
        <f>EXP(-LN(2)/25)*BQ125+(1-EXP(-LN(2)/25))/(LN(2)/25)*Calculateur!BL126*Calculateur!BN126*VLOOKUP('Données projet'!$B$11,Paramètres!$A$1:$I$89,3,0)*0.475*44/12</f>
        <v>2.1149656751298762</v>
      </c>
      <c r="BR126" s="21">
        <f>EXP(-LN(2)/2)*BR125+(1-EXP(-LN(2)/2))/(LN(2)/2)*BL126*BO126*VLOOKUP('Données projet'!$B$11,Paramètres!$A$1:$I$89,3,0)*0.475*44/12</f>
        <v>2.4519760759658697E-13</v>
      </c>
      <c r="BS126" s="22">
        <f t="shared" si="63"/>
        <v>3.437764423964468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-1.1368683772161603E-13</v>
      </c>
      <c r="BZ126" s="13">
        <f>BY126*VLOOKUP('Données projet'!$B$12,Paramètres!$A$1:$I$89,3,0)*VLOOKUP('Données projet'!$B$12,Paramètres!$A$1:$I$89,5,0)</f>
        <v>-6.7984728957526396E-14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314.69202393413491</v>
      </c>
      <c r="CE126" s="59">
        <f t="shared" si="94"/>
        <v>321.1728368524748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0.5546109337560674</v>
      </c>
      <c r="CL126" s="21">
        <f>EXP(-LN(2)/25)*CL125+(1-EXP(-LN(2)/25))/(LN(2)/25)*Calculateur!CG126*Calculateur!CI126*VLOOKUP('Données projet'!$B$12,Paramètres!$A$1:$I$89,3,0)*0.475*44/12</f>
        <v>1.6194110409683093</v>
      </c>
      <c r="CM126" s="21">
        <f>EXP(-LN(2)/2)*CM125+(1-EXP(-LN(2)/2))/(LN(2)/2)*CG126*CJ126*VLOOKUP('Données projet'!$B$12,Paramètres!$A$1:$I$89,3,0)*0.475*44/12</f>
        <v>3.0450583276013907E-13</v>
      </c>
      <c r="CN126" s="22">
        <f t="shared" si="66"/>
        <v>2.1740219747246812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-1.2505552149377763E-12</v>
      </c>
      <c r="O127" s="13">
        <f>N127*VLOOKUP('Données projet'!$B$9,Paramètres!$A$1:$I$89,3,0)*VLOOKUP('Données projet'!$B$9,Paramètres!$A$1:$I$89,5,0)</f>
        <v>-6.9906036515021697E-13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415.91544298418842</v>
      </c>
      <c r="T127" s="59">
        <f t="shared" si="88"/>
        <v>422.79312683312583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1.7749263030940734</v>
      </c>
      <c r="AA127" s="21">
        <f>EXP(-LN(2)/25)*AA126+(1-EXP(-LN(2)/25))/(LN(2)/25)*Calculateur!V127*Calculateur!X127*VLOOKUP('Données projet'!$B$9,Paramètres!$A$1:$I$89,3,0)*0.475*44/12</f>
        <v>2.8609111809649459</v>
      </c>
      <c r="AB127" s="21">
        <f>EXP(-LN(2)/2)*AB126+(1-EXP(-LN(2)/2))/(LN(2)/2)*V127*Y127*VLOOKUP('Données projet'!$B$9,Paramètres!$A$1:$I$89,3,0)*0.475*44/12</f>
        <v>2.5914837461751074E-13</v>
      </c>
      <c r="AC127" s="22">
        <f t="shared" si="57"/>
        <v>4.6358374840592784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-5.3205440053716299E-14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215.23235148064941</v>
      </c>
      <c r="AO127" s="59">
        <f t="shared" si="90"/>
        <v>184.07239726900434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0.4871907347562528</v>
      </c>
      <c r="AV127" s="21">
        <f>EXP(-LN(2)/25)*AV126+(1-EXP(-LN(2)/25))/(LN(2)/25)*Calculateur!AQ127*Calculateur!AS127*VLOOKUP('Données projet'!$B$10,Paramètres!$A$1:$I$89,3,0)*0.475*44/12</f>
        <v>0.57982785963670425</v>
      </c>
      <c r="AW127" s="21">
        <f>EXP(-LN(2)/2)*AW126+(1-EXP(-LN(2)/2))/(LN(2)/2)*AQ127*AT127*VLOOKUP('Données projet'!$B$10,Paramètres!$A$1:$I$89,3,0)*0.475*44/12</f>
        <v>6.9861815747856269E-14</v>
      </c>
      <c r="AX127" s="21">
        <f t="shared" si="60"/>
        <v>1.067018594393027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261.27638267284169</v>
      </c>
      <c r="BJ127" s="59">
        <f t="shared" si="92"/>
        <v>297.50513563712764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1.2968594721972744</v>
      </c>
      <c r="BQ127" s="21">
        <f>EXP(-LN(2)/25)*BQ126+(1-EXP(-LN(2)/25))/(LN(2)/25)*Calculateur!BL127*Calculateur!BN127*VLOOKUP('Données projet'!$B$11,Paramètres!$A$1:$I$89,3,0)*0.475*44/12</f>
        <v>2.0571318275222388</v>
      </c>
      <c r="BR127" s="21">
        <f>EXP(-LN(2)/2)*BR126+(1-EXP(-LN(2)/2))/(LN(2)/2)*BL127*BO127*VLOOKUP('Données projet'!$B$11,Paramètres!$A$1:$I$89,3,0)*0.475*44/12</f>
        <v>1.7338089106226477E-13</v>
      </c>
      <c r="BS127" s="22">
        <f t="shared" si="63"/>
        <v>3.3539912997196861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-1.1368683772161603E-13</v>
      </c>
      <c r="BZ127" s="13">
        <f>BY127*VLOOKUP('Données projet'!$B$12,Paramètres!$A$1:$I$89,3,0)*VLOOKUP('Données projet'!$B$12,Paramètres!$A$1:$I$89,5,0)</f>
        <v>-6.7984728957526396E-14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314.69202393413491</v>
      </c>
      <c r="CE127" s="59">
        <f t="shared" si="94"/>
        <v>321.1728368524748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0.54373535162437825</v>
      </c>
      <c r="CL127" s="21">
        <f>EXP(-LN(2)/25)*CL126+(1-EXP(-LN(2)/25))/(LN(2)/25)*Calculateur!CG127*Calculateur!CI127*VLOOKUP('Données projet'!$B$12,Paramètres!$A$1:$I$89,3,0)*0.475*44/12</f>
        <v>1.5751281608919054</v>
      </c>
      <c r="CM127" s="21">
        <f>EXP(-LN(2)/2)*CM126+(1-EXP(-LN(2)/2))/(LN(2)/2)*CG127*CJ127*VLOOKUP('Données projet'!$B$12,Paramètres!$A$1:$I$89,3,0)*0.475*44/12</f>
        <v>2.153181392555511E-13</v>
      </c>
      <c r="CN127" s="22">
        <f t="shared" si="66"/>
        <v>2.1188635125164992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-1.2505552149377763E-12</v>
      </c>
      <c r="O128" s="13">
        <f>N128*VLOOKUP('Données projet'!$B$9,Paramètres!$A$1:$I$89,3,0)*VLOOKUP('Données projet'!$B$9,Paramètres!$A$1:$I$89,5,0)</f>
        <v>-6.9906036515021697E-13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415.91544298418842</v>
      </c>
      <c r="T128" s="59">
        <f t="shared" si="88"/>
        <v>422.79312683312583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1.7401210808885459</v>
      </c>
      <c r="AA128" s="21">
        <f>EXP(-LN(2)/25)*AA127+(1-EXP(-LN(2)/25))/(LN(2)/25)*Calculateur!V128*Calculateur!X128*VLOOKUP('Données projet'!$B$9,Paramètres!$A$1:$I$89,3,0)*0.475*44/12</f>
        <v>2.7826794142726792</v>
      </c>
      <c r="AB128" s="21">
        <f>EXP(-LN(2)/2)*AB127+(1-EXP(-LN(2)/2))/(LN(2)/2)*V128*Y128*VLOOKUP('Données projet'!$B$9,Paramètres!$A$1:$I$89,3,0)*0.475*44/12</f>
        <v>1.8324557302551361E-13</v>
      </c>
      <c r="AC128" s="22">
        <f t="shared" si="57"/>
        <v>4.522800495161408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-5.3205440053716299E-14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215.23235148064941</v>
      </c>
      <c r="AO128" s="59">
        <f t="shared" si="90"/>
        <v>184.07239726900434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0.47763722160468908</v>
      </c>
      <c r="AV128" s="21">
        <f>EXP(-LN(2)/25)*AV127+(1-EXP(-LN(2)/25))/(LN(2)/25)*Calculateur!AQ128*Calculateur!AS128*VLOOKUP('Données projet'!$B$10,Paramètres!$A$1:$I$89,3,0)*0.475*44/12</f>
        <v>0.56397243632311667</v>
      </c>
      <c r="AW128" s="21">
        <f>EXP(-LN(2)/2)*AW127+(1-EXP(-LN(2)/2))/(LN(2)/2)*AQ128*AT128*VLOOKUP('Données projet'!$B$10,Paramètres!$A$1:$I$89,3,0)*0.475*44/12</f>
        <v>4.9399763661314303E-14</v>
      </c>
      <c r="AX128" s="21">
        <f t="shared" si="60"/>
        <v>1.0416096579278551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261.27638267284169</v>
      </c>
      <c r="BJ128" s="59">
        <f t="shared" si="92"/>
        <v>297.50513563712764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1.2714288489536585</v>
      </c>
      <c r="BQ128" s="21">
        <f>EXP(-LN(2)/25)*BQ127+(1-EXP(-LN(2)/25))/(LN(2)/25)*Calculateur!BL128*Calculateur!BN128*VLOOKUP('Données projet'!$B$11,Paramètres!$A$1:$I$89,3,0)*0.475*44/12</f>
        <v>2.000879449518782</v>
      </c>
      <c r="BR128" s="21">
        <f>EXP(-LN(2)/2)*BR127+(1-EXP(-LN(2)/2))/(LN(2)/2)*BL128*BO128*VLOOKUP('Données projet'!$B$11,Paramètres!$A$1:$I$89,3,0)*0.475*44/12</f>
        <v>1.2259880379829348E-13</v>
      </c>
      <c r="BS128" s="22">
        <f t="shared" si="63"/>
        <v>3.2723082984725629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-1.1368683772161603E-13</v>
      </c>
      <c r="BZ128" s="13">
        <f>BY128*VLOOKUP('Données projet'!$B$12,Paramètres!$A$1:$I$89,3,0)*VLOOKUP('Données projet'!$B$12,Paramètres!$A$1:$I$89,5,0)</f>
        <v>-6.7984728957526396E-14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314.69202393413491</v>
      </c>
      <c r="CE128" s="59">
        <f t="shared" si="94"/>
        <v>321.1728368524748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0.53307303302484133</v>
      </c>
      <c r="CL128" s="21">
        <f>EXP(-LN(2)/25)*CL127+(1-EXP(-LN(2)/25))/(LN(2)/25)*Calculateur!CG128*Calculateur!CI128*VLOOKUP('Données projet'!$B$12,Paramètres!$A$1:$I$89,3,0)*0.475*44/12</f>
        <v>1.5320561984999264</v>
      </c>
      <c r="CM128" s="21">
        <f>EXP(-LN(2)/2)*CM127+(1-EXP(-LN(2)/2))/(LN(2)/2)*CG128*CJ128*VLOOKUP('Données projet'!$B$12,Paramètres!$A$1:$I$89,3,0)*0.475*44/12</f>
        <v>1.5225291638006954E-13</v>
      </c>
      <c r="CN128" s="22">
        <f t="shared" si="66"/>
        <v>2.0651292315249199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-1.2505552149377763E-12</v>
      </c>
      <c r="O129" s="13">
        <f>N129*VLOOKUP('Données projet'!$B$9,Paramètres!$A$1:$I$89,3,0)*VLOOKUP('Données projet'!$B$9,Paramètres!$A$1:$I$89,5,0)</f>
        <v>-6.9906036515021697E-13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415.91544298418842</v>
      </c>
      <c r="T129" s="59">
        <f t="shared" si="88"/>
        <v>422.79312683312583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1.7059983678613793</v>
      </c>
      <c r="AA129" s="21">
        <f>EXP(-LN(2)/25)*AA128+(1-EXP(-LN(2)/25))/(LN(2)/25)*Calculateur!V129*Calculateur!X129*VLOOKUP('Données projet'!$B$9,Paramètres!$A$1:$I$89,3,0)*0.475*44/12</f>
        <v>2.7065868993546425</v>
      </c>
      <c r="AB129" s="21">
        <f>EXP(-LN(2)/2)*AB128+(1-EXP(-LN(2)/2))/(LN(2)/2)*V129*Y129*VLOOKUP('Données projet'!$B$9,Paramètres!$A$1:$I$89,3,0)*0.475*44/12</f>
        <v>1.2957418730875537E-13</v>
      </c>
      <c r="AC129" s="22">
        <f t="shared" si="57"/>
        <v>4.4125852672161514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-5.3205440053716299E-14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215.23235148064941</v>
      </c>
      <c r="AO129" s="59">
        <f t="shared" si="90"/>
        <v>184.07239726900434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0.46827104701895989</v>
      </c>
      <c r="AV129" s="21">
        <f>EXP(-LN(2)/25)*AV128+(1-EXP(-LN(2)/25))/(LN(2)/25)*Calculateur!AQ129*Calculateur!AS129*VLOOKUP('Données projet'!$B$10,Paramètres!$A$1:$I$89,3,0)*0.475*44/12</f>
        <v>0.54855058039383964</v>
      </c>
      <c r="AW129" s="21">
        <f>EXP(-LN(2)/2)*AW128+(1-EXP(-LN(2)/2))/(LN(2)/2)*AQ129*AT129*VLOOKUP('Données projet'!$B$10,Paramètres!$A$1:$I$89,3,0)*0.475*44/12</f>
        <v>3.4930907873928134E-14</v>
      </c>
      <c r="AX129" s="21">
        <f t="shared" si="60"/>
        <v>1.0168216274128343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261.27638267284169</v>
      </c>
      <c r="BJ129" s="59">
        <f t="shared" si="92"/>
        <v>297.50513563712764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1.2464969047207013</v>
      </c>
      <c r="BQ129" s="21">
        <f>EXP(-LN(2)/25)*BQ128+(1-EXP(-LN(2)/25))/(LN(2)/25)*Calculateur!BL129*Calculateur!BN129*VLOOKUP('Données projet'!$B$11,Paramètres!$A$1:$I$89,3,0)*0.475*44/12</f>
        <v>1.9461652957500137</v>
      </c>
      <c r="BR129" s="21">
        <f>EXP(-LN(2)/2)*BR128+(1-EXP(-LN(2)/2))/(LN(2)/2)*BL129*BO129*VLOOKUP('Données projet'!$B$11,Paramètres!$A$1:$I$89,3,0)*0.475*44/12</f>
        <v>8.6690445531132383E-14</v>
      </c>
      <c r="BS129" s="22">
        <f t="shared" si="63"/>
        <v>3.1926622004708016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-1.1368683772161603E-13</v>
      </c>
      <c r="BZ129" s="13">
        <f>BY129*VLOOKUP('Données projet'!$B$12,Paramètres!$A$1:$I$89,3,0)*VLOOKUP('Données projet'!$B$12,Paramètres!$A$1:$I$89,5,0)</f>
        <v>-6.7984728957526396E-14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314.69202393413491</v>
      </c>
      <c r="CE129" s="59">
        <f t="shared" si="94"/>
        <v>321.1728368524748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0.52261979598966923</v>
      </c>
      <c r="CL129" s="21">
        <f>EXP(-LN(2)/25)*CL128+(1-EXP(-LN(2)/25))/(LN(2)/25)*Calculateur!CG129*Calculateur!CI129*VLOOKUP('Données projet'!$B$12,Paramètres!$A$1:$I$89,3,0)*0.475*44/12</f>
        <v>1.4901620411846119</v>
      </c>
      <c r="CM129" s="21">
        <f>EXP(-LN(2)/2)*CM128+(1-EXP(-LN(2)/2))/(LN(2)/2)*CG129*CJ129*VLOOKUP('Données projet'!$B$12,Paramètres!$A$1:$I$89,3,0)*0.475*44/12</f>
        <v>1.0765906962777555E-13</v>
      </c>
      <c r="CN129" s="22">
        <f t="shared" si="66"/>
        <v>2.0127818371743889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-1.2505552149377763E-12</v>
      </c>
      <c r="O130" s="13">
        <f>N130*VLOOKUP('Données projet'!$B$9,Paramètres!$A$1:$I$89,3,0)*VLOOKUP('Données projet'!$B$9,Paramètres!$A$1:$I$89,5,0)</f>
        <v>-6.9906036515021697E-13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415.91544298418842</v>
      </c>
      <c r="T130" s="59">
        <f t="shared" si="88"/>
        <v>422.79312683312583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1.6725447804238756</v>
      </c>
      <c r="AA130" s="21">
        <f>EXP(-LN(2)/25)*AA129+(1-EXP(-LN(2)/25))/(LN(2)/25)*Calculateur!V130*Calculateur!X130*VLOOKUP('Données projet'!$B$9,Paramètres!$A$1:$I$89,3,0)*0.475*44/12</f>
        <v>2.6325751382585709</v>
      </c>
      <c r="AB130" s="21">
        <f>EXP(-LN(2)/2)*AB129+(1-EXP(-LN(2)/2))/(LN(2)/2)*V130*Y130*VLOOKUP('Données projet'!$B$9,Paramètres!$A$1:$I$89,3,0)*0.475*44/12</f>
        <v>9.1622786512756807E-14</v>
      </c>
      <c r="AC130" s="22">
        <f t="shared" si="57"/>
        <v>4.3051199186825384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-5.3205440053716299E-14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215.23235148064941</v>
      </c>
      <c r="AO130" s="59">
        <f t="shared" si="90"/>
        <v>184.07239726900434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0.45908853740405442</v>
      </c>
      <c r="AV130" s="21">
        <f>EXP(-LN(2)/25)*AV129+(1-EXP(-LN(2)/25))/(LN(2)/25)*Calculateur!AQ130*Calculateur!AS130*VLOOKUP('Données projet'!$B$10,Paramètres!$A$1:$I$89,3,0)*0.475*44/12</f>
        <v>0.53355043592594875</v>
      </c>
      <c r="AW130" s="21">
        <f>EXP(-LN(2)/2)*AW129+(1-EXP(-LN(2)/2))/(LN(2)/2)*AQ130*AT130*VLOOKUP('Données projet'!$B$10,Paramètres!$A$1:$I$89,3,0)*0.475*44/12</f>
        <v>2.4699881830657152E-14</v>
      </c>
      <c r="AX130" s="21">
        <f t="shared" si="60"/>
        <v>0.99263897333002782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261.27638267284169</v>
      </c>
      <c r="BJ130" s="59">
        <f t="shared" si="92"/>
        <v>297.50513563712764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1.222053860707168</v>
      </c>
      <c r="BQ130" s="21">
        <f>EXP(-LN(2)/25)*BQ129+(1-EXP(-LN(2)/25))/(LN(2)/25)*Calculateur!BL130*Calculateur!BN130*VLOOKUP('Données projet'!$B$11,Paramètres!$A$1:$I$89,3,0)*0.475*44/12</f>
        <v>1.8929473033933448</v>
      </c>
      <c r="BR130" s="21">
        <f>EXP(-LN(2)/2)*BR129+(1-EXP(-LN(2)/2))/(LN(2)/2)*BL130*BO130*VLOOKUP('Données projet'!$B$11,Paramètres!$A$1:$I$89,3,0)*0.475*44/12</f>
        <v>6.1299401899146741E-14</v>
      </c>
      <c r="BS130" s="22">
        <f t="shared" si="63"/>
        <v>3.1150011641005744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-1.1368683772161603E-13</v>
      </c>
      <c r="BZ130" s="13">
        <f>BY130*VLOOKUP('Données projet'!$B$12,Paramètres!$A$1:$I$89,3,0)*VLOOKUP('Données projet'!$B$12,Paramètres!$A$1:$I$89,5,0)</f>
        <v>-6.7984728957526396E-14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314.69202393413491</v>
      </c>
      <c r="CE130" s="59">
        <f t="shared" si="94"/>
        <v>321.1728368524748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0.51237154055691181</v>
      </c>
      <c r="CL130" s="21">
        <f>EXP(-LN(2)/25)*CL129+(1-EXP(-LN(2)/25))/(LN(2)/25)*Calculateur!CG130*Calculateur!CI130*VLOOKUP('Données projet'!$B$12,Paramètres!$A$1:$I$89,3,0)*0.475*44/12</f>
        <v>1.4494134818042028</v>
      </c>
      <c r="CM130" s="21">
        <f>EXP(-LN(2)/2)*CM129+(1-EXP(-LN(2)/2))/(LN(2)/2)*CG130*CJ130*VLOOKUP('Données projet'!$B$12,Paramètres!$A$1:$I$89,3,0)*0.475*44/12</f>
        <v>7.6126458190034768E-14</v>
      </c>
      <c r="CN130" s="22">
        <f t="shared" si="66"/>
        <v>1.9617850223611908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-1.2505552149377763E-12</v>
      </c>
      <c r="O131" s="13">
        <f>N131*VLOOKUP('Données projet'!$B$9,Paramètres!$A$1:$I$89,3,0)*VLOOKUP('Données projet'!$B$9,Paramètres!$A$1:$I$89,5,0)</f>
        <v>-6.9906036515021697E-13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415.91544298418842</v>
      </c>
      <c r="T131" s="59">
        <f t="shared" si="88"/>
        <v>422.79312683312583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1.6397471974313478</v>
      </c>
      <c r="AA131" s="21">
        <f>EXP(-LN(2)/25)*AA130+(1-EXP(-LN(2)/25))/(LN(2)/25)*Calculateur!V131*Calculateur!X131*VLOOKUP('Données projet'!$B$9,Paramètres!$A$1:$I$89,3,0)*0.475*44/12</f>
        <v>2.5605872326617805</v>
      </c>
      <c r="AB131" s="21">
        <f>EXP(-LN(2)/2)*AB130+(1-EXP(-LN(2)/2))/(LN(2)/2)*V131*Y131*VLOOKUP('Données projet'!$B$9,Paramètres!$A$1:$I$89,3,0)*0.475*44/12</f>
        <v>6.4787093654377685E-14</v>
      </c>
      <c r="AC131" s="22">
        <f t="shared" si="57"/>
        <v>4.2003344300931929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-5.3205440053716299E-14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215.23235148064941</v>
      </c>
      <c r="AO131" s="59">
        <f t="shared" si="90"/>
        <v>184.07239726900434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0.45008609120191939</v>
      </c>
      <c r="AV131" s="21">
        <f>EXP(-LN(2)/25)*AV130+(1-EXP(-LN(2)/25))/(LN(2)/25)*Calculateur!AQ131*Calculateur!AS131*VLOOKUP('Données projet'!$B$10,Paramètres!$A$1:$I$89,3,0)*0.475*44/12</f>
        <v>0.51896047119735567</v>
      </c>
      <c r="AW131" s="21">
        <f>EXP(-LN(2)/2)*AW130+(1-EXP(-LN(2)/2))/(LN(2)/2)*AQ131*AT131*VLOOKUP('Données projet'!$B$10,Paramètres!$A$1:$I$89,3,0)*0.475*44/12</f>
        <v>1.7465453936964067E-14</v>
      </c>
      <c r="AX131" s="21">
        <f t="shared" si="60"/>
        <v>0.96904656239929243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261.27638267284169</v>
      </c>
      <c r="BJ131" s="59">
        <f t="shared" si="92"/>
        <v>297.50513563712764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1.1980901298779554</v>
      </c>
      <c r="BQ131" s="21">
        <f>EXP(-LN(2)/25)*BQ130+(1-EXP(-LN(2)/25))/(LN(2)/25)*Calculateur!BL131*Calculateur!BN131*VLOOKUP('Données projet'!$B$11,Paramètres!$A$1:$I$89,3,0)*0.475*44/12</f>
        <v>1.8411845598362815</v>
      </c>
      <c r="BR131" s="21">
        <f>EXP(-LN(2)/2)*BR130+(1-EXP(-LN(2)/2))/(LN(2)/2)*BL131*BO131*VLOOKUP('Données projet'!$B$11,Paramètres!$A$1:$I$89,3,0)*0.475*44/12</f>
        <v>4.3345222765566191E-14</v>
      </c>
      <c r="BS131" s="22">
        <f t="shared" si="63"/>
        <v>3.0392746897142802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-1.1368683772161603E-13</v>
      </c>
      <c r="BZ131" s="13">
        <f>BY131*VLOOKUP('Données projet'!$B$12,Paramètres!$A$1:$I$89,3,0)*VLOOKUP('Données projet'!$B$12,Paramètres!$A$1:$I$89,5,0)</f>
        <v>-6.7984728957526396E-14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314.69202393413491</v>
      </c>
      <c r="CE131" s="59">
        <f t="shared" si="94"/>
        <v>321.1728368524748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0.50232424716237212</v>
      </c>
      <c r="CL131" s="21">
        <f>EXP(-LN(2)/25)*CL130+(1-EXP(-LN(2)/25))/(LN(2)/25)*Calculateur!CG131*Calculateur!CI131*VLOOKUP('Données projet'!$B$12,Paramètres!$A$1:$I$89,3,0)*0.475*44/12</f>
        <v>1.4097791939229245</v>
      </c>
      <c r="CM131" s="21">
        <f>EXP(-LN(2)/2)*CM130+(1-EXP(-LN(2)/2))/(LN(2)/2)*CG131*CJ131*VLOOKUP('Données projet'!$B$12,Paramètres!$A$1:$I$89,3,0)*0.475*44/12</f>
        <v>5.3829534813887774E-14</v>
      </c>
      <c r="CN131" s="22">
        <f t="shared" si="66"/>
        <v>1.9121034410853504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-1.2505552149377763E-12</v>
      </c>
      <c r="O132" s="13">
        <f>N132*VLOOKUP('Données projet'!$B$9,Paramètres!$A$1:$I$89,3,0)*VLOOKUP('Données projet'!$B$9,Paramètres!$A$1:$I$89,5,0)</f>
        <v>-6.9906036515021697E-13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415.91544298418842</v>
      </c>
      <c r="T132" s="59">
        <f t="shared" si="88"/>
        <v>422.79312683312583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1.6075927550367533</v>
      </c>
      <c r="AA132" s="21">
        <f>EXP(-LN(2)/25)*AA131+(1-EXP(-LN(2)/25))/(LN(2)/25)*Calculateur!V132*Calculateur!X132*VLOOKUP('Données projet'!$B$9,Paramètres!$A$1:$I$89,3,0)*0.475*44/12</f>
        <v>2.4905678401292137</v>
      </c>
      <c r="AB132" s="21">
        <f>EXP(-LN(2)/2)*AB131+(1-EXP(-LN(2)/2))/(LN(2)/2)*V132*Y132*VLOOKUP('Données projet'!$B$9,Paramètres!$A$1:$I$89,3,0)*0.475*44/12</f>
        <v>4.5811393256378404E-14</v>
      </c>
      <c r="AC132" s="22">
        <f t="shared" ref="AC132:AC153" si="111">SUM(Z132:AB132)</f>
        <v>4.0981605951660134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-5.3205440053716299E-14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215.23235148064941</v>
      </c>
      <c r="AO132" s="59">
        <f t="shared" si="90"/>
        <v>184.07239726900434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0.44126017747885826</v>
      </c>
      <c r="AV132" s="21">
        <f>EXP(-LN(2)/25)*AV131+(1-EXP(-LN(2)/25))/(LN(2)/25)*Calculateur!AQ132*Calculateur!AS132*VLOOKUP('Données projet'!$B$10,Paramètres!$A$1:$I$89,3,0)*0.475*44/12</f>
        <v>0.50476946982151893</v>
      </c>
      <c r="AW132" s="21">
        <f>EXP(-LN(2)/2)*AW131+(1-EXP(-LN(2)/2))/(LN(2)/2)*AQ132*AT132*VLOOKUP('Données projet'!$B$10,Paramètres!$A$1:$I$89,3,0)*0.475*44/12</f>
        <v>1.2349940915328576E-14</v>
      </c>
      <c r="AX132" s="21">
        <f t="shared" ref="AX132:AX153" si="114">SUM(AU132:AW132)</f>
        <v>0.94602964730038952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261.27638267284169</v>
      </c>
      <c r="BJ132" s="59">
        <f t="shared" si="92"/>
        <v>297.50513563712764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1.174596313193871</v>
      </c>
      <c r="BQ132" s="21">
        <f>EXP(-LN(2)/25)*BQ131+(1-EXP(-LN(2)/25))/(LN(2)/25)*Calculateur!BL132*Calculateur!BN132*VLOOKUP('Données projet'!$B$11,Paramètres!$A$1:$I$89,3,0)*0.475*44/12</f>
        <v>1.7908372712238705</v>
      </c>
      <c r="BR132" s="21">
        <f>EXP(-LN(2)/2)*BR131+(1-EXP(-LN(2)/2))/(LN(2)/2)*BL132*BO132*VLOOKUP('Données projet'!$B$11,Paramètres!$A$1:$I$89,3,0)*0.475*44/12</f>
        <v>3.0649700949573371E-14</v>
      </c>
      <c r="BS132" s="22">
        <f t="shared" ref="BS132:BS153" si="117">SUM(BP132:BR132)</f>
        <v>2.9654335844177724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-1.1368683772161603E-13</v>
      </c>
      <c r="BZ132" s="13">
        <f>BY132*VLOOKUP('Données projet'!$B$12,Paramètres!$A$1:$I$89,3,0)*VLOOKUP('Données projet'!$B$12,Paramètres!$A$1:$I$89,5,0)</f>
        <v>-6.7984728957526396E-14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314.69202393413491</v>
      </c>
      <c r="CE132" s="59">
        <f t="shared" si="94"/>
        <v>321.1728368524748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0.49247397506305551</v>
      </c>
      <c r="CL132" s="21">
        <f>EXP(-LN(2)/25)*CL131+(1-EXP(-LN(2)/25))/(LN(2)/25)*Calculateur!CG132*Calculateur!CI132*VLOOKUP('Données projet'!$B$12,Paramètres!$A$1:$I$89,3,0)*0.475*44/12</f>
        <v>1.3712287077280365</v>
      </c>
      <c r="CM132" s="21">
        <f>EXP(-LN(2)/2)*CM131+(1-EXP(-LN(2)/2))/(LN(2)/2)*CG132*CJ132*VLOOKUP('Données projet'!$B$12,Paramètres!$A$1:$I$89,3,0)*0.475*44/12</f>
        <v>3.8063229095017384E-14</v>
      </c>
      <c r="CN132" s="22">
        <f t="shared" ref="CN132:CN153" si="120">SUM(CK132:CM132)</f>
        <v>1.86370268279113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-1.2505552149377763E-12</v>
      </c>
      <c r="O133" s="13">
        <f>N133*VLOOKUP('Données projet'!$B$9,Paramètres!$A$1:$I$89,3,0)*VLOOKUP('Données projet'!$B$9,Paramètres!$A$1:$I$89,5,0)</f>
        <v>-6.9906036515021697E-13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415.91544298418842</v>
      </c>
      <c r="T133" s="59">
        <f t="shared" ref="T133:T196" si="142">$T$3</f>
        <v>422.79312683312583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1.5760688416452433</v>
      </c>
      <c r="AA133" s="21">
        <f>EXP(-LN(2)/25)*AA132+(1-EXP(-LN(2)/25))/(LN(2)/25)*Calculateur!V133*Calculateur!X133*VLOOKUP('Données projet'!$B$9,Paramètres!$A$1:$I$89,3,0)*0.475*44/12</f>
        <v>2.4224631315676097</v>
      </c>
      <c r="AB133" s="21">
        <f>EXP(-LN(2)/2)*AB132+(1-EXP(-LN(2)/2))/(LN(2)/2)*V133*Y133*VLOOKUP('Données projet'!$B$9,Paramètres!$A$1:$I$89,3,0)*0.475*44/12</f>
        <v>3.2393546827188842E-14</v>
      </c>
      <c r="AC133" s="22">
        <f t="shared" si="111"/>
        <v>3.9985319732128857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-5.3205440053716299E-14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215.23235148064941</v>
      </c>
      <c r="AO133" s="59">
        <f t="shared" ref="AO133:AO196" si="144">$AO$3</f>
        <v>184.07239726900434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0.43260733454063055</v>
      </c>
      <c r="AV133" s="21">
        <f>EXP(-LN(2)/25)*AV132+(1-EXP(-LN(2)/25))/(LN(2)/25)*Calculateur!AQ133*Calculateur!AS133*VLOOKUP('Données projet'!$B$10,Paramètres!$A$1:$I$89,3,0)*0.475*44/12</f>
        <v>0.49096652212457675</v>
      </c>
      <c r="AW133" s="21">
        <f>EXP(-LN(2)/2)*AW132+(1-EXP(-LN(2)/2))/(LN(2)/2)*AQ133*AT133*VLOOKUP('Données projet'!$B$10,Paramètres!$A$1:$I$89,3,0)*0.475*44/12</f>
        <v>8.7327269684820336E-15</v>
      </c>
      <c r="AX133" s="21">
        <f t="shared" si="114"/>
        <v>0.92357385666521608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261.27638267284169</v>
      </c>
      <c r="BJ133" s="59">
        <f t="shared" ref="BJ133:BJ196" si="146">$BJ$3</f>
        <v>297.50513563712764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1.1515631959251484</v>
      </c>
      <c r="BQ133" s="21">
        <f>EXP(-LN(2)/25)*BQ132+(1-EXP(-LN(2)/25))/(LN(2)/25)*Calculateur!BL133*Calculateur!BN133*VLOOKUP('Données projet'!$B$11,Paramètres!$A$1:$I$89,3,0)*0.475*44/12</f>
        <v>1.7418667318662147</v>
      </c>
      <c r="BR133" s="21">
        <f>EXP(-LN(2)/2)*BR132+(1-EXP(-LN(2)/2))/(LN(2)/2)*BL133*BO133*VLOOKUP('Données projet'!$B$11,Paramètres!$A$1:$I$89,3,0)*0.475*44/12</f>
        <v>2.1672611382783096E-14</v>
      </c>
      <c r="BS133" s="22">
        <f t="shared" si="117"/>
        <v>2.8934299277913849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-1.1368683772161603E-13</v>
      </c>
      <c r="BZ133" s="13">
        <f>BY133*VLOOKUP('Données projet'!$B$12,Paramètres!$A$1:$I$89,3,0)*VLOOKUP('Données projet'!$B$12,Paramètres!$A$1:$I$89,5,0)</f>
        <v>-6.7984728957526396E-14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314.69202393413491</v>
      </c>
      <c r="CE133" s="59">
        <f t="shared" ref="CE133:CE196" si="148">$CE$3</f>
        <v>321.1728368524748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0.4828168607915338</v>
      </c>
      <c r="CL133" s="21">
        <f>EXP(-LN(2)/25)*CL132+(1-EXP(-LN(2)/25))/(LN(2)/25)*Calculateur!CG133*Calculateur!CI133*VLOOKUP('Données projet'!$B$12,Paramètres!$A$1:$I$89,3,0)*0.475*44/12</f>
        <v>1.3337323866054296</v>
      </c>
      <c r="CM133" s="21">
        <f>EXP(-LN(2)/2)*CM132+(1-EXP(-LN(2)/2))/(LN(2)/2)*CG133*CJ133*VLOOKUP('Données projet'!$B$12,Paramètres!$A$1:$I$89,3,0)*0.475*44/12</f>
        <v>2.6914767406943887E-14</v>
      </c>
      <c r="CN133" s="22">
        <f t="shared" si="120"/>
        <v>1.8165492473969902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-1.2505552149377763E-12</v>
      </c>
      <c r="O134" s="13">
        <f>N134*VLOOKUP('Données projet'!$B$9,Paramètres!$A$1:$I$89,3,0)*VLOOKUP('Données projet'!$B$9,Paramètres!$A$1:$I$89,5,0)</f>
        <v>-6.9906036515021697E-13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415.91544298418842</v>
      </c>
      <c r="T134" s="59">
        <f t="shared" si="142"/>
        <v>422.79312683312583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1.5451630929676523</v>
      </c>
      <c r="AA134" s="21">
        <f>EXP(-LN(2)/25)*AA133+(1-EXP(-LN(2)/25))/(LN(2)/25)*Calculateur!V134*Calculateur!X134*VLOOKUP('Données projet'!$B$9,Paramètres!$A$1:$I$89,3,0)*0.475*44/12</f>
        <v>2.3562207498430938</v>
      </c>
      <c r="AB134" s="21">
        <f>EXP(-LN(2)/2)*AB133+(1-EXP(-LN(2)/2))/(LN(2)/2)*V134*Y134*VLOOKUP('Données projet'!$B$9,Paramètres!$A$1:$I$89,3,0)*0.475*44/12</f>
        <v>2.2905696628189202E-14</v>
      </c>
      <c r="AC134" s="22">
        <f t="shared" si="111"/>
        <v>3.9013838428107692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-5.3205440053716299E-14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215.23235148064941</v>
      </c>
      <c r="AO134" s="59">
        <f t="shared" si="144"/>
        <v>184.07239726900434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0.42412416857470842</v>
      </c>
      <c r="AV134" s="21">
        <f>EXP(-LN(2)/25)*AV133+(1-EXP(-LN(2)/25))/(LN(2)/25)*Calculateur!AQ134*Calculateur!AS134*VLOOKUP('Données projet'!$B$10,Paramètres!$A$1:$I$89,3,0)*0.475*44/12</f>
        <v>0.47754101675827293</v>
      </c>
      <c r="AW134" s="21">
        <f>EXP(-LN(2)/2)*AW133+(1-EXP(-LN(2)/2))/(LN(2)/2)*AQ134*AT134*VLOOKUP('Données projet'!$B$10,Paramètres!$A$1:$I$89,3,0)*0.475*44/12</f>
        <v>6.1749704576642879E-15</v>
      </c>
      <c r="AX134" s="21">
        <f t="shared" si="114"/>
        <v>0.90166518533298756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261.27638267284169</v>
      </c>
      <c r="BJ134" s="59">
        <f t="shared" si="146"/>
        <v>297.50513563712764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1.1289817440372512</v>
      </c>
      <c r="BQ134" s="21">
        <f>EXP(-LN(2)/25)*BQ133+(1-EXP(-LN(2)/25))/(LN(2)/25)*Calculateur!BL134*Calculateur!BN134*VLOOKUP('Données projet'!$B$11,Paramètres!$A$1:$I$89,3,0)*0.475*44/12</f>
        <v>1.6942352944825427</v>
      </c>
      <c r="BR134" s="21">
        <f>EXP(-LN(2)/2)*BR133+(1-EXP(-LN(2)/2))/(LN(2)/2)*BL134*BO134*VLOOKUP('Données projet'!$B$11,Paramètres!$A$1:$I$89,3,0)*0.475*44/12</f>
        <v>1.5324850474786685E-14</v>
      </c>
      <c r="BS134" s="22">
        <f t="shared" si="117"/>
        <v>2.8232170385198097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-1.1368683772161603E-13</v>
      </c>
      <c r="BZ134" s="13">
        <f>BY134*VLOOKUP('Données projet'!$B$12,Paramètres!$A$1:$I$89,3,0)*VLOOKUP('Données projet'!$B$12,Paramètres!$A$1:$I$89,5,0)</f>
        <v>-6.7984728957526396E-14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314.69202393413491</v>
      </c>
      <c r="CE134" s="59">
        <f t="shared" si="148"/>
        <v>321.1728368524748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0.47334911664061852</v>
      </c>
      <c r="CL134" s="21">
        <f>EXP(-LN(2)/25)*CL133+(1-EXP(-LN(2)/25))/(LN(2)/25)*Calculateur!CG134*Calculateur!CI134*VLOOKUP('Données projet'!$B$12,Paramètres!$A$1:$I$89,3,0)*0.475*44/12</f>
        <v>1.2972614043557662</v>
      </c>
      <c r="CM134" s="21">
        <f>EXP(-LN(2)/2)*CM133+(1-EXP(-LN(2)/2))/(LN(2)/2)*CG134*CJ134*VLOOKUP('Données projet'!$B$12,Paramètres!$A$1:$I$89,3,0)*0.475*44/12</f>
        <v>1.9031614547508692E-14</v>
      </c>
      <c r="CN134" s="22">
        <f t="shared" si="120"/>
        <v>1.7706105209964038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-1.2505552149377763E-12</v>
      </c>
      <c r="O135" s="13">
        <f>N135*VLOOKUP('Données projet'!$B$9,Paramètres!$A$1:$I$89,3,0)*VLOOKUP('Données projet'!$B$9,Paramètres!$A$1:$I$89,5,0)</f>
        <v>-6.9906036515021697E-13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415.91544298418842</v>
      </c>
      <c r="T135" s="59">
        <f t="shared" si="142"/>
        <v>422.79312683312583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1.5148633871709836</v>
      </c>
      <c r="AA135" s="21">
        <f>EXP(-LN(2)/25)*AA134+(1-EXP(-LN(2)/25))/(LN(2)/25)*Calculateur!V135*Calculateur!X135*VLOOKUP('Données projet'!$B$9,Paramètres!$A$1:$I$89,3,0)*0.475*44/12</f>
        <v>2.2917897695303706</v>
      </c>
      <c r="AB135" s="21">
        <f>EXP(-LN(2)/2)*AB134+(1-EXP(-LN(2)/2))/(LN(2)/2)*V135*Y135*VLOOKUP('Données projet'!$B$9,Paramètres!$A$1:$I$89,3,0)*0.475*44/12</f>
        <v>1.6196773413594421E-14</v>
      </c>
      <c r="AC135" s="22">
        <f t="shared" si="111"/>
        <v>3.8066531567013699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-5.3205440053716299E-14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215.23235148064941</v>
      </c>
      <c r="AO135" s="59">
        <f t="shared" si="144"/>
        <v>184.07239726900434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0.41580735231915766</v>
      </c>
      <c r="AV135" s="21">
        <f>EXP(-LN(2)/25)*AV134+(1-EXP(-LN(2)/25))/(LN(2)/25)*Calculateur!AQ135*Calculateur!AS135*VLOOKUP('Données projet'!$B$10,Paramètres!$A$1:$I$89,3,0)*0.475*44/12</f>
        <v>0.46448263254222732</v>
      </c>
      <c r="AW135" s="21">
        <f>EXP(-LN(2)/2)*AW134+(1-EXP(-LN(2)/2))/(LN(2)/2)*AQ135*AT135*VLOOKUP('Données projet'!$B$10,Paramètres!$A$1:$I$89,3,0)*0.475*44/12</f>
        <v>4.3663634842410168E-15</v>
      </c>
      <c r="AX135" s="21">
        <f t="shared" si="114"/>
        <v>0.88028998486138932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261.27638267284169</v>
      </c>
      <c r="BJ135" s="59">
        <f t="shared" si="146"/>
        <v>297.50513563712764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1.1068431006475499</v>
      </c>
      <c r="BQ135" s="21">
        <f>EXP(-LN(2)/25)*BQ134+(1-EXP(-LN(2)/25))/(LN(2)/25)*Calculateur!BL135*Calculateur!BN135*VLOOKUP('Données projet'!$B$11,Paramètres!$A$1:$I$89,3,0)*0.475*44/12</f>
        <v>1.6479063412589556</v>
      </c>
      <c r="BR135" s="21">
        <f>EXP(-LN(2)/2)*BR134+(1-EXP(-LN(2)/2))/(LN(2)/2)*BL135*BO135*VLOOKUP('Données projet'!$B$11,Paramètres!$A$1:$I$89,3,0)*0.475*44/12</f>
        <v>1.0836305691391548E-14</v>
      </c>
      <c r="BS135" s="22">
        <f t="shared" si="117"/>
        <v>2.7547494419065162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-1.1368683772161603E-13</v>
      </c>
      <c r="BZ135" s="13">
        <f>BY135*VLOOKUP('Données projet'!$B$12,Paramètres!$A$1:$I$89,3,0)*VLOOKUP('Données projet'!$B$12,Paramètres!$A$1:$I$89,5,0)</f>
        <v>-6.7984728957526396E-14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314.69202393413491</v>
      </c>
      <c r="CE135" s="59">
        <f t="shared" si="148"/>
        <v>321.1728368524748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0.46406702917774895</v>
      </c>
      <c r="CL135" s="21">
        <f>EXP(-LN(2)/25)*CL134+(1-EXP(-LN(2)/25))/(LN(2)/25)*Calculateur!CG135*Calculateur!CI135*VLOOKUP('Données projet'!$B$12,Paramètres!$A$1:$I$89,3,0)*0.475*44/12</f>
        <v>1.2617877230336454</v>
      </c>
      <c r="CM135" s="21">
        <f>EXP(-LN(2)/2)*CM134+(1-EXP(-LN(2)/2))/(LN(2)/2)*CG135*CJ135*VLOOKUP('Données projet'!$B$12,Paramètres!$A$1:$I$89,3,0)*0.475*44/12</f>
        <v>1.3457383703471944E-14</v>
      </c>
      <c r="CN135" s="22">
        <f t="shared" si="120"/>
        <v>1.7258547522114078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-1.2505552149377763E-12</v>
      </c>
      <c r="O136" s="13">
        <f>N136*VLOOKUP('Données projet'!$B$9,Paramètres!$A$1:$I$89,3,0)*VLOOKUP('Données projet'!$B$9,Paramètres!$A$1:$I$89,5,0)</f>
        <v>-6.9906036515021697E-13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415.91544298418842</v>
      </c>
      <c r="T136" s="59">
        <f t="shared" si="142"/>
        <v>422.79312683312583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1.4851578401239918</v>
      </c>
      <c r="AA136" s="21">
        <f>EXP(-LN(2)/25)*AA135+(1-EXP(-LN(2)/25))/(LN(2)/25)*Calculateur!V136*Calculateur!X136*VLOOKUP('Données projet'!$B$9,Paramètres!$A$1:$I$89,3,0)*0.475*44/12</f>
        <v>2.2291206577625764</v>
      </c>
      <c r="AB136" s="21">
        <f>EXP(-LN(2)/2)*AB135+(1-EXP(-LN(2)/2))/(LN(2)/2)*V136*Y136*VLOOKUP('Données projet'!$B$9,Paramètres!$A$1:$I$89,3,0)*0.475*44/12</f>
        <v>1.1452848314094601E-14</v>
      </c>
      <c r="AC136" s="22">
        <f t="shared" si="111"/>
        <v>3.7142784978865797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-5.3205440053716299E-14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215.23235148064941</v>
      </c>
      <c r="AO136" s="59">
        <f t="shared" si="144"/>
        <v>184.07239726900434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0.40765362375762126</v>
      </c>
      <c r="AV136" s="21">
        <f>EXP(-LN(2)/25)*AV135+(1-EXP(-LN(2)/25))/(LN(2)/25)*Calculateur!AQ136*Calculateur!AS136*VLOOKUP('Données projet'!$B$10,Paramètres!$A$1:$I$89,3,0)*0.475*44/12</f>
        <v>0.45178133052928005</v>
      </c>
      <c r="AW136" s="21">
        <f>EXP(-LN(2)/2)*AW135+(1-EXP(-LN(2)/2))/(LN(2)/2)*AQ136*AT136*VLOOKUP('Données projet'!$B$10,Paramètres!$A$1:$I$89,3,0)*0.475*44/12</f>
        <v>3.087485228832144E-15</v>
      </c>
      <c r="AX136" s="21">
        <f t="shared" si="114"/>
        <v>0.85943495428690442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261.27638267284169</v>
      </c>
      <c r="BJ136" s="59">
        <f t="shared" si="146"/>
        <v>297.50513563712764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1.0851385825514814</v>
      </c>
      <c r="BQ136" s="21">
        <f>EXP(-LN(2)/25)*BQ135+(1-EXP(-LN(2)/25))/(LN(2)/25)*Calculateur!BL136*Calculateur!BN136*VLOOKUP('Données projet'!$B$11,Paramètres!$A$1:$I$89,3,0)*0.475*44/12</f>
        <v>1.6028442556976013</v>
      </c>
      <c r="BR136" s="21">
        <f>EXP(-LN(2)/2)*BR135+(1-EXP(-LN(2)/2))/(LN(2)/2)*BL136*BO136*VLOOKUP('Données projet'!$B$11,Paramètres!$A$1:$I$89,3,0)*0.475*44/12</f>
        <v>7.6624252373933427E-15</v>
      </c>
      <c r="BS136" s="22">
        <f t="shared" si="117"/>
        <v>2.68798283824909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-1.1368683772161603E-13</v>
      </c>
      <c r="BZ136" s="13">
        <f>BY136*VLOOKUP('Données projet'!$B$12,Paramètres!$A$1:$I$89,3,0)*VLOOKUP('Données projet'!$B$12,Paramètres!$A$1:$I$89,5,0)</f>
        <v>-6.7984728957526396E-14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314.69202393413491</v>
      </c>
      <c r="CE136" s="59">
        <f t="shared" si="148"/>
        <v>321.1728368524748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0.45496695778851193</v>
      </c>
      <c r="CL136" s="21">
        <f>EXP(-LN(2)/25)*CL135+(1-EXP(-LN(2)/25))/(LN(2)/25)*Calculateur!CG136*Calculateur!CI136*VLOOKUP('Données projet'!$B$12,Paramètres!$A$1:$I$89,3,0)*0.475*44/12</f>
        <v>1.227284071392758</v>
      </c>
      <c r="CM136" s="21">
        <f>EXP(-LN(2)/2)*CM135+(1-EXP(-LN(2)/2))/(LN(2)/2)*CG136*CJ136*VLOOKUP('Données projet'!$B$12,Paramètres!$A$1:$I$89,3,0)*0.475*44/12</f>
        <v>9.515807273754346E-15</v>
      </c>
      <c r="CN136" s="22">
        <f t="shared" si="120"/>
        <v>1.6822510291812793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-1.2505552149377763E-12</v>
      </c>
      <c r="O137" s="13">
        <f>N137*VLOOKUP('Données projet'!$B$9,Paramètres!$A$1:$I$89,3,0)*VLOOKUP('Données projet'!$B$9,Paramètres!$A$1:$I$89,5,0)</f>
        <v>-6.9906036515021697E-13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415.91544298418842</v>
      </c>
      <c r="T137" s="59">
        <f t="shared" si="142"/>
        <v>422.79312683312583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1.4560348007359969</v>
      </c>
      <c r="AA137" s="21">
        <f>EXP(-LN(2)/25)*AA136+(1-EXP(-LN(2)/25))/(LN(2)/25)*Calculateur!V137*Calculateur!X137*VLOOKUP('Données projet'!$B$9,Paramètres!$A$1:$I$89,3,0)*0.475*44/12</f>
        <v>2.1681652361516979</v>
      </c>
      <c r="AB137" s="21">
        <f>EXP(-LN(2)/2)*AB136+(1-EXP(-LN(2)/2))/(LN(2)/2)*V137*Y137*VLOOKUP('Données projet'!$B$9,Paramètres!$A$1:$I$89,3,0)*0.475*44/12</f>
        <v>8.0983867067972106E-15</v>
      </c>
      <c r="AC137" s="22">
        <f t="shared" si="111"/>
        <v>3.6242000368877028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-5.3205440053716299E-14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215.23235148064941</v>
      </c>
      <c r="AO137" s="59">
        <f t="shared" si="144"/>
        <v>184.07239726900434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0.39965978483989323</v>
      </c>
      <c r="AV137" s="21">
        <f>EXP(-LN(2)/25)*AV136+(1-EXP(-LN(2)/25))/(LN(2)/25)*Calculateur!AQ137*Calculateur!AS137*VLOOKUP('Données projet'!$B$10,Paramètres!$A$1:$I$89,3,0)*0.475*44/12</f>
        <v>0.43942734628780927</v>
      </c>
      <c r="AW137" s="21">
        <f>EXP(-LN(2)/2)*AW136+(1-EXP(-LN(2)/2))/(LN(2)/2)*AQ137*AT137*VLOOKUP('Données projet'!$B$10,Paramètres!$A$1:$I$89,3,0)*0.475*44/12</f>
        <v>2.1831817421205084E-15</v>
      </c>
      <c r="AX137" s="21">
        <f t="shared" si="114"/>
        <v>0.83908713112770472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261.27638267284169</v>
      </c>
      <c r="BJ137" s="59">
        <f t="shared" si="146"/>
        <v>297.50513563712764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1.063859676816828</v>
      </c>
      <c r="BQ137" s="21">
        <f>EXP(-LN(2)/25)*BQ136+(1-EXP(-LN(2)/25))/(LN(2)/25)*Calculateur!BL137*Calculateur!BN137*VLOOKUP('Données projet'!$B$11,Paramètres!$A$1:$I$89,3,0)*0.475*44/12</f>
        <v>1.5590143952356343</v>
      </c>
      <c r="BR137" s="21">
        <f>EXP(-LN(2)/2)*BR136+(1-EXP(-LN(2)/2))/(LN(2)/2)*BL137*BO137*VLOOKUP('Données projet'!$B$11,Paramètres!$A$1:$I$89,3,0)*0.475*44/12</f>
        <v>5.4181528456957739E-15</v>
      </c>
      <c r="BS137" s="22">
        <f t="shared" si="117"/>
        <v>2.6228740720524675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-1.1368683772161603E-13</v>
      </c>
      <c r="BZ137" s="13">
        <f>BY137*VLOOKUP('Données projet'!$B$12,Paramètres!$A$1:$I$89,3,0)*VLOOKUP('Données projet'!$B$12,Paramètres!$A$1:$I$89,5,0)</f>
        <v>-6.7984728957526396E-14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314.69202393413491</v>
      </c>
      <c r="CE137" s="59">
        <f t="shared" si="148"/>
        <v>321.1728368524748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0.44604533324872236</v>
      </c>
      <c r="CL137" s="21">
        <f>EXP(-LN(2)/25)*CL136+(1-EXP(-LN(2)/25))/(LN(2)/25)*Calculateur!CG137*Calculateur!CI137*VLOOKUP('Données projet'!$B$12,Paramètres!$A$1:$I$89,3,0)*0.475*44/12</f>
        <v>1.1937239239204587</v>
      </c>
      <c r="CM137" s="21">
        <f>EXP(-LN(2)/2)*CM136+(1-EXP(-LN(2)/2))/(LN(2)/2)*CG137*CJ137*VLOOKUP('Données projet'!$B$12,Paramètres!$A$1:$I$89,3,0)*0.475*44/12</f>
        <v>6.7286918517359718E-15</v>
      </c>
      <c r="CN137" s="22">
        <f t="shared" si="120"/>
        <v>1.6397692571691878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-1.2505552149377763E-12</v>
      </c>
      <c r="O138" s="13">
        <f>N138*VLOOKUP('Données projet'!$B$9,Paramètres!$A$1:$I$89,3,0)*VLOOKUP('Données projet'!$B$9,Paramètres!$A$1:$I$89,5,0)</f>
        <v>-6.9906036515021697E-13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415.91544298418842</v>
      </c>
      <c r="T138" s="59">
        <f t="shared" si="142"/>
        <v>422.79312683312583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1.4274828463871005</v>
      </c>
      <c r="AA138" s="21">
        <f>EXP(-LN(2)/25)*AA137+(1-EXP(-LN(2)/25))/(LN(2)/25)*Calculateur!V138*Calculateur!X138*VLOOKUP('Données projet'!$B$9,Paramètres!$A$1:$I$89,3,0)*0.475*44/12</f>
        <v>2.1088766437502753</v>
      </c>
      <c r="AB138" s="21">
        <f>EXP(-LN(2)/2)*AB137+(1-EXP(-LN(2)/2))/(LN(2)/2)*V138*Y138*VLOOKUP('Données projet'!$B$9,Paramètres!$A$1:$I$89,3,0)*0.475*44/12</f>
        <v>5.7264241570473004E-15</v>
      </c>
      <c r="AC138" s="22">
        <f t="shared" si="111"/>
        <v>3.5363594901373818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-5.3205440053716299E-14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215.23235148064941</v>
      </c>
      <c r="AO138" s="59">
        <f t="shared" si="144"/>
        <v>184.07239726900434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0.39182270022758153</v>
      </c>
      <c r="AV138" s="21">
        <f>EXP(-LN(2)/25)*AV137+(1-EXP(-LN(2)/25))/(LN(2)/25)*Calculateur!AQ138*Calculateur!AS138*VLOOKUP('Données projet'!$B$10,Paramètres!$A$1:$I$89,3,0)*0.475*44/12</f>
        <v>0.4274111823950893</v>
      </c>
      <c r="AW138" s="21">
        <f>EXP(-LN(2)/2)*AW137+(1-EXP(-LN(2)/2))/(LN(2)/2)*AQ138*AT138*VLOOKUP('Données projet'!$B$10,Paramètres!$A$1:$I$89,3,0)*0.475*44/12</f>
        <v>1.543742614416072E-15</v>
      </c>
      <c r="AX138" s="21">
        <f t="shared" si="114"/>
        <v>0.81923388262267238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261.27638267284169</v>
      </c>
      <c r="BJ138" s="59">
        <f t="shared" si="146"/>
        <v>297.50513563712764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1.0429980374447803</v>
      </c>
      <c r="BQ138" s="21">
        <f>EXP(-LN(2)/25)*BQ137+(1-EXP(-LN(2)/25))/(LN(2)/25)*Calculateur!BL138*Calculateur!BN138*VLOOKUP('Données projet'!$B$11,Paramètres!$A$1:$I$89,3,0)*0.475*44/12</f>
        <v>1.5163830646129119</v>
      </c>
      <c r="BR138" s="21">
        <f>EXP(-LN(2)/2)*BR137+(1-EXP(-LN(2)/2))/(LN(2)/2)*BL138*BO138*VLOOKUP('Données projet'!$B$11,Paramètres!$A$1:$I$89,3,0)*0.475*44/12</f>
        <v>3.8312126186966713E-15</v>
      </c>
      <c r="BS138" s="22">
        <f t="shared" si="117"/>
        <v>2.5593811020576962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-1.1368683772161603E-13</v>
      </c>
      <c r="BZ138" s="13">
        <f>BY138*VLOOKUP('Données projet'!$B$12,Paramètres!$A$1:$I$89,3,0)*VLOOKUP('Données projet'!$B$12,Paramètres!$A$1:$I$89,5,0)</f>
        <v>-6.7984728957526396E-14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314.69202393413491</v>
      </c>
      <c r="CE138" s="59">
        <f t="shared" si="148"/>
        <v>321.1728368524748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0.43729865632450443</v>
      </c>
      <c r="CL138" s="21">
        <f>EXP(-LN(2)/25)*CL137+(1-EXP(-LN(2)/25))/(LN(2)/25)*Calculateur!CG138*Calculateur!CI138*VLOOKUP('Données projet'!$B$12,Paramètres!$A$1:$I$89,3,0)*0.475*44/12</f>
        <v>1.1610814804456409</v>
      </c>
      <c r="CM138" s="21">
        <f>EXP(-LN(2)/2)*CM137+(1-EXP(-LN(2)/2))/(LN(2)/2)*CG138*CJ138*VLOOKUP('Données projet'!$B$12,Paramètres!$A$1:$I$89,3,0)*0.475*44/12</f>
        <v>4.757903636877173E-15</v>
      </c>
      <c r="CN138" s="22">
        <f t="shared" si="120"/>
        <v>1.59838013677015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-1.2505552149377763E-12</v>
      </c>
      <c r="O139" s="13">
        <f>N139*VLOOKUP('Données projet'!$B$9,Paramètres!$A$1:$I$89,3,0)*VLOOKUP('Données projet'!$B$9,Paramètres!$A$1:$I$89,5,0)</f>
        <v>-6.9906036515021697E-13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415.91544298418842</v>
      </c>
      <c r="T139" s="59">
        <f t="shared" si="142"/>
        <v>422.79312683312583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1.3994907784480135</v>
      </c>
      <c r="AA139" s="21">
        <f>EXP(-LN(2)/25)*AA138+(1-EXP(-LN(2)/25))/(LN(2)/25)*Calculateur!V139*Calculateur!X139*VLOOKUP('Données projet'!$B$9,Paramètres!$A$1:$I$89,3,0)*0.475*44/12</f>
        <v>2.0512093010259211</v>
      </c>
      <c r="AB139" s="21">
        <f>EXP(-LN(2)/2)*AB138+(1-EXP(-LN(2)/2))/(LN(2)/2)*V139*Y139*VLOOKUP('Données projet'!$B$9,Paramètres!$A$1:$I$89,3,0)*0.475*44/12</f>
        <v>4.0491933533986053E-15</v>
      </c>
      <c r="AC139" s="22">
        <f t="shared" si="111"/>
        <v>3.4507000794739384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-5.3205440053716299E-14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215.23235148064941</v>
      </c>
      <c r="AO139" s="59">
        <f t="shared" si="144"/>
        <v>184.07239726900434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0.38413929606436764</v>
      </c>
      <c r="AV139" s="21">
        <f>EXP(-LN(2)/25)*AV138+(1-EXP(-LN(2)/25))/(LN(2)/25)*Calculateur!AQ139*Calculateur!AS139*VLOOKUP('Données projet'!$B$10,Paramètres!$A$1:$I$89,3,0)*0.475*44/12</f>
        <v>0.41572360113591833</v>
      </c>
      <c r="AW139" s="21">
        <f>EXP(-LN(2)/2)*AW138+(1-EXP(-LN(2)/2))/(LN(2)/2)*AQ139*AT139*VLOOKUP('Données projet'!$B$10,Paramètres!$A$1:$I$89,3,0)*0.475*44/12</f>
        <v>1.0915908710602542E-15</v>
      </c>
      <c r="AX139" s="21">
        <f t="shared" si="114"/>
        <v>0.79986289720028703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261.27638267284169</v>
      </c>
      <c r="BJ139" s="59">
        <f t="shared" si="146"/>
        <v>297.50513563712764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1.0225454820964748</v>
      </c>
      <c r="BQ139" s="21">
        <f>EXP(-LN(2)/25)*BQ138+(1-EXP(-LN(2)/25))/(LN(2)/25)*Calculateur!BL139*Calculateur!BN139*VLOOKUP('Données projet'!$B$11,Paramètres!$A$1:$I$89,3,0)*0.475*44/12</f>
        <v>1.4749174899679522</v>
      </c>
      <c r="BR139" s="21">
        <f>EXP(-LN(2)/2)*BR138+(1-EXP(-LN(2)/2))/(LN(2)/2)*BL139*BO139*VLOOKUP('Données projet'!$B$11,Paramètres!$A$1:$I$89,3,0)*0.475*44/12</f>
        <v>2.709076422847887E-15</v>
      </c>
      <c r="BS139" s="22">
        <f t="shared" si="117"/>
        <v>2.4974629720644295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-1.1368683772161603E-13</v>
      </c>
      <c r="BZ139" s="13">
        <f>BY139*VLOOKUP('Données projet'!$B$12,Paramètres!$A$1:$I$89,3,0)*VLOOKUP('Données projet'!$B$12,Paramètres!$A$1:$I$89,5,0)</f>
        <v>-6.7984728957526396E-14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314.69202393413491</v>
      </c>
      <c r="CE139" s="59">
        <f t="shared" si="148"/>
        <v>321.1728368524748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0.42872349639982427</v>
      </c>
      <c r="CL139" s="21">
        <f>EXP(-LN(2)/25)*CL138+(1-EXP(-LN(2)/25))/(LN(2)/25)*Calculateur!CG139*Calculateur!CI139*VLOOKUP('Données projet'!$B$12,Paramètres!$A$1:$I$89,3,0)*0.475*44/12</f>
        <v>1.1293316463042333</v>
      </c>
      <c r="CM139" s="21">
        <f>EXP(-LN(2)/2)*CM138+(1-EXP(-LN(2)/2))/(LN(2)/2)*CG139*CJ139*VLOOKUP('Données projet'!$B$12,Paramètres!$A$1:$I$89,3,0)*0.475*44/12</f>
        <v>3.3643459258679859E-15</v>
      </c>
      <c r="CN139" s="22">
        <f t="shared" si="120"/>
        <v>1.558055142704061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-1.2505552149377763E-12</v>
      </c>
      <c r="O140" s="13">
        <f>N140*VLOOKUP('Données projet'!$B$9,Paramètres!$A$1:$I$89,3,0)*VLOOKUP('Données projet'!$B$9,Paramètres!$A$1:$I$89,5,0)</f>
        <v>-6.9906036515021697E-13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415.91544298418842</v>
      </c>
      <c r="T140" s="59">
        <f t="shared" si="142"/>
        <v>422.79312683312583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1.3720476178877363</v>
      </c>
      <c r="AA140" s="21">
        <f>EXP(-LN(2)/25)*AA139+(1-EXP(-LN(2)/25))/(LN(2)/25)*Calculateur!V140*Calculateur!X140*VLOOKUP('Données projet'!$B$9,Paramètres!$A$1:$I$89,3,0)*0.475*44/12</f>
        <v>1.9951188748209583</v>
      </c>
      <c r="AB140" s="21">
        <f>EXP(-LN(2)/2)*AB139+(1-EXP(-LN(2)/2))/(LN(2)/2)*V140*Y140*VLOOKUP('Données projet'!$B$9,Paramètres!$A$1:$I$89,3,0)*0.475*44/12</f>
        <v>2.8632120785236502E-15</v>
      </c>
      <c r="AC140" s="22">
        <f t="shared" si="111"/>
        <v>3.3671664927086971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-5.3205440053716299E-14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215.23235148064941</v>
      </c>
      <c r="AO140" s="59">
        <f t="shared" si="144"/>
        <v>184.07239726900434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0.37660655877038063</v>
      </c>
      <c r="AV140" s="21">
        <f>EXP(-LN(2)/25)*AV139+(1-EXP(-LN(2)/25))/(LN(2)/25)*Calculateur!AQ140*Calculateur!AS140*VLOOKUP('Données projet'!$B$10,Paramètres!$A$1:$I$89,3,0)*0.475*44/12</f>
        <v>0.40435561740090259</v>
      </c>
      <c r="AW140" s="21">
        <f>EXP(-LN(2)/2)*AW139+(1-EXP(-LN(2)/2))/(LN(2)/2)*AQ140*AT140*VLOOKUP('Données projet'!$B$10,Paramètres!$A$1:$I$89,3,0)*0.475*44/12</f>
        <v>7.7187130720803599E-16</v>
      </c>
      <c r="AX140" s="21">
        <f t="shared" si="114"/>
        <v>0.78096217617128405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261.27638267284169</v>
      </c>
      <c r="BJ140" s="59">
        <f t="shared" si="146"/>
        <v>297.50513563712764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1.0024939888837225</v>
      </c>
      <c r="BQ140" s="21">
        <f>EXP(-LN(2)/25)*BQ139+(1-EXP(-LN(2)/25))/(LN(2)/25)*Calculateur!BL140*Calculateur!BN140*VLOOKUP('Données projet'!$B$11,Paramètres!$A$1:$I$89,3,0)*0.475*44/12</f>
        <v>1.4345857936422388</v>
      </c>
      <c r="BR140" s="21">
        <f>EXP(-LN(2)/2)*BR139+(1-EXP(-LN(2)/2))/(LN(2)/2)*BL140*BO140*VLOOKUP('Données projet'!$B$11,Paramètres!$A$1:$I$89,3,0)*0.475*44/12</f>
        <v>1.9156063093483357E-15</v>
      </c>
      <c r="BS140" s="22">
        <f t="shared" si="117"/>
        <v>2.4370797825259629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-1.1368683772161603E-13</v>
      </c>
      <c r="BZ140" s="13">
        <f>BY140*VLOOKUP('Données projet'!$B$12,Paramètres!$A$1:$I$89,3,0)*VLOOKUP('Données projet'!$B$12,Paramètres!$A$1:$I$89,5,0)</f>
        <v>-6.7984728957526396E-14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314.69202393413491</v>
      </c>
      <c r="CE140" s="59">
        <f t="shared" si="148"/>
        <v>321.1728368524748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0.42031649013093597</v>
      </c>
      <c r="CL140" s="21">
        <f>EXP(-LN(2)/25)*CL139+(1-EXP(-LN(2)/25))/(LN(2)/25)*Calculateur!CG140*Calculateur!CI140*VLOOKUP('Données projet'!$B$12,Paramètres!$A$1:$I$89,3,0)*0.475*44/12</f>
        <v>1.098450013047074</v>
      </c>
      <c r="CM140" s="21">
        <f>EXP(-LN(2)/2)*CM139+(1-EXP(-LN(2)/2))/(LN(2)/2)*CG140*CJ140*VLOOKUP('Données projet'!$B$12,Paramètres!$A$1:$I$89,3,0)*0.475*44/12</f>
        <v>2.3789518184385865E-15</v>
      </c>
      <c r="CN140" s="22">
        <f t="shared" si="120"/>
        <v>1.5187665031780124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-1.2505552149377763E-12</v>
      </c>
      <c r="O141" s="13">
        <f>N141*VLOOKUP('Données projet'!$B$9,Paramètres!$A$1:$I$89,3,0)*VLOOKUP('Données projet'!$B$9,Paramètres!$A$1:$I$89,5,0)</f>
        <v>-6.9906036515021697E-13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415.91544298418842</v>
      </c>
      <c r="T141" s="59">
        <f t="shared" si="142"/>
        <v>422.79312683312583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1.345142600967371</v>
      </c>
      <c r="AA141" s="21">
        <f>EXP(-LN(2)/25)*AA140+(1-EXP(-LN(2)/25))/(LN(2)/25)*Calculateur!V141*Calculateur!X141*VLOOKUP('Données projet'!$B$9,Paramètres!$A$1:$I$89,3,0)*0.475*44/12</f>
        <v>1.9405622442702375</v>
      </c>
      <c r="AB141" s="21">
        <f>EXP(-LN(2)/2)*AB140+(1-EXP(-LN(2)/2))/(LN(2)/2)*V141*Y141*VLOOKUP('Données projet'!$B$9,Paramètres!$A$1:$I$89,3,0)*0.475*44/12</f>
        <v>2.0245966766993026E-15</v>
      </c>
      <c r="AC141" s="22">
        <f t="shared" si="111"/>
        <v>3.285704845237611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-5.3205440053716299E-14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215.23235148064941</v>
      </c>
      <c r="AO141" s="59">
        <f t="shared" si="144"/>
        <v>184.07239726900434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0.36922153386021261</v>
      </c>
      <c r="AV141" s="21">
        <f>EXP(-LN(2)/25)*AV140+(1-EXP(-LN(2)/25))/(LN(2)/25)*Calculateur!AQ141*Calculateur!AS141*VLOOKUP('Données projet'!$B$10,Paramètres!$A$1:$I$89,3,0)*0.475*44/12</f>
        <v>0.39329849177893716</v>
      </c>
      <c r="AW141" s="21">
        <f>EXP(-LN(2)/2)*AW140+(1-EXP(-LN(2)/2))/(LN(2)/2)*AQ141*AT141*VLOOKUP('Données projet'!$B$10,Paramètres!$A$1:$I$89,3,0)*0.475*44/12</f>
        <v>5.457954355301271E-16</v>
      </c>
      <c r="AX141" s="21">
        <f t="shared" si="114"/>
        <v>0.76252002563915033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261.27638267284169</v>
      </c>
      <c r="BJ141" s="59">
        <f t="shared" si="146"/>
        <v>297.50513563712764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0.98283569322266917</v>
      </c>
      <c r="BQ141" s="21">
        <f>EXP(-LN(2)/25)*BQ140+(1-EXP(-LN(2)/25))/(LN(2)/25)*Calculateur!BL141*Calculateur!BN141*VLOOKUP('Données projet'!$B$11,Paramètres!$A$1:$I$89,3,0)*0.475*44/12</f>
        <v>1.3953569696735038</v>
      </c>
      <c r="BR141" s="21">
        <f>EXP(-LN(2)/2)*BR140+(1-EXP(-LN(2)/2))/(LN(2)/2)*BL141*BO141*VLOOKUP('Données projet'!$B$11,Paramètres!$A$1:$I$89,3,0)*0.475*44/12</f>
        <v>1.3545382114239435E-15</v>
      </c>
      <c r="BS141" s="22">
        <f t="shared" si="117"/>
        <v>2.3781926628961743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-1.1368683772161603E-13</v>
      </c>
      <c r="BZ141" s="13">
        <f>BY141*VLOOKUP('Données projet'!$B$12,Paramètres!$A$1:$I$89,3,0)*VLOOKUP('Données projet'!$B$12,Paramètres!$A$1:$I$89,5,0)</f>
        <v>-6.7984728957526396E-14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314.69202393413491</v>
      </c>
      <c r="CE141" s="59">
        <f t="shared" si="148"/>
        <v>321.1728368524748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0.41207434012721311</v>
      </c>
      <c r="CL141" s="21">
        <f>EXP(-LN(2)/25)*CL140+(1-EXP(-LN(2)/25))/(LN(2)/25)*Calculateur!CG141*Calculateur!CI141*VLOOKUP('Données projet'!$B$12,Paramètres!$A$1:$I$89,3,0)*0.475*44/12</f>
        <v>1.0684128396753261</v>
      </c>
      <c r="CM141" s="21">
        <f>EXP(-LN(2)/2)*CM140+(1-EXP(-LN(2)/2))/(LN(2)/2)*CG141*CJ141*VLOOKUP('Données projet'!$B$12,Paramètres!$A$1:$I$89,3,0)*0.475*44/12</f>
        <v>1.6821729629339929E-15</v>
      </c>
      <c r="CN141" s="22">
        <f t="shared" si="120"/>
        <v>1.480487179802541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-1.2505552149377763E-12</v>
      </c>
      <c r="O142" s="13">
        <f>N142*VLOOKUP('Données projet'!$B$9,Paramètres!$A$1:$I$89,3,0)*VLOOKUP('Données projet'!$B$9,Paramètres!$A$1:$I$89,5,0)</f>
        <v>-6.9906036515021697E-13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415.91544298418842</v>
      </c>
      <c r="T142" s="59">
        <f t="shared" si="142"/>
        <v>422.79312683312583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1.3187651750183742</v>
      </c>
      <c r="AA142" s="21">
        <f>EXP(-LN(2)/25)*AA141+(1-EXP(-LN(2)/25))/(LN(2)/25)*Calculateur!V142*Calculateur!X142*VLOOKUP('Données projet'!$B$9,Paramètres!$A$1:$I$89,3,0)*0.475*44/12</f>
        <v>1.8874974676509346</v>
      </c>
      <c r="AB142" s="21">
        <f>EXP(-LN(2)/2)*AB141+(1-EXP(-LN(2)/2))/(LN(2)/2)*V142*Y142*VLOOKUP('Données projet'!$B$9,Paramètres!$A$1:$I$89,3,0)*0.475*44/12</f>
        <v>1.4316060392618251E-15</v>
      </c>
      <c r="AC142" s="22">
        <f t="shared" si="111"/>
        <v>3.2062626426693099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-5.3205440053716299E-14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215.23235148064941</v>
      </c>
      <c r="AO142" s="59">
        <f t="shared" si="144"/>
        <v>184.07239726900434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0.36198132478411255</v>
      </c>
      <c r="AV142" s="21">
        <f>EXP(-LN(2)/25)*AV141+(1-EXP(-LN(2)/25))/(LN(2)/25)*Calculateur!AQ142*Calculateur!AS142*VLOOKUP('Données projet'!$B$10,Paramètres!$A$1:$I$89,3,0)*0.475*44/12</f>
        <v>0.38254372383857332</v>
      </c>
      <c r="AW142" s="21">
        <f>EXP(-LN(2)/2)*AW141+(1-EXP(-LN(2)/2))/(LN(2)/2)*AQ142*AT142*VLOOKUP('Données projet'!$B$10,Paramètres!$A$1:$I$89,3,0)*0.475*44/12</f>
        <v>3.85935653604018E-16</v>
      </c>
      <c r="AX142" s="21">
        <f t="shared" si="114"/>
        <v>0.7445250486226862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261.27638267284169</v>
      </c>
      <c r="BJ142" s="59">
        <f t="shared" si="146"/>
        <v>297.50513563712764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0.96356288474915264</v>
      </c>
      <c r="BQ142" s="21">
        <f>EXP(-LN(2)/25)*BQ141+(1-EXP(-LN(2)/25))/(LN(2)/25)*Calculateur!BL142*Calculateur!BN142*VLOOKUP('Données projet'!$B$11,Paramètres!$A$1:$I$89,3,0)*0.475*44/12</f>
        <v>1.3572008599591479</v>
      </c>
      <c r="BR142" s="21">
        <f>EXP(-LN(2)/2)*BR141+(1-EXP(-LN(2)/2))/(LN(2)/2)*BL142*BO142*VLOOKUP('Données projet'!$B$11,Paramètres!$A$1:$I$89,3,0)*0.475*44/12</f>
        <v>9.5780315467416783E-16</v>
      </c>
      <c r="BS142" s="22">
        <f t="shared" si="117"/>
        <v>2.3207637447083016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-1.1368683772161603E-13</v>
      </c>
      <c r="BZ142" s="13">
        <f>BY142*VLOOKUP('Données projet'!$B$12,Paramètres!$A$1:$I$89,3,0)*VLOOKUP('Données projet'!$B$12,Paramètres!$A$1:$I$89,5,0)</f>
        <v>-6.7984728957526396E-14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314.69202393413491</v>
      </c>
      <c r="CE142" s="59">
        <f t="shared" si="148"/>
        <v>321.1728368524748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0.40399381365784814</v>
      </c>
      <c r="CL142" s="21">
        <f>EXP(-LN(2)/25)*CL141+(1-EXP(-LN(2)/25))/(LN(2)/25)*Calculateur!CG142*Calculateur!CI142*VLOOKUP('Données projet'!$B$12,Paramètres!$A$1:$I$89,3,0)*0.475*44/12</f>
        <v>1.0391970343890149</v>
      </c>
      <c r="CM142" s="21">
        <f>EXP(-LN(2)/2)*CM141+(1-EXP(-LN(2)/2))/(LN(2)/2)*CG142*CJ142*VLOOKUP('Données projet'!$B$12,Paramètres!$A$1:$I$89,3,0)*0.475*44/12</f>
        <v>1.1894759092192933E-15</v>
      </c>
      <c r="CN142" s="22">
        <f t="shared" si="120"/>
        <v>1.443190848046864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-1.2505552149377763E-12</v>
      </c>
      <c r="O143" s="13">
        <f>N143*VLOOKUP('Données projet'!$B$9,Paramètres!$A$1:$I$89,3,0)*VLOOKUP('Données projet'!$B$9,Paramètres!$A$1:$I$89,5,0)</f>
        <v>-6.9906036515021697E-13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415.91544298418842</v>
      </c>
      <c r="T143" s="59">
        <f t="shared" si="142"/>
        <v>422.79312683312583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1.292904994303596</v>
      </c>
      <c r="AA143" s="21">
        <f>EXP(-LN(2)/25)*AA142+(1-EXP(-LN(2)/25))/(LN(2)/25)*Calculateur!V143*Calculateur!X143*VLOOKUP('Données projet'!$B$9,Paramètres!$A$1:$I$89,3,0)*0.475*44/12</f>
        <v>1.8358837501388419</v>
      </c>
      <c r="AB143" s="21">
        <f>EXP(-LN(2)/2)*AB142+(1-EXP(-LN(2)/2))/(LN(2)/2)*V143*Y143*VLOOKUP('Données projet'!$B$9,Paramètres!$A$1:$I$89,3,0)*0.475*44/12</f>
        <v>1.0122983383496513E-15</v>
      </c>
      <c r="AC143" s="22">
        <f t="shared" si="111"/>
        <v>3.1287887444424385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-5.3205440053716299E-14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215.23235148064941</v>
      </c>
      <c r="AO143" s="59">
        <f t="shared" si="144"/>
        <v>184.07239726900434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0.3548830917919033</v>
      </c>
      <c r="AV143" s="21">
        <f>EXP(-LN(2)/25)*AV142+(1-EXP(-LN(2)/25))/(LN(2)/25)*Calculateur!AQ143*Calculateur!AS143*VLOOKUP('Données projet'!$B$10,Paramètres!$A$1:$I$89,3,0)*0.475*44/12</f>
        <v>0.3720830455931074</v>
      </c>
      <c r="AW143" s="21">
        <f>EXP(-LN(2)/2)*AW142+(1-EXP(-LN(2)/2))/(LN(2)/2)*AQ143*AT143*VLOOKUP('Données projet'!$B$10,Paramètres!$A$1:$I$89,3,0)*0.475*44/12</f>
        <v>2.7289771776506355E-16</v>
      </c>
      <c r="AX143" s="21">
        <f t="shared" si="114"/>
        <v>0.72696613738501092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261.27638267284169</v>
      </c>
      <c r="BJ143" s="59">
        <f t="shared" si="146"/>
        <v>297.50513563712764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0.94466800429454933</v>
      </c>
      <c r="BQ143" s="21">
        <f>EXP(-LN(2)/25)*BQ142+(1-EXP(-LN(2)/25))/(LN(2)/25)*Calculateur!BL143*Calculateur!BN143*VLOOKUP('Données projet'!$B$11,Paramètres!$A$1:$I$89,3,0)*0.475*44/12</f>
        <v>1.3200881310714736</v>
      </c>
      <c r="BR143" s="21">
        <f>EXP(-LN(2)/2)*BR142+(1-EXP(-LN(2)/2))/(LN(2)/2)*BL143*BO143*VLOOKUP('Données projet'!$B$11,Paramètres!$A$1:$I$89,3,0)*0.475*44/12</f>
        <v>6.7726910571197174E-16</v>
      </c>
      <c r="BS143" s="22">
        <f t="shared" si="117"/>
        <v>2.2647561353660239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-1.1368683772161603E-13</v>
      </c>
      <c r="BZ143" s="13">
        <f>BY143*VLOOKUP('Données projet'!$B$12,Paramètres!$A$1:$I$89,3,0)*VLOOKUP('Données projet'!$B$12,Paramètres!$A$1:$I$89,5,0)</f>
        <v>-6.7984728957526396E-14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314.69202393413491</v>
      </c>
      <c r="CE143" s="59">
        <f t="shared" si="148"/>
        <v>321.1728368524748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0.39607174138391293</v>
      </c>
      <c r="CL143" s="21">
        <f>EXP(-LN(2)/25)*CL142+(1-EXP(-LN(2)/25))/(LN(2)/25)*Calculateur!CG143*Calculateur!CI143*VLOOKUP('Données projet'!$B$12,Paramètres!$A$1:$I$89,3,0)*0.475*44/12</f>
        <v>1.0107801368346503</v>
      </c>
      <c r="CM143" s="21">
        <f>EXP(-LN(2)/2)*CM142+(1-EXP(-LN(2)/2))/(LN(2)/2)*CG143*CJ143*VLOOKUP('Données projet'!$B$12,Paramètres!$A$1:$I$89,3,0)*0.475*44/12</f>
        <v>8.4108648146699647E-16</v>
      </c>
      <c r="CN143" s="22">
        <f t="shared" si="120"/>
        <v>1.4068518782185642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-1.2505552149377763E-12</v>
      </c>
      <c r="O144" s="13">
        <f>N144*VLOOKUP('Données projet'!$B$9,Paramètres!$A$1:$I$89,3,0)*VLOOKUP('Données projet'!$B$9,Paramètres!$A$1:$I$89,5,0)</f>
        <v>-6.9906036515021697E-13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415.91544298418842</v>
      </c>
      <c r="T144" s="59">
        <f t="shared" si="142"/>
        <v>422.79312683312583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1.2675519159594817</v>
      </c>
      <c r="AA144" s="21">
        <f>EXP(-LN(2)/25)*AA143+(1-EXP(-LN(2)/25))/(LN(2)/25)*Calculateur!V144*Calculateur!X144*VLOOKUP('Données projet'!$B$9,Paramètres!$A$1:$I$89,3,0)*0.475*44/12</f>
        <v>1.7856814124463647</v>
      </c>
      <c r="AB144" s="21">
        <f>EXP(-LN(2)/2)*AB143+(1-EXP(-LN(2)/2))/(LN(2)/2)*V144*Y144*VLOOKUP('Données projet'!$B$9,Paramètres!$A$1:$I$89,3,0)*0.475*44/12</f>
        <v>7.1580301963091256E-16</v>
      </c>
      <c r="AC144" s="22">
        <f t="shared" si="111"/>
        <v>3.053233328405847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-5.3205440053716299E-14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215.23235148064941</v>
      </c>
      <c r="AO144" s="59">
        <f t="shared" si="144"/>
        <v>184.07239726900434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0.34792405081917671</v>
      </c>
      <c r="AV144" s="21">
        <f>EXP(-LN(2)/25)*AV143+(1-EXP(-LN(2)/25))/(LN(2)/25)*Calculateur!AQ144*Calculateur!AS144*VLOOKUP('Données projet'!$B$10,Paramètres!$A$1:$I$89,3,0)*0.475*44/12</f>
        <v>0.36190841514436689</v>
      </c>
      <c r="AW144" s="21">
        <f>EXP(-LN(2)/2)*AW143+(1-EXP(-LN(2)/2))/(LN(2)/2)*AQ144*AT144*VLOOKUP('Données projet'!$B$10,Paramètres!$A$1:$I$89,3,0)*0.475*44/12</f>
        <v>1.92967826802009E-16</v>
      </c>
      <c r="AX144" s="21">
        <f t="shared" si="114"/>
        <v>0.70983246596354377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261.27638267284169</v>
      </c>
      <c r="BJ144" s="59">
        <f t="shared" si="146"/>
        <v>297.50513563712764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0.92614364092092172</v>
      </c>
      <c r="BQ144" s="21">
        <f>EXP(-LN(2)/25)*BQ143+(1-EXP(-LN(2)/25))/(LN(2)/25)*Calculateur!BL144*Calculateur!BN144*VLOOKUP('Données projet'!$B$11,Paramètres!$A$1:$I$89,3,0)*0.475*44/12</f>
        <v>1.2839902517069064</v>
      </c>
      <c r="BR144" s="21">
        <f>EXP(-LN(2)/2)*BR143+(1-EXP(-LN(2)/2))/(LN(2)/2)*BL144*BO144*VLOOKUP('Données projet'!$B$11,Paramètres!$A$1:$I$89,3,0)*0.475*44/12</f>
        <v>4.7890157733708392E-16</v>
      </c>
      <c r="BS144" s="22">
        <f t="shared" si="117"/>
        <v>2.2101338926278284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-1.1368683772161603E-13</v>
      </c>
      <c r="BZ144" s="13">
        <f>BY144*VLOOKUP('Données projet'!$B$12,Paramètres!$A$1:$I$89,3,0)*VLOOKUP('Données projet'!$B$12,Paramètres!$A$1:$I$89,5,0)</f>
        <v>-6.7984728957526396E-14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314.69202393413491</v>
      </c>
      <c r="CE144" s="59">
        <f t="shared" si="148"/>
        <v>321.1728368524748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0.38830501611528262</v>
      </c>
      <c r="CL144" s="21">
        <f>EXP(-LN(2)/25)*CL143+(1-EXP(-LN(2)/25))/(LN(2)/25)*Calculateur!CG144*Calculateur!CI144*VLOOKUP('Données projet'!$B$12,Paramètres!$A$1:$I$89,3,0)*0.475*44/12</f>
        <v>0.98314030083828952</v>
      </c>
      <c r="CM144" s="21">
        <f>EXP(-LN(2)/2)*CM143+(1-EXP(-LN(2)/2))/(LN(2)/2)*CG144*CJ144*VLOOKUP('Données projet'!$B$12,Paramètres!$A$1:$I$89,3,0)*0.475*44/12</f>
        <v>5.9473795460964663E-16</v>
      </c>
      <c r="CN144" s="22">
        <f t="shared" si="120"/>
        <v>1.3714453169535727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-1.2505552149377763E-12</v>
      </c>
      <c r="O145" s="13">
        <f>N145*VLOOKUP('Données projet'!$B$9,Paramètres!$A$1:$I$89,3,0)*VLOOKUP('Données projet'!$B$9,Paramètres!$A$1:$I$89,5,0)</f>
        <v>-6.9906036515021697E-13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415.91544298418842</v>
      </c>
      <c r="T145" s="59">
        <f t="shared" si="142"/>
        <v>422.79312683312583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1.2426959960178448</v>
      </c>
      <c r="AA145" s="21">
        <f>EXP(-LN(2)/25)*AA144+(1-EXP(-LN(2)/25))/(LN(2)/25)*Calculateur!V145*Calculateur!X145*VLOOKUP('Données projet'!$B$9,Paramètres!$A$1:$I$89,3,0)*0.475*44/12</f>
        <v>1.7368518603181147</v>
      </c>
      <c r="AB145" s="21">
        <f>EXP(-LN(2)/2)*AB144+(1-EXP(-LN(2)/2))/(LN(2)/2)*V145*Y145*VLOOKUP('Données projet'!$B$9,Paramètres!$A$1:$I$89,3,0)*0.475*44/12</f>
        <v>5.0614916917482566E-16</v>
      </c>
      <c r="AC145" s="22">
        <f t="shared" si="111"/>
        <v>2.9795478563359601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-5.3205440053716299E-14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215.23235148064941</v>
      </c>
      <c r="AO145" s="59">
        <f t="shared" si="144"/>
        <v>184.07239726900434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0.3411014723953294</v>
      </c>
      <c r="AV145" s="21">
        <f>EXP(-LN(2)/25)*AV144+(1-EXP(-LN(2)/25))/(LN(2)/25)*Calculateur!AQ145*Calculateur!AS145*VLOOKUP('Données projet'!$B$10,Paramètres!$A$1:$I$89,3,0)*0.475*44/12</f>
        <v>0.35201201050030778</v>
      </c>
      <c r="AW145" s="21">
        <f>EXP(-LN(2)/2)*AW144+(1-EXP(-LN(2)/2))/(LN(2)/2)*AQ145*AT145*VLOOKUP('Données projet'!$B$10,Paramètres!$A$1:$I$89,3,0)*0.475*44/12</f>
        <v>1.3644885888253177E-16</v>
      </c>
      <c r="AX145" s="21">
        <f t="shared" si="114"/>
        <v>0.69311348289563723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261.27638267284169</v>
      </c>
      <c r="BJ145" s="59">
        <f t="shared" si="146"/>
        <v>297.50513563712764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0.90798252901430498</v>
      </c>
      <c r="BQ145" s="21">
        <f>EXP(-LN(2)/25)*BQ144+(1-EXP(-LN(2)/25))/(LN(2)/25)*Calculateur!BL145*Calculateur!BN145*VLOOKUP('Données projet'!$B$11,Paramètres!$A$1:$I$89,3,0)*0.475*44/12</f>
        <v>1.2488794707518682</v>
      </c>
      <c r="BR145" s="21">
        <f>EXP(-LN(2)/2)*BR144+(1-EXP(-LN(2)/2))/(LN(2)/2)*BL145*BO145*VLOOKUP('Données projet'!$B$11,Paramètres!$A$1:$I$89,3,0)*0.475*44/12</f>
        <v>3.3863455285598587E-16</v>
      </c>
      <c r="BS145" s="22">
        <f t="shared" si="117"/>
        <v>2.1568619997661735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-1.1368683772161603E-13</v>
      </c>
      <c r="BZ145" s="13">
        <f>BY145*VLOOKUP('Données projet'!$B$12,Paramètres!$A$1:$I$89,3,0)*VLOOKUP('Données projet'!$B$12,Paramètres!$A$1:$I$89,5,0)</f>
        <v>-6.7984728957526396E-14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314.69202393413491</v>
      </c>
      <c r="CE145" s="59">
        <f t="shared" si="148"/>
        <v>321.1728368524748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0.38069059159193547</v>
      </c>
      <c r="CL145" s="21">
        <f>EXP(-LN(2)/25)*CL144+(1-EXP(-LN(2)/25))/(LN(2)/25)*Calculateur!CG145*Calculateur!CI145*VLOOKUP('Données projet'!$B$12,Paramètres!$A$1:$I$89,3,0)*0.475*44/12</f>
        <v>0.95625627761076504</v>
      </c>
      <c r="CM145" s="21">
        <f>EXP(-LN(2)/2)*CM144+(1-EXP(-LN(2)/2))/(LN(2)/2)*CG145*CJ145*VLOOKUP('Données projet'!$B$12,Paramètres!$A$1:$I$89,3,0)*0.475*44/12</f>
        <v>4.2054324073349824E-16</v>
      </c>
      <c r="CN145" s="22">
        <f t="shared" si="120"/>
        <v>1.3369468692027009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-1.2505552149377763E-12</v>
      </c>
      <c r="O146" s="13">
        <f>N146*VLOOKUP('Données projet'!$B$9,Paramètres!$A$1:$I$89,3,0)*VLOOKUP('Données projet'!$B$9,Paramètres!$A$1:$I$89,5,0)</f>
        <v>-6.9906036515021697E-13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415.91544298418842</v>
      </c>
      <c r="T146" s="59">
        <f t="shared" si="142"/>
        <v>422.79312683312583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1.2183274855056492</v>
      </c>
      <c r="AA146" s="21">
        <f>EXP(-LN(2)/25)*AA145+(1-EXP(-LN(2)/25))/(LN(2)/25)*Calculateur!V146*Calculateur!X146*VLOOKUP('Données projet'!$B$9,Paramètres!$A$1:$I$89,3,0)*0.475*44/12</f>
        <v>1.6893575548606461</v>
      </c>
      <c r="AB146" s="21">
        <f>EXP(-LN(2)/2)*AB145+(1-EXP(-LN(2)/2))/(LN(2)/2)*V146*Y146*VLOOKUP('Données projet'!$B$9,Paramètres!$A$1:$I$89,3,0)*0.475*44/12</f>
        <v>3.5790150981545628E-16</v>
      </c>
      <c r="AC146" s="22">
        <f t="shared" si="111"/>
        <v>2.9076850403662955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-5.3205440053716299E-14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215.23235148064941</v>
      </c>
      <c r="AO146" s="59">
        <f t="shared" si="144"/>
        <v>184.07239726900434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0.33441268057301177</v>
      </c>
      <c r="AV146" s="21">
        <f>EXP(-LN(2)/25)*AV145+(1-EXP(-LN(2)/25))/(LN(2)/25)*Calculateur!AQ146*Calculateur!AS146*VLOOKUP('Données projet'!$B$10,Paramètres!$A$1:$I$89,3,0)*0.475*44/12</f>
        <v>0.34238622356166976</v>
      </c>
      <c r="AW146" s="21">
        <f>EXP(-LN(2)/2)*AW145+(1-EXP(-LN(2)/2))/(LN(2)/2)*AQ146*AT146*VLOOKUP('Données projet'!$B$10,Paramètres!$A$1:$I$89,3,0)*0.475*44/12</f>
        <v>9.6483913401004499E-17</v>
      </c>
      <c r="AX146" s="21">
        <f t="shared" si="114"/>
        <v>0.67679890413468169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261.27638267284169</v>
      </c>
      <c r="BJ146" s="59">
        <f t="shared" si="146"/>
        <v>297.50513563712764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0.8901775454349925</v>
      </c>
      <c r="BQ146" s="21">
        <f>EXP(-LN(2)/25)*BQ145+(1-EXP(-LN(2)/25))/(LN(2)/25)*Calculateur!BL146*Calculateur!BN146*VLOOKUP('Données projet'!$B$11,Paramètres!$A$1:$I$89,3,0)*0.475*44/12</f>
        <v>1.2147287959484414</v>
      </c>
      <c r="BR146" s="21">
        <f>EXP(-LN(2)/2)*BR145+(1-EXP(-LN(2)/2))/(LN(2)/2)*BL146*BO146*VLOOKUP('Données projet'!$B$11,Paramètres!$A$1:$I$89,3,0)*0.475*44/12</f>
        <v>2.3945078866854196E-16</v>
      </c>
      <c r="BS146" s="22">
        <f t="shared" si="117"/>
        <v>2.1049063413834346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-1.1368683772161603E-13</v>
      </c>
      <c r="BZ146" s="13">
        <f>BY146*VLOOKUP('Données projet'!$B$12,Paramètres!$A$1:$I$89,3,0)*VLOOKUP('Données projet'!$B$12,Paramètres!$A$1:$I$89,5,0)</f>
        <v>-6.7984728957526396E-14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314.69202393413491</v>
      </c>
      <c r="CE146" s="59">
        <f t="shared" si="148"/>
        <v>321.1728368524748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0.37322548128915078</v>
      </c>
      <c r="CL146" s="21">
        <f>EXP(-LN(2)/25)*CL145+(1-EXP(-LN(2)/25))/(LN(2)/25)*Calculateur!CG146*Calculateur!CI146*VLOOKUP('Données projet'!$B$12,Paramètres!$A$1:$I$89,3,0)*0.475*44/12</f>
        <v>0.93010739941216658</v>
      </c>
      <c r="CM146" s="21">
        <f>EXP(-LN(2)/2)*CM145+(1-EXP(-LN(2)/2))/(LN(2)/2)*CG146*CJ146*VLOOKUP('Données projet'!$B$12,Paramètres!$A$1:$I$89,3,0)*0.475*44/12</f>
        <v>2.9736897730482331E-16</v>
      </c>
      <c r="CN146" s="22">
        <f t="shared" si="120"/>
        <v>1.3033328807013176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-1.2505552149377763E-12</v>
      </c>
      <c r="O147" s="13">
        <f>N147*VLOOKUP('Données projet'!$B$9,Paramètres!$A$1:$I$89,3,0)*VLOOKUP('Données projet'!$B$9,Paramètres!$A$1:$I$89,5,0)</f>
        <v>-6.9906036515021697E-13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415.91544298418842</v>
      </c>
      <c r="T147" s="59">
        <f t="shared" si="142"/>
        <v>422.79312683312583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1.1944368266212739</v>
      </c>
      <c r="AA147" s="21">
        <f>EXP(-LN(2)/25)*AA146+(1-EXP(-LN(2)/25))/(LN(2)/25)*Calculateur!V147*Calculateur!X147*VLOOKUP('Données projet'!$B$9,Paramètres!$A$1:$I$89,3,0)*0.475*44/12</f>
        <v>1.6431619836835289</v>
      </c>
      <c r="AB147" s="21">
        <f>EXP(-LN(2)/2)*AB146+(1-EXP(-LN(2)/2))/(LN(2)/2)*V147*Y147*VLOOKUP('Données projet'!$B$9,Paramètres!$A$1:$I$89,3,0)*0.475*44/12</f>
        <v>2.5307458458741283E-16</v>
      </c>
      <c r="AC147" s="22">
        <f t="shared" si="111"/>
        <v>2.8375988103048031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-5.3205440053716299E-14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215.23235148064941</v>
      </c>
      <c r="AO147" s="59">
        <f t="shared" si="144"/>
        <v>184.07239726900434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0.32785505187856961</v>
      </c>
      <c r="AV147" s="21">
        <f>EXP(-LN(2)/25)*AV146+(1-EXP(-LN(2)/25))/(LN(2)/25)*Calculateur!AQ147*Calculateur!AS147*VLOOKUP('Données projet'!$B$10,Paramètres!$A$1:$I$89,3,0)*0.475*44/12</f>
        <v>0.33302365427306696</v>
      </c>
      <c r="AW147" s="21">
        <f>EXP(-LN(2)/2)*AW146+(1-EXP(-LN(2)/2))/(LN(2)/2)*AQ147*AT147*VLOOKUP('Données projet'!$B$10,Paramètres!$A$1:$I$89,3,0)*0.475*44/12</f>
        <v>6.8224429441265887E-17</v>
      </c>
      <c r="AX147" s="21">
        <f t="shared" si="114"/>
        <v>0.66087870615163669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261.27638267284169</v>
      </c>
      <c r="BJ147" s="59">
        <f t="shared" si="146"/>
        <v>297.50513563712764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0.87272170672370264</v>
      </c>
      <c r="BQ147" s="21">
        <f>EXP(-LN(2)/25)*BQ146+(1-EXP(-LN(2)/25))/(LN(2)/25)*Calculateur!BL147*Calculateur!BN147*VLOOKUP('Données projet'!$B$11,Paramètres!$A$1:$I$89,3,0)*0.475*44/12</f>
        <v>1.1815119731434203</v>
      </c>
      <c r="BR147" s="21">
        <f>EXP(-LN(2)/2)*BR146+(1-EXP(-LN(2)/2))/(LN(2)/2)*BL147*BO147*VLOOKUP('Données projet'!$B$11,Paramètres!$A$1:$I$89,3,0)*0.475*44/12</f>
        <v>1.6931727642799293E-16</v>
      </c>
      <c r="BS147" s="22">
        <f t="shared" si="117"/>
        <v>2.054233679867123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-1.1368683772161603E-13</v>
      </c>
      <c r="BZ147" s="13">
        <f>BY147*VLOOKUP('Données projet'!$B$12,Paramètres!$A$1:$I$89,3,0)*VLOOKUP('Données projet'!$B$12,Paramètres!$A$1:$I$89,5,0)</f>
        <v>-6.7984728957526396E-14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314.69202393413491</v>
      </c>
      <c r="CE147" s="59">
        <f t="shared" si="148"/>
        <v>321.1728368524748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0.36590675724613603</v>
      </c>
      <c r="CL147" s="21">
        <f>EXP(-LN(2)/25)*CL146+(1-EXP(-LN(2)/25))/(LN(2)/25)*Calculateur!CG147*Calculateur!CI147*VLOOKUP('Données projet'!$B$12,Paramètres!$A$1:$I$89,3,0)*0.475*44/12</f>
        <v>0.90467356366301854</v>
      </c>
      <c r="CM147" s="21">
        <f>EXP(-LN(2)/2)*CM146+(1-EXP(-LN(2)/2))/(LN(2)/2)*CG147*CJ147*VLOOKUP('Données projet'!$B$12,Paramètres!$A$1:$I$89,3,0)*0.475*44/12</f>
        <v>2.1027162036674912E-16</v>
      </c>
      <c r="CN147" s="22">
        <f t="shared" si="120"/>
        <v>1.2705803209091548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-1.2505552149377763E-12</v>
      </c>
      <c r="O148" s="13">
        <f>N148*VLOOKUP('Données projet'!$B$9,Paramètres!$A$1:$I$89,3,0)*VLOOKUP('Données projet'!$B$9,Paramètres!$A$1:$I$89,5,0)</f>
        <v>-6.9906036515021697E-13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415.91544298418842</v>
      </c>
      <c r="T148" s="59">
        <f t="shared" si="142"/>
        <v>422.79312683312583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1.1710146489857582</v>
      </c>
      <c r="AA148" s="21">
        <f>EXP(-LN(2)/25)*AA147+(1-EXP(-LN(2)/25))/(LN(2)/25)*Calculateur!V148*Calculateur!X148*VLOOKUP('Données projet'!$B$9,Paramètres!$A$1:$I$89,3,0)*0.475*44/12</f>
        <v>1.5982296328295695</v>
      </c>
      <c r="AB148" s="21">
        <f>EXP(-LN(2)/2)*AB147+(1-EXP(-LN(2)/2))/(LN(2)/2)*V148*Y148*VLOOKUP('Données projet'!$B$9,Paramètres!$A$1:$I$89,3,0)*0.475*44/12</f>
        <v>1.7895075490772814E-16</v>
      </c>
      <c r="AC148" s="22">
        <f t="shared" si="111"/>
        <v>2.769244281815328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-5.3205440053716299E-14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215.23235148064941</v>
      </c>
      <c r="AO148" s="59">
        <f t="shared" si="144"/>
        <v>184.07239726900434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0.32142601428306694</v>
      </c>
      <c r="AV148" s="21">
        <f>EXP(-LN(2)/25)*AV147+(1-EXP(-LN(2)/25))/(LN(2)/25)*Calculateur!AQ148*Calculateur!AS148*VLOOKUP('Données projet'!$B$10,Paramètres!$A$1:$I$89,3,0)*0.475*44/12</f>
        <v>0.3239171049340171</v>
      </c>
      <c r="AW148" s="21">
        <f>EXP(-LN(2)/2)*AW147+(1-EXP(-LN(2)/2))/(LN(2)/2)*AQ148*AT148*VLOOKUP('Données projet'!$B$10,Paramètres!$A$1:$I$89,3,0)*0.475*44/12</f>
        <v>4.8241956700502249E-17</v>
      </c>
      <c r="AX148" s="21">
        <f t="shared" si="114"/>
        <v>0.64534311921708398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261.27638267284169</v>
      </c>
      <c r="BJ148" s="59">
        <f t="shared" si="146"/>
        <v>297.50513563712764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0.8556081663625309</v>
      </c>
      <c r="BQ148" s="21">
        <f>EXP(-LN(2)/25)*BQ147+(1-EXP(-LN(2)/25))/(LN(2)/25)*Calculateur!BL148*Calculateur!BN148*VLOOKUP('Données projet'!$B$11,Paramètres!$A$1:$I$89,3,0)*0.475*44/12</f>
        <v>1.1492034661047992</v>
      </c>
      <c r="BR148" s="21">
        <f>EXP(-LN(2)/2)*BR147+(1-EXP(-LN(2)/2))/(LN(2)/2)*BL148*BO148*VLOOKUP('Données projet'!$B$11,Paramètres!$A$1:$I$89,3,0)*0.475*44/12</f>
        <v>1.1972539433427098E-16</v>
      </c>
      <c r="BS148" s="22">
        <f t="shared" si="117"/>
        <v>2.0048116324673302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-1.1368683772161603E-13</v>
      </c>
      <c r="BZ148" s="13">
        <f>BY148*VLOOKUP('Données projet'!$B$12,Paramètres!$A$1:$I$89,3,0)*VLOOKUP('Données projet'!$B$12,Paramètres!$A$1:$I$89,5,0)</f>
        <v>-6.7984728957526396E-14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314.69202393413491</v>
      </c>
      <c r="CE148" s="59">
        <f t="shared" si="148"/>
        <v>321.1728368524748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0.35873154891762393</v>
      </c>
      <c r="CL148" s="21">
        <f>EXP(-LN(2)/25)*CL147+(1-EXP(-LN(2)/25))/(LN(2)/25)*Calculateur!CG148*Calculateur!CI148*VLOOKUP('Données projet'!$B$12,Paramètres!$A$1:$I$89,3,0)*0.475*44/12</f>
        <v>0.87993521748993819</v>
      </c>
      <c r="CM148" s="21">
        <f>EXP(-LN(2)/2)*CM147+(1-EXP(-LN(2)/2))/(LN(2)/2)*CG148*CJ148*VLOOKUP('Données projet'!$B$12,Paramètres!$A$1:$I$89,3,0)*0.475*44/12</f>
        <v>1.4868448865241166E-16</v>
      </c>
      <c r="CN148" s="22">
        <f t="shared" si="120"/>
        <v>1.2386667664075623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-1.2505552149377763E-12</v>
      </c>
      <c r="O149" s="13">
        <f>N149*VLOOKUP('Données projet'!$B$9,Paramètres!$A$1:$I$89,3,0)*VLOOKUP('Données projet'!$B$9,Paramètres!$A$1:$I$89,5,0)</f>
        <v>-6.9906036515021697E-13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415.91544298418842</v>
      </c>
      <c r="T149" s="59">
        <f t="shared" si="142"/>
        <v>422.79312683312583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1.1480517659675573</v>
      </c>
      <c r="AA149" s="21">
        <f>EXP(-LN(2)/25)*AA148+(1-EXP(-LN(2)/25))/(LN(2)/25)*Calculateur!V149*Calculateur!X149*VLOOKUP('Données projet'!$B$9,Paramètres!$A$1:$I$89,3,0)*0.475*44/12</f>
        <v>1.5545259594726013</v>
      </c>
      <c r="AB149" s="21">
        <f>EXP(-LN(2)/2)*AB148+(1-EXP(-LN(2)/2))/(LN(2)/2)*V149*Y149*VLOOKUP('Données projet'!$B$9,Paramètres!$A$1:$I$89,3,0)*0.475*44/12</f>
        <v>1.2653729229370642E-16</v>
      </c>
      <c r="AC149" s="22">
        <f t="shared" si="111"/>
        <v>2.7025777254401584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-5.3205440053716299E-14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215.23235148064941</v>
      </c>
      <c r="AO149" s="59">
        <f t="shared" si="144"/>
        <v>184.07239726900434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0.31512304619348636</v>
      </c>
      <c r="AV149" s="21">
        <f>EXP(-LN(2)/25)*AV148+(1-EXP(-LN(2)/25))/(LN(2)/25)*Calculateur!AQ149*Calculateur!AS149*VLOOKUP('Données projet'!$B$10,Paramètres!$A$1:$I$89,3,0)*0.475*44/12</f>
        <v>0.31505957466553619</v>
      </c>
      <c r="AW149" s="21">
        <f>EXP(-LN(2)/2)*AW148+(1-EXP(-LN(2)/2))/(LN(2)/2)*AQ149*AT149*VLOOKUP('Données projet'!$B$10,Paramètres!$A$1:$I$89,3,0)*0.475*44/12</f>
        <v>3.4112214720632944E-17</v>
      </c>
      <c r="AX149" s="21">
        <f t="shared" si="114"/>
        <v>0.63018262085902255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261.27638267284169</v>
      </c>
      <c r="BJ149" s="59">
        <f t="shared" si="146"/>
        <v>297.50513563712764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0.83883021208961284</v>
      </c>
      <c r="BQ149" s="21">
        <f>EXP(-LN(2)/25)*BQ148+(1-EXP(-LN(2)/25))/(LN(2)/25)*Calculateur!BL149*Calculateur!BN149*VLOOKUP('Données projet'!$B$11,Paramètres!$A$1:$I$89,3,0)*0.475*44/12</f>
        <v>1.1177784368901797</v>
      </c>
      <c r="BR149" s="21">
        <f>EXP(-LN(2)/2)*BR148+(1-EXP(-LN(2)/2))/(LN(2)/2)*BL149*BO149*VLOOKUP('Données projet'!$B$11,Paramètres!$A$1:$I$89,3,0)*0.475*44/12</f>
        <v>8.4658638213996467E-17</v>
      </c>
      <c r="BS149" s="22">
        <f t="shared" si="117"/>
        <v>1.9566086489797927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-1.1368683772161603E-13</v>
      </c>
      <c r="BZ149" s="13">
        <f>BY149*VLOOKUP('Données projet'!$B$12,Paramètres!$A$1:$I$89,3,0)*VLOOKUP('Données projet'!$B$12,Paramètres!$A$1:$I$89,5,0)</f>
        <v>-6.7984728957526396E-14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314.69202393413491</v>
      </c>
      <c r="CE149" s="59">
        <f t="shared" si="148"/>
        <v>321.1728368524748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0.35169704204798902</v>
      </c>
      <c r="CL149" s="21">
        <f>EXP(-LN(2)/25)*CL148+(1-EXP(-LN(2)/25))/(LN(2)/25)*Calculateur!CG149*Calculateur!CI149*VLOOKUP('Données projet'!$B$12,Paramètres!$A$1:$I$89,3,0)*0.475*44/12</f>
        <v>0.85587334269389381</v>
      </c>
      <c r="CM149" s="21">
        <f>EXP(-LN(2)/2)*CM148+(1-EXP(-LN(2)/2))/(LN(2)/2)*CG149*CJ149*VLOOKUP('Données projet'!$B$12,Paramètres!$A$1:$I$89,3,0)*0.475*44/12</f>
        <v>1.0513581018337456E-16</v>
      </c>
      <c r="CN149" s="22">
        <f t="shared" si="120"/>
        <v>1.2075703847418828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-1.2505552149377763E-12</v>
      </c>
      <c r="O150" s="13">
        <f>N150*VLOOKUP('Données projet'!$B$9,Paramètres!$A$1:$I$89,3,0)*VLOOKUP('Données projet'!$B$9,Paramètres!$A$1:$I$89,5,0)</f>
        <v>-6.9906036515021697E-13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415.91544298418842</v>
      </c>
      <c r="T150" s="59">
        <f t="shared" si="142"/>
        <v>422.79312683312583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1.1255391710793676</v>
      </c>
      <c r="AA150" s="21">
        <f>EXP(-LN(2)/25)*AA149+(1-EXP(-LN(2)/25))/(LN(2)/25)*Calculateur!V150*Calculateur!X150*VLOOKUP('Données projet'!$B$9,Paramètres!$A$1:$I$89,3,0)*0.475*44/12</f>
        <v>1.5120173653618558</v>
      </c>
      <c r="AB150" s="21">
        <f>EXP(-LN(2)/2)*AB149+(1-EXP(-LN(2)/2))/(LN(2)/2)*V150*Y150*VLOOKUP('Données projet'!$B$9,Paramètres!$A$1:$I$89,3,0)*0.475*44/12</f>
        <v>8.947537745386407E-17</v>
      </c>
      <c r="AC150" s="22">
        <f t="shared" si="111"/>
        <v>2.6375565364412235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-5.3205440053716299E-14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215.23235148064941</v>
      </c>
      <c r="AO150" s="59">
        <f t="shared" si="144"/>
        <v>184.07239726900434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0.30894367546371149</v>
      </c>
      <c r="AV150" s="21">
        <f>EXP(-LN(2)/25)*AV149+(1-EXP(-LN(2)/25))/(LN(2)/25)*Calculateur!AQ150*Calculateur!AS150*VLOOKUP('Données projet'!$B$10,Paramètres!$A$1:$I$89,3,0)*0.475*44/12</f>
        <v>0.30644425402804415</v>
      </c>
      <c r="AW150" s="21">
        <f>EXP(-LN(2)/2)*AW149+(1-EXP(-LN(2)/2))/(LN(2)/2)*AQ150*AT150*VLOOKUP('Données projet'!$B$10,Paramètres!$A$1:$I$89,3,0)*0.475*44/12</f>
        <v>2.4120978350251125E-17</v>
      </c>
      <c r="AX150" s="21">
        <f t="shared" si="114"/>
        <v>0.61538792949175569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261.27638267284169</v>
      </c>
      <c r="BJ150" s="59">
        <f t="shared" si="146"/>
        <v>297.50513563712764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0.82238126326644501</v>
      </c>
      <c r="BQ150" s="21">
        <f>EXP(-LN(2)/25)*BQ149+(1-EXP(-LN(2)/25))/(LN(2)/25)*Calculateur!BL150*Calculateur!BN150*VLOOKUP('Données projet'!$B$11,Paramètres!$A$1:$I$89,3,0)*0.475*44/12</f>
        <v>1.0872127267520044</v>
      </c>
      <c r="BR150" s="21">
        <f>EXP(-LN(2)/2)*BR149+(1-EXP(-LN(2)/2))/(LN(2)/2)*BL150*BO150*VLOOKUP('Données projet'!$B$11,Paramètres!$A$1:$I$89,3,0)*0.475*44/12</f>
        <v>5.986269716713549E-17</v>
      </c>
      <c r="BS150" s="22">
        <f t="shared" si="117"/>
        <v>1.9095939900184495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-1.1368683772161603E-13</v>
      </c>
      <c r="BZ150" s="13">
        <f>BY150*VLOOKUP('Données projet'!$B$12,Paramètres!$A$1:$I$89,3,0)*VLOOKUP('Données projet'!$B$12,Paramètres!$A$1:$I$89,5,0)</f>
        <v>-6.7984728957526396E-14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314.69202393413491</v>
      </c>
      <c r="CE150" s="59">
        <f t="shared" si="148"/>
        <v>321.1728368524748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0.34480047756744209</v>
      </c>
      <c r="CL150" s="21">
        <f>EXP(-LN(2)/25)*CL149+(1-EXP(-LN(2)/25))/(LN(2)/25)*Calculateur!CG150*Calculateur!CI150*VLOOKUP('Données projet'!$B$12,Paramètres!$A$1:$I$89,3,0)*0.475*44/12</f>
        <v>0.83246944112950627</v>
      </c>
      <c r="CM150" s="21">
        <f>EXP(-LN(2)/2)*CM149+(1-EXP(-LN(2)/2))/(LN(2)/2)*CG150*CJ150*VLOOKUP('Données projet'!$B$12,Paramètres!$A$1:$I$89,3,0)*0.475*44/12</f>
        <v>7.4342244326205828E-17</v>
      </c>
      <c r="CN150" s="22">
        <f t="shared" si="120"/>
        <v>1.1772699186969484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-1.2505552149377763E-12</v>
      </c>
      <c r="O151" s="13">
        <f>N151*VLOOKUP('Données projet'!$B$9,Paramètres!$A$1:$I$89,3,0)*VLOOKUP('Données projet'!$B$9,Paramètres!$A$1:$I$89,5,0)</f>
        <v>-6.9906036515021697E-13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415.91544298418842</v>
      </c>
      <c r="T151" s="59">
        <f t="shared" si="142"/>
        <v>422.79312683312583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1.1034680344456083</v>
      </c>
      <c r="AA151" s="21">
        <f>EXP(-LN(2)/25)*AA150+(1-EXP(-LN(2)/25))/(LN(2)/25)*Calculateur!V151*Calculateur!X151*VLOOKUP('Données projet'!$B$9,Paramètres!$A$1:$I$89,3,0)*0.475*44/12</f>
        <v>1.4706711709924984</v>
      </c>
      <c r="AB151" s="21">
        <f>EXP(-LN(2)/2)*AB150+(1-EXP(-LN(2)/2))/(LN(2)/2)*V151*Y151*VLOOKUP('Données projet'!$B$9,Paramètres!$A$1:$I$89,3,0)*0.475*44/12</f>
        <v>6.3268646146853208E-17</v>
      </c>
      <c r="AC151" s="22">
        <f t="shared" si="111"/>
        <v>2.5741392054381067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-5.3205440053716299E-14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215.23235148064941</v>
      </c>
      <c r="AO151" s="59">
        <f t="shared" si="144"/>
        <v>184.07239726900434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0.30288547842490354</v>
      </c>
      <c r="AV151" s="21">
        <f>EXP(-LN(2)/25)*AV150+(1-EXP(-LN(2)/25))/(LN(2)/25)*Calculateur!AQ151*Calculateur!AS151*VLOOKUP('Données projet'!$B$10,Paramètres!$A$1:$I$89,3,0)*0.475*44/12</f>
        <v>0.29806451978644433</v>
      </c>
      <c r="AW151" s="21">
        <f>EXP(-LN(2)/2)*AW150+(1-EXP(-LN(2)/2))/(LN(2)/2)*AQ151*AT151*VLOOKUP('Données projet'!$B$10,Paramètres!$A$1:$I$89,3,0)*0.475*44/12</f>
        <v>1.7056107360316472E-17</v>
      </c>
      <c r="AX151" s="21">
        <f t="shared" si="114"/>
        <v>0.60094999821134787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261.27638267284169</v>
      </c>
      <c r="BJ151" s="59">
        <f t="shared" si="146"/>
        <v>297.50513563712764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0.80625486829683146</v>
      </c>
      <c r="BQ151" s="21">
        <f>EXP(-LN(2)/25)*BQ150+(1-EXP(-LN(2)/25))/(LN(2)/25)*Calculateur!BL151*Calculateur!BN151*VLOOKUP('Données projet'!$B$11,Paramètres!$A$1:$I$89,3,0)*0.475*44/12</f>
        <v>1.0574828375649383</v>
      </c>
      <c r="BR151" s="21">
        <f>EXP(-LN(2)/2)*BR150+(1-EXP(-LN(2)/2))/(LN(2)/2)*BL151*BO151*VLOOKUP('Données projet'!$B$11,Paramètres!$A$1:$I$89,3,0)*0.475*44/12</f>
        <v>4.2329319106998234E-17</v>
      </c>
      <c r="BS151" s="22">
        <f t="shared" si="117"/>
        <v>1.8637377058617699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-1.1368683772161603E-13</v>
      </c>
      <c r="BZ151" s="13">
        <f>BY151*VLOOKUP('Données projet'!$B$12,Paramètres!$A$1:$I$89,3,0)*VLOOKUP('Données projet'!$B$12,Paramètres!$A$1:$I$89,5,0)</f>
        <v>-6.7984728957526396E-14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314.69202393413491</v>
      </c>
      <c r="CE151" s="59">
        <f t="shared" si="148"/>
        <v>321.1728368524748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0.33803915050986971</v>
      </c>
      <c r="CL151" s="21">
        <f>EXP(-LN(2)/25)*CL150+(1-EXP(-LN(2)/25))/(LN(2)/25)*Calculateur!CG151*Calculateur!CI151*VLOOKUP('Données projet'!$B$12,Paramètres!$A$1:$I$89,3,0)*0.475*44/12</f>
        <v>0.80970552048415467</v>
      </c>
      <c r="CM151" s="21">
        <f>EXP(-LN(2)/2)*CM150+(1-EXP(-LN(2)/2))/(LN(2)/2)*CG151*CJ151*VLOOKUP('Données projet'!$B$12,Paramètres!$A$1:$I$89,3,0)*0.475*44/12</f>
        <v>5.256790509168728E-17</v>
      </c>
      <c r="CN151" s="22">
        <f t="shared" si="120"/>
        <v>1.1477446709940244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-1.2505552149377763E-12</v>
      </c>
      <c r="O152" s="13">
        <f>N152*VLOOKUP('Données projet'!$B$9,Paramètres!$A$1:$I$89,3,0)*VLOOKUP('Données projet'!$B$9,Paramètres!$A$1:$I$89,5,0)</f>
        <v>-6.9906036515021697E-13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415.91544298418842</v>
      </c>
      <c r="T152" s="59">
        <f t="shared" si="142"/>
        <v>422.79312683312583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1.0818296993391727</v>
      </c>
      <c r="AA152" s="21">
        <f>EXP(-LN(2)/25)*AA151+(1-EXP(-LN(2)/25))/(LN(2)/25)*Calculateur!V152*Calculateur!X152*VLOOKUP('Données projet'!$B$9,Paramètres!$A$1:$I$89,3,0)*0.475*44/12</f>
        <v>1.4304555904824729</v>
      </c>
      <c r="AB152" s="21">
        <f>EXP(-LN(2)/2)*AB151+(1-EXP(-LN(2)/2))/(LN(2)/2)*V152*Y152*VLOOKUP('Données projet'!$B$9,Paramètres!$A$1:$I$89,3,0)*0.475*44/12</f>
        <v>4.4737688726932035E-17</v>
      </c>
      <c r="AC152" s="22">
        <f t="shared" si="111"/>
        <v>2.5122852898216457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-5.3205440053716299E-14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215.23235148064941</v>
      </c>
      <c r="AO152" s="59">
        <f t="shared" si="144"/>
        <v>184.07239726900434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0.29694607893489128</v>
      </c>
      <c r="AV152" s="21">
        <f>EXP(-LN(2)/25)*AV151+(1-EXP(-LN(2)/25))/(LN(2)/25)*Calculateur!AQ152*Calculateur!AS152*VLOOKUP('Données projet'!$B$10,Paramètres!$A$1:$I$89,3,0)*0.475*44/12</f>
        <v>0.28991392981835212</v>
      </c>
      <c r="AW152" s="21">
        <f>EXP(-LN(2)/2)*AW151+(1-EXP(-LN(2)/2))/(LN(2)/2)*AQ152*AT152*VLOOKUP('Données projet'!$B$10,Paramètres!$A$1:$I$89,3,0)*0.475*44/12</f>
        <v>1.2060489175125562E-17</v>
      </c>
      <c r="AX152" s="21">
        <f t="shared" si="114"/>
        <v>0.5868600087532434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261.27638267284169</v>
      </c>
      <c r="BJ152" s="59">
        <f t="shared" si="146"/>
        <v>297.50513563712764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0.79044470209644235</v>
      </c>
      <c r="BQ152" s="21">
        <f>EXP(-LN(2)/25)*BQ151+(1-EXP(-LN(2)/25))/(LN(2)/25)*Calculateur!BL152*Calculateur!BN152*VLOOKUP('Données projet'!$B$11,Paramètres!$A$1:$I$89,3,0)*0.475*44/12</f>
        <v>1.0285659137611196</v>
      </c>
      <c r="BR152" s="21">
        <f>EXP(-LN(2)/2)*BR151+(1-EXP(-LN(2)/2))/(LN(2)/2)*BL152*BO152*VLOOKUP('Données projet'!$B$11,Paramètres!$A$1:$I$89,3,0)*0.475*44/12</f>
        <v>2.9931348583567745E-17</v>
      </c>
      <c r="BS152" s="22">
        <f t="shared" si="117"/>
        <v>1.8190106158575619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-1.1368683772161603E-13</v>
      </c>
      <c r="BZ152" s="13">
        <f>BY152*VLOOKUP('Données projet'!$B$12,Paramètres!$A$1:$I$89,3,0)*VLOOKUP('Données projet'!$B$12,Paramètres!$A$1:$I$89,5,0)</f>
        <v>-6.7984728957526396E-14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314.69202393413491</v>
      </c>
      <c r="CE152" s="59">
        <f t="shared" si="148"/>
        <v>321.1728368524748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0.33141040895189405</v>
      </c>
      <c r="CL152" s="21">
        <f>EXP(-LN(2)/25)*CL151+(1-EXP(-LN(2)/25))/(LN(2)/25)*Calculateur!CG152*Calculateur!CI152*VLOOKUP('Données projet'!$B$12,Paramètres!$A$1:$I$89,3,0)*0.475*44/12</f>
        <v>0.78756408044595272</v>
      </c>
      <c r="CM152" s="21">
        <f>EXP(-LN(2)/2)*CM151+(1-EXP(-LN(2)/2))/(LN(2)/2)*CG152*CJ152*VLOOKUP('Données projet'!$B$12,Paramètres!$A$1:$I$89,3,0)*0.475*44/12</f>
        <v>3.7171122163102914E-17</v>
      </c>
      <c r="CN152" s="22">
        <f t="shared" si="120"/>
        <v>1.1189744893978468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-1.2505552149377763E-12</v>
      </c>
      <c r="O153" s="13">
        <f>N153*VLOOKUP('Données projet'!$B$9,Paramètres!$A$1:$I$89,3,0)*VLOOKUP('Données projet'!$B$9,Paramètres!$A$1:$I$89,5,0)</f>
        <v>-6.9906036515021697E-13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415.91544298418842</v>
      </c>
      <c r="T153" s="59">
        <f t="shared" si="142"/>
        <v>422.79312683312583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1.0606156787860932</v>
      </c>
      <c r="AA153" s="21">
        <f>EXP(-LN(2)/25)*AA152+(1-EXP(-LN(2)/25))/(LN(2)/25)*Calculateur!V153*Calculateur!X153*VLOOKUP('Données projet'!$B$9,Paramètres!$A$1:$I$89,3,0)*0.475*44/12</f>
        <v>1.3913397071363396</v>
      </c>
      <c r="AB153" s="21">
        <f>EXP(-LN(2)/2)*AB152+(1-EXP(-LN(2)/2))/(LN(2)/2)*V153*Y153*VLOOKUP('Données projet'!$B$9,Paramètres!$A$1:$I$89,3,0)*0.475*44/12</f>
        <v>3.1634323073426604E-17</v>
      </c>
      <c r="AC153" s="22">
        <f t="shared" si="111"/>
        <v>2.4519553859224326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-5.3205440053716299E-14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215.23235148064941</v>
      </c>
      <c r="AO153" s="59">
        <f t="shared" si="144"/>
        <v>184.07239726900434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0.29112314744620216</v>
      </c>
      <c r="AV153" s="21">
        <f>EXP(-LN(2)/25)*AV152+(1-EXP(-LN(2)/25))/(LN(2)/25)*Calculateur!AQ153*Calculateur!AS153*VLOOKUP('Données projet'!$B$10,Paramètres!$A$1:$I$89,3,0)*0.475*44/12</f>
        <v>0.28198621816155833</v>
      </c>
      <c r="AW153" s="21">
        <f>EXP(-LN(2)/2)*AW152+(1-EXP(-LN(2)/2))/(LN(2)/2)*AQ153*AT153*VLOOKUP('Données projet'!$B$10,Paramètres!$A$1:$I$89,3,0)*0.475*44/12</f>
        <v>8.5280536801582359E-18</v>
      </c>
      <c r="AX153" s="21">
        <f t="shared" si="114"/>
        <v>0.57310936560776049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261.27638267284169</v>
      </c>
      <c r="BJ153" s="59">
        <f t="shared" si="146"/>
        <v>297.50513563712764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0.7749445636119936</v>
      </c>
      <c r="BQ153" s="21">
        <f>EXP(-LN(2)/25)*BQ152+(1-EXP(-LN(2)/25))/(LN(2)/25)*Calculateur!BL153*Calculateur!BN153*VLOOKUP('Données projet'!$B$11,Paramètres!$A$1:$I$89,3,0)*0.475*44/12</f>
        <v>1.0004397247593912</v>
      </c>
      <c r="BR153" s="21">
        <f>EXP(-LN(2)/2)*BR152+(1-EXP(-LN(2)/2))/(LN(2)/2)*BL153*BO153*VLOOKUP('Données projet'!$B$11,Paramètres!$A$1:$I$89,3,0)*0.475*44/12</f>
        <v>2.1164659553499117E-17</v>
      </c>
      <c r="BS153" s="22">
        <f t="shared" si="117"/>
        <v>1.7753842883713848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-1.1368683772161603E-13</v>
      </c>
      <c r="BZ153" s="13">
        <f>BY153*VLOOKUP('Données projet'!$B$12,Paramètres!$A$1:$I$89,3,0)*VLOOKUP('Données projet'!$B$12,Paramètres!$A$1:$I$89,5,0)</f>
        <v>-6.7984728957526396E-14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314.69202393413491</v>
      </c>
      <c r="CE153" s="59">
        <f t="shared" si="148"/>
        <v>321.1728368524748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0.32491165297273716</v>
      </c>
      <c r="CL153" s="21">
        <f>EXP(-LN(2)/25)*CL152+(1-EXP(-LN(2)/25))/(LN(2)/25)*Calculateur!CG153*Calculateur!CI153*VLOOKUP('Données projet'!$B$12,Paramètres!$A$1:$I$89,3,0)*0.475*44/12</f>
        <v>0.76602809924996318</v>
      </c>
      <c r="CM153" s="21">
        <f>EXP(-LN(2)/2)*CM152+(1-EXP(-LN(2)/2))/(LN(2)/2)*CG153*CJ153*VLOOKUP('Données projet'!$B$12,Paramètres!$A$1:$I$89,3,0)*0.475*44/12</f>
        <v>2.628395254584364E-17</v>
      </c>
      <c r="CN153" s="22">
        <f t="shared" si="120"/>
        <v>1.0909397522227002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-1.2505552149377763E-12</v>
      </c>
      <c r="O154" s="13">
        <f>N154*VLOOKUP('Données projet'!$B$9,Paramètres!$A$1:$I$89,3,0)*VLOOKUP('Données projet'!$B$9,Paramètres!$A$1:$I$89,5,0)</f>
        <v>-6.9906036515021697E-13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415.91544298418842</v>
      </c>
      <c r="T154" s="59">
        <f t="shared" si="142"/>
        <v>422.79312683312583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1.0398176522367848</v>
      </c>
      <c r="AA154" s="21">
        <f>EXP(-LN(2)/25)*AA153+(1-EXP(-LN(2)/25))/(LN(2)/25)*Calculateur!V154*Calculateur!X154*VLOOKUP('Données projet'!$B$9,Paramètres!$A$1:$I$89,3,0)*0.475*44/12</f>
        <v>1.3532934496773212</v>
      </c>
      <c r="AB154" s="21">
        <f>EXP(-LN(2)/2)*AB153+(1-EXP(-LN(2)/2))/(LN(2)/2)*V154*Y154*VLOOKUP('Données projet'!$B$9,Paramètres!$A$1:$I$89,3,0)*0.475*44/12</f>
        <v>2.2368844363466017E-17</v>
      </c>
      <c r="AC154" s="22">
        <f t="shared" ref="AC154:AC203" si="163">SUM(Z154:AB154)</f>
        <v>2.3931111019141058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-5.3205440053716299E-14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215.23235148064941</v>
      </c>
      <c r="AO154" s="59">
        <f t="shared" si="144"/>
        <v>184.07239726900434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0.28541440009236874</v>
      </c>
      <c r="AV154" s="21">
        <f>EXP(-LN(2)/25)*AV153+(1-EXP(-LN(2)/25))/(LN(2)/25)*Calculateur!AQ154*Calculateur!AS154*VLOOKUP('Données projet'!$B$10,Paramètres!$A$1:$I$89,3,0)*0.475*44/12</f>
        <v>0.27427529019691982</v>
      </c>
      <c r="AW154" s="21">
        <f>EXP(-LN(2)/2)*AW153+(1-EXP(-LN(2)/2))/(LN(2)/2)*AQ154*AT154*VLOOKUP('Données projet'!$B$10,Paramètres!$A$1:$I$89,3,0)*0.475*44/12</f>
        <v>6.0302445875627812E-18</v>
      </c>
      <c r="AX154" s="21">
        <f t="shared" ref="AX154:AX203" si="166">SUM(AU154:AW154)</f>
        <v>0.5596896902892885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261.27638267284169</v>
      </c>
      <c r="BJ154" s="59">
        <f t="shared" si="146"/>
        <v>297.50513563712764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0.75974837338907397</v>
      </c>
      <c r="BQ154" s="21">
        <f>EXP(-LN(2)/25)*BQ153+(1-EXP(-LN(2)/25))/(LN(2)/25)*Calculateur!BL154*Calculateur!BN154*VLOOKUP('Données projet'!$B$11,Paramètres!$A$1:$I$89,3,0)*0.475*44/12</f>
        <v>0.97308264787500709</v>
      </c>
      <c r="BR154" s="21">
        <f>EXP(-LN(2)/2)*BR153+(1-EXP(-LN(2)/2))/(LN(2)/2)*BL154*BO154*VLOOKUP('Données projet'!$B$11,Paramètres!$A$1:$I$89,3,0)*0.475*44/12</f>
        <v>1.4965674291783872E-17</v>
      </c>
      <c r="BS154" s="22">
        <f t="shared" ref="BS154:BS203" si="169">SUM(BP154:BR154)</f>
        <v>1.7328310212640812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-1.1368683772161603E-13</v>
      </c>
      <c r="BZ154" s="13">
        <f>BY154*VLOOKUP('Données projet'!$B$12,Paramètres!$A$1:$I$89,3,0)*VLOOKUP('Données projet'!$B$12,Paramètres!$A$1:$I$89,5,0)</f>
        <v>-6.7984728957526396E-14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314.69202393413491</v>
      </c>
      <c r="CE154" s="59">
        <f t="shared" si="148"/>
        <v>321.1728368524748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0.31854033363448181</v>
      </c>
      <c r="CL154" s="21">
        <f>EXP(-LN(2)/25)*CL153+(1-EXP(-LN(2)/25))/(LN(2)/25)*Calculateur!CG154*Calculateur!CI154*VLOOKUP('Données projet'!$B$12,Paramètres!$A$1:$I$89,3,0)*0.475*44/12</f>
        <v>0.74508102059230596</v>
      </c>
      <c r="CM154" s="21">
        <f>EXP(-LN(2)/2)*CM153+(1-EXP(-LN(2)/2))/(LN(2)/2)*CG154*CJ154*VLOOKUP('Données projet'!$B$12,Paramètres!$A$1:$I$89,3,0)*0.475*44/12</f>
        <v>1.8585561081551457E-17</v>
      </c>
      <c r="CN154" s="22">
        <f t="shared" ref="CN154:CN203" si="172">SUM(CK154:CM154)</f>
        <v>1.0636213542267878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-1.2505552149377763E-12</v>
      </c>
      <c r="O155" s="13">
        <f>N155*VLOOKUP('Données projet'!$B$9,Paramètres!$A$1:$I$89,3,0)*VLOOKUP('Données projet'!$B$9,Paramètres!$A$1:$I$89,5,0)</f>
        <v>-6.9906036515021697E-13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415.91544298418842</v>
      </c>
      <c r="T155" s="59">
        <f t="shared" si="142"/>
        <v>422.79312683312583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1.0194274623025648</v>
      </c>
      <c r="AA155" s="21">
        <f>EXP(-LN(2)/25)*AA154+(1-EXP(-LN(2)/25))/(LN(2)/25)*Calculateur!V155*Calculateur!X155*VLOOKUP('Données projet'!$B$9,Paramètres!$A$1:$I$89,3,0)*0.475*44/12</f>
        <v>1.3162875691292855</v>
      </c>
      <c r="AB155" s="21">
        <f>EXP(-LN(2)/2)*AB154+(1-EXP(-LN(2)/2))/(LN(2)/2)*V155*Y155*VLOOKUP('Données projet'!$B$9,Paramètres!$A$1:$I$89,3,0)*0.475*44/12</f>
        <v>1.5817161536713302E-17</v>
      </c>
      <c r="AC155" s="22">
        <f t="shared" si="163"/>
        <v>2.3357150314318504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-5.3205440053716299E-14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215.23235148064941</v>
      </c>
      <c r="AO155" s="59">
        <f t="shared" si="144"/>
        <v>184.07239726900434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0.27981759779215193</v>
      </c>
      <c r="AV155" s="21">
        <f>EXP(-LN(2)/25)*AV154+(1-EXP(-LN(2)/25))/(LN(2)/25)*Calculateur!AQ155*Calculateur!AS155*VLOOKUP('Données projet'!$B$10,Paramètres!$A$1:$I$89,3,0)*0.475*44/12</f>
        <v>0.26677521796297438</v>
      </c>
      <c r="AW155" s="21">
        <f>EXP(-LN(2)/2)*AW154+(1-EXP(-LN(2)/2))/(LN(2)/2)*AQ155*AT155*VLOOKUP('Données projet'!$B$10,Paramètres!$A$1:$I$89,3,0)*0.475*44/12</f>
        <v>4.264026840079118E-18</v>
      </c>
      <c r="AX155" s="21">
        <f t="shared" si="166"/>
        <v>0.5465928157551263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261.27638267284169</v>
      </c>
      <c r="BJ155" s="59">
        <f t="shared" si="146"/>
        <v>297.50513563712764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0.74485017118766494</v>
      </c>
      <c r="BQ155" s="21">
        <f>EXP(-LN(2)/25)*BQ154+(1-EXP(-LN(2)/25))/(LN(2)/25)*Calculateur!BL155*Calculateur!BN155*VLOOKUP('Données projet'!$B$11,Paramètres!$A$1:$I$89,3,0)*0.475*44/12</f>
        <v>0.94647365169667252</v>
      </c>
      <c r="BR155" s="21">
        <f>EXP(-LN(2)/2)*BR154+(1-EXP(-LN(2)/2))/(LN(2)/2)*BL155*BO155*VLOOKUP('Données projet'!$B$11,Paramètres!$A$1:$I$89,3,0)*0.475*44/12</f>
        <v>1.0582329776749558E-17</v>
      </c>
      <c r="BS155" s="22">
        <f t="shared" si="169"/>
        <v>1.6913238228843375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-1.1368683772161603E-13</v>
      </c>
      <c r="BZ155" s="13">
        <f>BY155*VLOOKUP('Données projet'!$B$12,Paramètres!$A$1:$I$89,3,0)*VLOOKUP('Données projet'!$B$12,Paramètres!$A$1:$I$89,5,0)</f>
        <v>-6.7984728957526396E-14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314.69202393413491</v>
      </c>
      <c r="CE155" s="59">
        <f t="shared" si="148"/>
        <v>321.1728368524748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0.31229395198232857</v>
      </c>
      <c r="CL155" s="21">
        <f>EXP(-LN(2)/25)*CL154+(1-EXP(-LN(2)/25))/(LN(2)/25)*Calculateur!CG155*Calculateur!CI155*VLOOKUP('Données projet'!$B$12,Paramètres!$A$1:$I$89,3,0)*0.475*44/12</f>
        <v>0.72470674090210141</v>
      </c>
      <c r="CM155" s="21">
        <f>EXP(-LN(2)/2)*CM154+(1-EXP(-LN(2)/2))/(LN(2)/2)*CG155*CJ155*VLOOKUP('Données projet'!$B$12,Paramètres!$A$1:$I$89,3,0)*0.475*44/12</f>
        <v>1.314197627292182E-17</v>
      </c>
      <c r="CN155" s="22">
        <f t="shared" si="172"/>
        <v>1.03700069288443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-1.2505552149377763E-12</v>
      </c>
      <c r="O156" s="13">
        <f>N156*VLOOKUP('Données projet'!$B$9,Paramètres!$A$1:$I$89,3,0)*VLOOKUP('Données projet'!$B$9,Paramètres!$A$1:$I$89,5,0)</f>
        <v>-6.9906036515021697E-13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415.91544298418842</v>
      </c>
      <c r="T156" s="59">
        <f t="shared" si="142"/>
        <v>422.79312683312583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0.99943711155616688</v>
      </c>
      <c r="AA156" s="21">
        <f>EXP(-LN(2)/25)*AA155+(1-EXP(-LN(2)/25))/(LN(2)/25)*Calculateur!V156*Calculateur!X156*VLOOKUP('Données projet'!$B$9,Paramètres!$A$1:$I$89,3,0)*0.475*44/12</f>
        <v>1.2802936163308902</v>
      </c>
      <c r="AB156" s="21">
        <f>EXP(-LN(2)/2)*AB155+(1-EXP(-LN(2)/2))/(LN(2)/2)*V156*Y156*VLOOKUP('Données projet'!$B$9,Paramètres!$A$1:$I$89,3,0)*0.475*44/12</f>
        <v>1.1184422181733009E-17</v>
      </c>
      <c r="AC156" s="22">
        <f t="shared" si="163"/>
        <v>2.2797307278870571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-5.3205440053716299E-14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215.23235148064941</v>
      </c>
      <c r="AO156" s="59">
        <f t="shared" si="144"/>
        <v>184.07239726900434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0.27433054537133006</v>
      </c>
      <c r="AV156" s="21">
        <f>EXP(-LN(2)/25)*AV155+(1-EXP(-LN(2)/25))/(LN(2)/25)*Calculateur!AQ156*Calculateur!AS156*VLOOKUP('Données projet'!$B$10,Paramètres!$A$1:$I$89,3,0)*0.475*44/12</f>
        <v>0.25948023559867783</v>
      </c>
      <c r="AW156" s="21">
        <f>EXP(-LN(2)/2)*AW155+(1-EXP(-LN(2)/2))/(LN(2)/2)*AQ156*AT156*VLOOKUP('Données projet'!$B$10,Paramètres!$A$1:$I$89,3,0)*0.475*44/12</f>
        <v>3.0151222937813906E-18</v>
      </c>
      <c r="AX156" s="21">
        <f t="shared" si="166"/>
        <v>0.53381078097000789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261.27638267284169</v>
      </c>
      <c r="BJ156" s="59">
        <f t="shared" si="146"/>
        <v>297.50513563712764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0.73024411364441955</v>
      </c>
      <c r="BQ156" s="21">
        <f>EXP(-LN(2)/25)*BQ155+(1-EXP(-LN(2)/25))/(LN(2)/25)*Calculateur!BL156*Calculateur!BN156*VLOOKUP('Données projet'!$B$11,Paramètres!$A$1:$I$89,3,0)*0.475*44/12</f>
        <v>0.92059227991814085</v>
      </c>
      <c r="BR156" s="21">
        <f>EXP(-LN(2)/2)*BR155+(1-EXP(-LN(2)/2))/(LN(2)/2)*BL156*BO156*VLOOKUP('Données projet'!$B$11,Paramètres!$A$1:$I$89,3,0)*0.475*44/12</f>
        <v>7.4828371458919362E-18</v>
      </c>
      <c r="BS156" s="22">
        <f t="shared" si="169"/>
        <v>1.6508363935625603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-1.1368683772161603E-13</v>
      </c>
      <c r="BZ156" s="13">
        <f>BY156*VLOOKUP('Données projet'!$B$12,Paramètres!$A$1:$I$89,3,0)*VLOOKUP('Données projet'!$B$12,Paramètres!$A$1:$I$89,5,0)</f>
        <v>-6.7984728957526396E-14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314.69202393413491</v>
      </c>
      <c r="CE156" s="59">
        <f t="shared" si="148"/>
        <v>321.1728368524748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0.30617005806445741</v>
      </c>
      <c r="CL156" s="21">
        <f>EXP(-LN(2)/25)*CL155+(1-EXP(-LN(2)/25))/(LN(2)/25)*Calculateur!CG156*Calculateur!CI156*VLOOKUP('Données projet'!$B$12,Paramètres!$A$1:$I$89,3,0)*0.475*44/12</f>
        <v>0.70488959696146225</v>
      </c>
      <c r="CM156" s="21">
        <f>EXP(-LN(2)/2)*CM155+(1-EXP(-LN(2)/2))/(LN(2)/2)*CG156*CJ156*VLOOKUP('Données projet'!$B$12,Paramètres!$A$1:$I$89,3,0)*0.475*44/12</f>
        <v>9.2927805407757285E-18</v>
      </c>
      <c r="CN156" s="22">
        <f t="shared" si="172"/>
        <v>1.0110596550259197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-1.2505552149377763E-12</v>
      </c>
      <c r="O157" s="13">
        <f>N157*VLOOKUP('Données projet'!$B$9,Paramètres!$A$1:$I$89,3,0)*VLOOKUP('Données projet'!$B$9,Paramètres!$A$1:$I$89,5,0)</f>
        <v>-6.9906036515021697E-13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415.91544298418842</v>
      </c>
      <c r="T157" s="59">
        <f t="shared" si="142"/>
        <v>422.79312683312583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0.97983875939499587</v>
      </c>
      <c r="AA157" s="21">
        <f>EXP(-LN(2)/25)*AA156+(1-EXP(-LN(2)/25))/(LN(2)/25)*Calculateur!V157*Calculateur!X157*VLOOKUP('Données projet'!$B$9,Paramètres!$A$1:$I$89,3,0)*0.475*44/12</f>
        <v>1.2452839200646069</v>
      </c>
      <c r="AB157" s="21">
        <f>EXP(-LN(2)/2)*AB156+(1-EXP(-LN(2)/2))/(LN(2)/2)*V157*Y157*VLOOKUP('Données projet'!$B$9,Paramètres!$A$1:$I$89,3,0)*0.475*44/12</f>
        <v>7.9085807683566509E-18</v>
      </c>
      <c r="AC157" s="22">
        <f t="shared" si="163"/>
        <v>2.2251226794596026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-5.3205440053716299E-14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215.23235148064941</v>
      </c>
      <c r="AO157" s="59">
        <f t="shared" si="144"/>
        <v>184.07239726900434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0.26895109070170897</v>
      </c>
      <c r="AV157" s="21">
        <f>EXP(-LN(2)/25)*AV156+(1-EXP(-LN(2)/25))/(LN(2)/25)*Calculateur!AQ157*Calculateur!AS157*VLOOKUP('Données projet'!$B$10,Paramètres!$A$1:$I$89,3,0)*0.475*44/12</f>
        <v>0.25238473491075947</v>
      </c>
      <c r="AW157" s="21">
        <f>EXP(-LN(2)/2)*AW156+(1-EXP(-LN(2)/2))/(LN(2)/2)*AQ157*AT157*VLOOKUP('Données projet'!$B$10,Paramètres!$A$1:$I$89,3,0)*0.475*44/12</f>
        <v>2.132013420039559E-18</v>
      </c>
      <c r="AX157" s="21">
        <f t="shared" si="166"/>
        <v>0.5213358256124685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261.27638267284169</v>
      </c>
      <c r="BJ157" s="59">
        <f t="shared" si="146"/>
        <v>297.50513563712764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0.71592447198078168</v>
      </c>
      <c r="BQ157" s="21">
        <f>EXP(-LN(2)/25)*BQ156+(1-EXP(-LN(2)/25))/(LN(2)/25)*Calculateur!BL157*Calculateur!BN157*VLOOKUP('Données projet'!$B$11,Paramètres!$A$1:$I$89,3,0)*0.475*44/12</f>
        <v>0.89541863561193535</v>
      </c>
      <c r="BR157" s="21">
        <f>EXP(-LN(2)/2)*BR156+(1-EXP(-LN(2)/2))/(LN(2)/2)*BL157*BO157*VLOOKUP('Données projet'!$B$11,Paramètres!$A$1:$I$89,3,0)*0.475*44/12</f>
        <v>5.2911648883747792E-18</v>
      </c>
      <c r="BS157" s="22">
        <f t="shared" si="169"/>
        <v>1.6113431075927171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-1.1368683772161603E-13</v>
      </c>
      <c r="BZ157" s="13">
        <f>BY157*VLOOKUP('Données projet'!$B$12,Paramètres!$A$1:$I$89,3,0)*VLOOKUP('Données projet'!$B$12,Paramètres!$A$1:$I$89,5,0)</f>
        <v>-6.7984728957526396E-14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314.69202393413491</v>
      </c>
      <c r="CE157" s="59">
        <f t="shared" si="148"/>
        <v>321.1728368524748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0.30016624997110924</v>
      </c>
      <c r="CL157" s="21">
        <f>EXP(-LN(2)/25)*CL156+(1-EXP(-LN(2)/25))/(LN(2)/25)*Calculateur!CG157*Calculateur!CI157*VLOOKUP('Données projet'!$B$12,Paramètres!$A$1:$I$89,3,0)*0.475*44/12</f>
        <v>0.68561435386401826</v>
      </c>
      <c r="CM157" s="21">
        <f>EXP(-LN(2)/2)*CM156+(1-EXP(-LN(2)/2))/(LN(2)/2)*CG157*CJ157*VLOOKUP('Données projet'!$B$12,Paramètres!$A$1:$I$89,3,0)*0.475*44/12</f>
        <v>6.57098813646091E-18</v>
      </c>
      <c r="CN157" s="22">
        <f t="shared" si="172"/>
        <v>0.98578060383512756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-1.2505552149377763E-12</v>
      </c>
      <c r="O158" s="13">
        <f>N158*VLOOKUP('Données projet'!$B$9,Paramètres!$A$1:$I$89,3,0)*VLOOKUP('Données projet'!$B$9,Paramètres!$A$1:$I$89,5,0)</f>
        <v>-6.9906036515021697E-13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415.91544298418842</v>
      </c>
      <c r="T158" s="59">
        <f t="shared" si="142"/>
        <v>422.79312683312583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0.96062471896589097</v>
      </c>
      <c r="AA158" s="21">
        <f>EXP(-LN(2)/25)*AA157+(1-EXP(-LN(2)/25))/(LN(2)/25)*Calculateur!V158*Calculateur!X158*VLOOKUP('Données projet'!$B$9,Paramètres!$A$1:$I$89,3,0)*0.475*44/12</f>
        <v>1.2112315657838049</v>
      </c>
      <c r="AB158" s="21">
        <f>EXP(-LN(2)/2)*AB157+(1-EXP(-LN(2)/2))/(LN(2)/2)*V158*Y158*VLOOKUP('Données projet'!$B$9,Paramètres!$A$1:$I$89,3,0)*0.475*44/12</f>
        <v>5.5922110908665043E-18</v>
      </c>
      <c r="AC158" s="22">
        <f t="shared" si="163"/>
        <v>2.1718562847496958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-5.3205440053716299E-14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215.23235148064941</v>
      </c>
      <c r="AO158" s="59">
        <f t="shared" si="144"/>
        <v>184.07239726900434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0.2636771238570158</v>
      </c>
      <c r="AV158" s="21">
        <f>EXP(-LN(2)/25)*AV157+(1-EXP(-LN(2)/25))/(LN(2)/25)*Calculateur!AQ158*Calculateur!AS158*VLOOKUP('Données projet'!$B$10,Paramètres!$A$1:$I$89,3,0)*0.475*44/12</f>
        <v>0.24548326106228838</v>
      </c>
      <c r="AW158" s="21">
        <f>EXP(-LN(2)/2)*AW157+(1-EXP(-LN(2)/2))/(LN(2)/2)*AQ158*AT158*VLOOKUP('Données projet'!$B$10,Paramètres!$A$1:$I$89,3,0)*0.475*44/12</f>
        <v>1.5075611468906953E-18</v>
      </c>
      <c r="AX158" s="21">
        <f t="shared" si="166"/>
        <v>0.50916038491930415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261.27638267284169</v>
      </c>
      <c r="BJ158" s="59">
        <f t="shared" si="146"/>
        <v>297.50513563712764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0.70188562975604885</v>
      </c>
      <c r="BQ158" s="21">
        <f>EXP(-LN(2)/25)*BQ157+(1-EXP(-LN(2)/25))/(LN(2)/25)*Calculateur!BL158*Calculateur!BN158*VLOOKUP('Données projet'!$B$11,Paramètres!$A$1:$I$89,3,0)*0.475*44/12</f>
        <v>0.87093336593310744</v>
      </c>
      <c r="BR158" s="21">
        <f>EXP(-LN(2)/2)*BR157+(1-EXP(-LN(2)/2))/(LN(2)/2)*BL158*BO158*VLOOKUP('Données projet'!$B$11,Paramètres!$A$1:$I$89,3,0)*0.475*44/12</f>
        <v>3.7414185729459681E-18</v>
      </c>
      <c r="BS158" s="22">
        <f t="shared" si="169"/>
        <v>1.5728189956891563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-1.1368683772161603E-13</v>
      </c>
      <c r="BZ158" s="13">
        <f>BY158*VLOOKUP('Données projet'!$B$12,Paramètres!$A$1:$I$89,3,0)*VLOOKUP('Données projet'!$B$12,Paramètres!$A$1:$I$89,5,0)</f>
        <v>-6.7984728957526396E-14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314.69202393413491</v>
      </c>
      <c r="CE158" s="59">
        <f t="shared" si="148"/>
        <v>321.1728368524748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0.29428017289251029</v>
      </c>
      <c r="CL158" s="21">
        <f>EXP(-LN(2)/25)*CL157+(1-EXP(-LN(2)/25))/(LN(2)/25)*Calculateur!CG158*Calculateur!CI158*VLOOKUP('Données projet'!$B$12,Paramètres!$A$1:$I$89,3,0)*0.475*44/12</f>
        <v>0.66686619330271479</v>
      </c>
      <c r="CM158" s="21">
        <f>EXP(-LN(2)/2)*CM157+(1-EXP(-LN(2)/2))/(LN(2)/2)*CG158*CJ158*VLOOKUP('Données projet'!$B$12,Paramètres!$A$1:$I$89,3,0)*0.475*44/12</f>
        <v>4.6463902703878643E-18</v>
      </c>
      <c r="CN158" s="22">
        <f t="shared" si="172"/>
        <v>0.96114636619522509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-1.2505552149377763E-12</v>
      </c>
      <c r="O159" s="13">
        <f>N159*VLOOKUP('Données projet'!$B$9,Paramètres!$A$1:$I$89,3,0)*VLOOKUP('Données projet'!$B$9,Paramètres!$A$1:$I$89,5,0)</f>
        <v>-6.9906036515021697E-13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415.91544298418842</v>
      </c>
      <c r="T159" s="59">
        <f t="shared" si="142"/>
        <v>422.79312683312583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0.94178745415019327</v>
      </c>
      <c r="AA159" s="21">
        <f>EXP(-LN(2)/25)*AA158+(1-EXP(-LN(2)/25))/(LN(2)/25)*Calculateur!V159*Calculateur!X159*VLOOKUP('Données projet'!$B$9,Paramètres!$A$1:$I$89,3,0)*0.475*44/12</f>
        <v>1.1781103749215469</v>
      </c>
      <c r="AB159" s="21">
        <f>EXP(-LN(2)/2)*AB158+(1-EXP(-LN(2)/2))/(LN(2)/2)*V159*Y159*VLOOKUP('Données projet'!$B$9,Paramètres!$A$1:$I$89,3,0)*0.475*44/12</f>
        <v>3.9542903841783255E-18</v>
      </c>
      <c r="AC159" s="22">
        <f t="shared" si="163"/>
        <v>2.1198978290717401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-5.3205440053716299E-14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215.23235148064941</v>
      </c>
      <c r="AO159" s="59">
        <f t="shared" si="144"/>
        <v>184.07239726900434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0.2585065762853449</v>
      </c>
      <c r="AV159" s="21">
        <f>EXP(-LN(2)/25)*AV158+(1-EXP(-LN(2)/25))/(LN(2)/25)*Calculateur!AQ159*Calculateur!AS159*VLOOKUP('Données projet'!$B$10,Paramètres!$A$1:$I$89,3,0)*0.475*44/12</f>
        <v>0.23877050837913646</v>
      </c>
      <c r="AW159" s="21">
        <f>EXP(-LN(2)/2)*AW158+(1-EXP(-LN(2)/2))/(LN(2)/2)*AQ159*AT159*VLOOKUP('Données projet'!$B$10,Paramètres!$A$1:$I$89,3,0)*0.475*44/12</f>
        <v>1.0660067100197795E-18</v>
      </c>
      <c r="AX159" s="21">
        <f t="shared" si="166"/>
        <v>0.49727708466448139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261.27638267284169</v>
      </c>
      <c r="BJ159" s="59">
        <f t="shared" si="146"/>
        <v>297.50513563712764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0.68812208066449476</v>
      </c>
      <c r="BQ159" s="21">
        <f>EXP(-LN(2)/25)*BQ158+(1-EXP(-LN(2)/25))/(LN(2)/25)*Calculateur!BL159*Calculateur!BN159*VLOOKUP('Données projet'!$B$11,Paramètres!$A$1:$I$89,3,0)*0.475*44/12</f>
        <v>0.84711764724127148</v>
      </c>
      <c r="BR159" s="21">
        <f>EXP(-LN(2)/2)*BR158+(1-EXP(-LN(2)/2))/(LN(2)/2)*BL159*BO159*VLOOKUP('Données projet'!$B$11,Paramètres!$A$1:$I$89,3,0)*0.475*44/12</f>
        <v>2.6455824441873896E-18</v>
      </c>
      <c r="BS159" s="22">
        <f t="shared" si="169"/>
        <v>1.5352397279057661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-1.1368683772161603E-13</v>
      </c>
      <c r="BZ159" s="13">
        <f>BY159*VLOOKUP('Données projet'!$B$12,Paramètres!$A$1:$I$89,3,0)*VLOOKUP('Données projet'!$B$12,Paramètres!$A$1:$I$89,5,0)</f>
        <v>-6.7984728957526396E-14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314.69202393413491</v>
      </c>
      <c r="CE159" s="59">
        <f t="shared" si="148"/>
        <v>321.1728368524748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0.28850951819527015</v>
      </c>
      <c r="CL159" s="21">
        <f>EXP(-LN(2)/25)*CL158+(1-EXP(-LN(2)/25))/(LN(2)/25)*Calculateur!CG159*Calculateur!CI159*VLOOKUP('Données projet'!$B$12,Paramètres!$A$1:$I$89,3,0)*0.475*44/12</f>
        <v>0.6486307021778831</v>
      </c>
      <c r="CM159" s="21">
        <f>EXP(-LN(2)/2)*CM158+(1-EXP(-LN(2)/2))/(LN(2)/2)*CG159*CJ159*VLOOKUP('Données projet'!$B$12,Paramètres!$A$1:$I$89,3,0)*0.475*44/12</f>
        <v>3.285494068230455E-18</v>
      </c>
      <c r="CN159" s="22">
        <f t="shared" si="172"/>
        <v>0.93714022037315325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-1.2505552149377763E-12</v>
      </c>
      <c r="O160" s="13">
        <f>N160*VLOOKUP('Données projet'!$B$9,Paramètres!$A$1:$I$89,3,0)*VLOOKUP('Données projet'!$B$9,Paramètres!$A$1:$I$89,5,0)</f>
        <v>-6.9906036515021697E-13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415.91544298418842</v>
      </c>
      <c r="T160" s="59">
        <f t="shared" si="142"/>
        <v>422.79312683312583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0.9233195766079344</v>
      </c>
      <c r="AA160" s="21">
        <f>EXP(-LN(2)/25)*AA159+(1-EXP(-LN(2)/25))/(LN(2)/25)*Calculateur!V160*Calculateur!X160*VLOOKUP('Données projet'!$B$9,Paramètres!$A$1:$I$89,3,0)*0.475*44/12</f>
        <v>1.1458948847651853</v>
      </c>
      <c r="AB160" s="21">
        <f>EXP(-LN(2)/2)*AB159+(1-EXP(-LN(2)/2))/(LN(2)/2)*V160*Y160*VLOOKUP('Données projet'!$B$9,Paramètres!$A$1:$I$89,3,0)*0.475*44/12</f>
        <v>2.7961055454332522E-18</v>
      </c>
      <c r="AC160" s="22">
        <f t="shared" si="163"/>
        <v>2.0692144613731198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-5.3205440053716299E-14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215.23235148064941</v>
      </c>
      <c r="AO160" s="59">
        <f t="shared" si="144"/>
        <v>184.07239726900434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0.25343741999783187</v>
      </c>
      <c r="AV160" s="21">
        <f>EXP(-LN(2)/25)*AV159+(1-EXP(-LN(2)/25))/(LN(2)/25)*Calculateur!AQ160*Calculateur!AS160*VLOOKUP('Données projet'!$B$10,Paramètres!$A$1:$I$89,3,0)*0.475*44/12</f>
        <v>0.23224131627111366</v>
      </c>
      <c r="AW160" s="21">
        <f>EXP(-LN(2)/2)*AW159+(1-EXP(-LN(2)/2))/(LN(2)/2)*AQ160*AT160*VLOOKUP('Données projet'!$B$10,Paramètres!$A$1:$I$89,3,0)*0.475*44/12</f>
        <v>7.5378057344534765E-19</v>
      </c>
      <c r="AX160" s="21">
        <f t="shared" si="166"/>
        <v>0.48567873626894553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261.27638267284169</v>
      </c>
      <c r="BJ160" s="59">
        <f t="shared" si="146"/>
        <v>297.50513563712764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0.67462842637568998</v>
      </c>
      <c r="BQ160" s="21">
        <f>EXP(-LN(2)/25)*BQ159+(1-EXP(-LN(2)/25))/(LN(2)/25)*Calculateur!BL160*Calculateur!BN160*VLOOKUP('Données projet'!$B$11,Paramètres!$A$1:$I$89,3,0)*0.475*44/12</f>
        <v>0.82395317062947793</v>
      </c>
      <c r="BR160" s="21">
        <f>EXP(-LN(2)/2)*BR159+(1-EXP(-LN(2)/2))/(LN(2)/2)*BL160*BO160*VLOOKUP('Données projet'!$B$11,Paramètres!$A$1:$I$89,3,0)*0.475*44/12</f>
        <v>1.8707092864729841E-18</v>
      </c>
      <c r="BS160" s="22">
        <f t="shared" si="169"/>
        <v>1.4985815970051679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-1.1368683772161603E-13</v>
      </c>
      <c r="BZ160" s="13">
        <f>BY160*VLOOKUP('Données projet'!$B$12,Paramètres!$A$1:$I$89,3,0)*VLOOKUP('Données projet'!$B$12,Paramètres!$A$1:$I$89,5,0)</f>
        <v>-6.7984728957526396E-14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314.69202393413491</v>
      </c>
      <c r="CE160" s="59">
        <f t="shared" si="148"/>
        <v>321.1728368524748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0.28285202251689107</v>
      </c>
      <c r="CL160" s="21">
        <f>EXP(-LN(2)/25)*CL159+(1-EXP(-LN(2)/25))/(LN(2)/25)*Calculateur!CG160*Calculateur!CI160*VLOOKUP('Données projet'!$B$12,Paramètres!$A$1:$I$89,3,0)*0.475*44/12</f>
        <v>0.6308938615168227</v>
      </c>
      <c r="CM160" s="21">
        <f>EXP(-LN(2)/2)*CM159+(1-EXP(-LN(2)/2))/(LN(2)/2)*CG160*CJ160*VLOOKUP('Données projet'!$B$12,Paramètres!$A$1:$I$89,3,0)*0.475*44/12</f>
        <v>2.3231951351939321E-18</v>
      </c>
      <c r="CN160" s="22">
        <f t="shared" si="172"/>
        <v>0.91374588403371382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-1.2505552149377763E-12</v>
      </c>
      <c r="O161" s="13">
        <f>N161*VLOOKUP('Données projet'!$B$9,Paramètres!$A$1:$I$89,3,0)*VLOOKUP('Données projet'!$B$9,Paramètres!$A$1:$I$89,5,0)</f>
        <v>-6.9906036515021697E-13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415.91544298418842</v>
      </c>
      <c r="T161" s="59">
        <f t="shared" si="142"/>
        <v>422.79312683312583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0.90521384287998619</v>
      </c>
      <c r="AA161" s="21">
        <f>EXP(-LN(2)/25)*AA160+(1-EXP(-LN(2)/25))/(LN(2)/25)*Calculateur!V161*Calculateur!X161*VLOOKUP('Données projet'!$B$9,Paramètres!$A$1:$I$89,3,0)*0.475*44/12</f>
        <v>1.1145603288812882</v>
      </c>
      <c r="AB161" s="21">
        <f>EXP(-LN(2)/2)*AB160+(1-EXP(-LN(2)/2))/(LN(2)/2)*V161*Y161*VLOOKUP('Données projet'!$B$9,Paramètres!$A$1:$I$89,3,0)*0.475*44/12</f>
        <v>1.9771451920891627E-18</v>
      </c>
      <c r="AC161" s="22">
        <f t="shared" si="163"/>
        <v>2.0197741717612745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-5.3205440053716299E-14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215.23235148064941</v>
      </c>
      <c r="AO161" s="59">
        <f t="shared" si="144"/>
        <v>184.07239726900434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0.24846766677323692</v>
      </c>
      <c r="AV161" s="21">
        <f>EXP(-LN(2)/25)*AV160+(1-EXP(-LN(2)/25))/(LN(2)/25)*Calculateur!AQ161*Calculateur!AS161*VLOOKUP('Données projet'!$B$10,Paramètres!$A$1:$I$89,3,0)*0.475*44/12</f>
        <v>0.22589066526464002</v>
      </c>
      <c r="AW161" s="21">
        <f>EXP(-LN(2)/2)*AW160+(1-EXP(-LN(2)/2))/(LN(2)/2)*AQ161*AT161*VLOOKUP('Données projet'!$B$10,Paramètres!$A$1:$I$89,3,0)*0.475*44/12</f>
        <v>5.3300335500988974E-19</v>
      </c>
      <c r="AX161" s="21">
        <f t="shared" si="166"/>
        <v>0.47435833203787692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261.27638267284169</v>
      </c>
      <c r="BJ161" s="59">
        <f t="shared" si="146"/>
        <v>297.50513563712764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0.66139937441717223</v>
      </c>
      <c r="BQ161" s="21">
        <f>EXP(-LN(2)/25)*BQ160+(1-EXP(-LN(2)/25))/(LN(2)/25)*Calculateur!BL161*Calculateur!BN161*VLOOKUP('Données projet'!$B$11,Paramètres!$A$1:$I$89,3,0)*0.475*44/12</f>
        <v>0.80142212784880074</v>
      </c>
      <c r="BR161" s="21">
        <f>EXP(-LN(2)/2)*BR160+(1-EXP(-LN(2)/2))/(LN(2)/2)*BL161*BO161*VLOOKUP('Données projet'!$B$11,Paramètres!$A$1:$I$89,3,0)*0.475*44/12</f>
        <v>1.3227912220936948E-18</v>
      </c>
      <c r="BS161" s="22">
        <f t="shared" si="169"/>
        <v>1.462821502265973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-1.1368683772161603E-13</v>
      </c>
      <c r="BZ161" s="13">
        <f>BY161*VLOOKUP('Données projet'!$B$12,Paramètres!$A$1:$I$89,3,0)*VLOOKUP('Données projet'!$B$12,Paramètres!$A$1:$I$89,5,0)</f>
        <v>-6.7984728957526396E-14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314.69202393413491</v>
      </c>
      <c r="CE161" s="59">
        <f t="shared" si="148"/>
        <v>321.1728368524748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0.27730546687803337</v>
      </c>
      <c r="CL161" s="21">
        <f>EXP(-LN(2)/25)*CL160+(1-EXP(-LN(2)/25))/(LN(2)/25)*Calculateur!CG161*Calculateur!CI161*VLOOKUP('Données projet'!$B$12,Paramètres!$A$1:$I$89,3,0)*0.475*44/12</f>
        <v>0.61364203569637898</v>
      </c>
      <c r="CM161" s="21">
        <f>EXP(-LN(2)/2)*CM160+(1-EXP(-LN(2)/2))/(LN(2)/2)*CG161*CJ161*VLOOKUP('Données projet'!$B$12,Paramètres!$A$1:$I$89,3,0)*0.475*44/12</f>
        <v>1.6427470341152275E-18</v>
      </c>
      <c r="CN161" s="22">
        <f t="shared" si="172"/>
        <v>0.89094750257441235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-1.2505552149377763E-12</v>
      </c>
      <c r="O162" s="13">
        <f>N162*VLOOKUP('Données projet'!$B$9,Paramètres!$A$1:$I$89,3,0)*VLOOKUP('Données projet'!$B$9,Paramètres!$A$1:$I$89,5,0)</f>
        <v>-6.9906036515021697E-13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415.91544298418842</v>
      </c>
      <c r="T162" s="59">
        <f t="shared" si="142"/>
        <v>422.79312683312583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0.88746315154703592</v>
      </c>
      <c r="AA162" s="21">
        <f>EXP(-LN(2)/25)*AA161+(1-EXP(-LN(2)/25))/(LN(2)/25)*Calculateur!V162*Calculateur!X162*VLOOKUP('Données projet'!$B$9,Paramètres!$A$1:$I$89,3,0)*0.475*44/12</f>
        <v>1.0840826180758489</v>
      </c>
      <c r="AB162" s="21">
        <f>EXP(-LN(2)/2)*AB161+(1-EXP(-LN(2)/2))/(LN(2)/2)*V162*Y162*VLOOKUP('Données projet'!$B$9,Paramètres!$A$1:$I$89,3,0)*0.475*44/12</f>
        <v>1.3980527727166261E-18</v>
      </c>
      <c r="AC162" s="22">
        <f t="shared" si="163"/>
        <v>1.9715457696228849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-5.3205440053716299E-14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215.23235148064941</v>
      </c>
      <c r="AO162" s="59">
        <f t="shared" si="144"/>
        <v>184.07239726900434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0.24359536737812612</v>
      </c>
      <c r="AV162" s="21">
        <f>EXP(-LN(2)/25)*AV161+(1-EXP(-LN(2)/25))/(LN(2)/25)*Calculateur!AQ162*Calculateur!AS162*VLOOKUP('Données projet'!$B$10,Paramètres!$A$1:$I$89,3,0)*0.475*44/12</f>
        <v>0.21971367314390464</v>
      </c>
      <c r="AW162" s="21">
        <f>EXP(-LN(2)/2)*AW161+(1-EXP(-LN(2)/2))/(LN(2)/2)*AQ162*AT162*VLOOKUP('Données projet'!$B$10,Paramètres!$A$1:$I$89,3,0)*0.475*44/12</f>
        <v>3.7689028672267382E-19</v>
      </c>
      <c r="AX162" s="21">
        <f t="shared" si="166"/>
        <v>0.46330904052203076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261.27638267284169</v>
      </c>
      <c r="BJ162" s="59">
        <f t="shared" si="146"/>
        <v>297.50513563712764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0.64842973609863608</v>
      </c>
      <c r="BQ162" s="21">
        <f>EXP(-LN(2)/25)*BQ161+(1-EXP(-LN(2)/25))/(LN(2)/25)*Calculateur!BL162*Calculateur!BN162*VLOOKUP('Données projet'!$B$11,Paramètres!$A$1:$I$89,3,0)*0.475*44/12</f>
        <v>0.77950719761781728</v>
      </c>
      <c r="BR162" s="21">
        <f>EXP(-LN(2)/2)*BR161+(1-EXP(-LN(2)/2))/(LN(2)/2)*BL162*BO162*VLOOKUP('Données projet'!$B$11,Paramètres!$A$1:$I$89,3,0)*0.475*44/12</f>
        <v>9.3535464323649203E-19</v>
      </c>
      <c r="BS162" s="22">
        <f t="shared" si="169"/>
        <v>1.4279369337164534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-1.1368683772161603E-13</v>
      </c>
      <c r="BZ162" s="13">
        <f>BY162*VLOOKUP('Données projet'!$B$12,Paramètres!$A$1:$I$89,3,0)*VLOOKUP('Données projet'!$B$12,Paramètres!$A$1:$I$89,5,0)</f>
        <v>-6.7984728957526396E-14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314.69202393413491</v>
      </c>
      <c r="CE162" s="59">
        <f t="shared" si="148"/>
        <v>321.1728368524748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0.27186767581218879</v>
      </c>
      <c r="CL162" s="21">
        <f>EXP(-LN(2)/25)*CL161+(1-EXP(-LN(2)/25))/(LN(2)/25)*Calculateur!CG162*Calculateur!CI162*VLOOKUP('Données projet'!$B$12,Paramètres!$A$1:$I$89,3,0)*0.475*44/12</f>
        <v>0.59686196196022934</v>
      </c>
      <c r="CM162" s="21">
        <f>EXP(-LN(2)/2)*CM161+(1-EXP(-LN(2)/2))/(LN(2)/2)*CG162*CJ162*VLOOKUP('Données projet'!$B$12,Paramètres!$A$1:$I$89,3,0)*0.475*44/12</f>
        <v>1.1615975675969661E-18</v>
      </c>
      <c r="CN162" s="22">
        <f t="shared" si="172"/>
        <v>0.86872963777241807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-1.2505552149377763E-12</v>
      </c>
      <c r="O163" s="13">
        <f>N163*VLOOKUP('Données projet'!$B$9,Paramètres!$A$1:$I$89,3,0)*VLOOKUP('Données projet'!$B$9,Paramètres!$A$1:$I$89,5,0)</f>
        <v>-6.9906036515021697E-13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415.91544298418842</v>
      </c>
      <c r="T163" s="59">
        <f t="shared" si="142"/>
        <v>422.79312683312583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0.87006054044427217</v>
      </c>
      <c r="AA163" s="21">
        <f>EXP(-LN(2)/25)*AA162+(1-EXP(-LN(2)/25))/(LN(2)/25)*Calculateur!V163*Calculateur!X163*VLOOKUP('Données projet'!$B$9,Paramètres!$A$1:$I$89,3,0)*0.475*44/12</f>
        <v>1.0544383218751376</v>
      </c>
      <c r="AB163" s="21">
        <f>EXP(-LN(2)/2)*AB162+(1-EXP(-LN(2)/2))/(LN(2)/2)*V163*Y163*VLOOKUP('Données projet'!$B$9,Paramètres!$A$1:$I$89,3,0)*0.475*44/12</f>
        <v>9.8857259604458137E-19</v>
      </c>
      <c r="AC163" s="22">
        <f t="shared" si="163"/>
        <v>1.9244988623194099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-5.3205440053716299E-14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215.23235148064941</v>
      </c>
      <c r="AO163" s="59">
        <f t="shared" si="144"/>
        <v>184.07239726900434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0.23881861080234426</v>
      </c>
      <c r="AV163" s="21">
        <f>EXP(-LN(2)/25)*AV162+(1-EXP(-LN(2)/25))/(LN(2)/25)*Calculateur!AQ163*Calculateur!AS163*VLOOKUP('Données projet'!$B$10,Paramètres!$A$1:$I$89,3,0)*0.475*44/12</f>
        <v>0.21370559119754465</v>
      </c>
      <c r="AW163" s="21">
        <f>EXP(-LN(2)/2)*AW162+(1-EXP(-LN(2)/2))/(LN(2)/2)*AQ163*AT163*VLOOKUP('Données projet'!$B$10,Paramètres!$A$1:$I$89,3,0)*0.475*44/12</f>
        <v>2.6650167750494487E-19</v>
      </c>
      <c r="AX163" s="21">
        <f t="shared" si="166"/>
        <v>0.45252420199988891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261.27638267284169</v>
      </c>
      <c r="BJ163" s="59">
        <f t="shared" si="146"/>
        <v>297.50513563712764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0.63571442447682813</v>
      </c>
      <c r="BQ163" s="21">
        <f>EXP(-LN(2)/25)*BQ162+(1-EXP(-LN(2)/25))/(LN(2)/25)*Calculateur!BL163*Calculateur!BN163*VLOOKUP('Données projet'!$B$11,Paramètres!$A$1:$I$89,3,0)*0.475*44/12</f>
        <v>0.75819153230645608</v>
      </c>
      <c r="BR163" s="21">
        <f>EXP(-LN(2)/2)*BR162+(1-EXP(-LN(2)/2))/(LN(2)/2)*BL163*BO163*VLOOKUP('Données projet'!$B$11,Paramètres!$A$1:$I$89,3,0)*0.475*44/12</f>
        <v>6.613956110468474E-19</v>
      </c>
      <c r="BS163" s="22">
        <f t="shared" si="169"/>
        <v>1.3939059567832843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-1.1368683772161603E-13</v>
      </c>
      <c r="BZ163" s="13">
        <f>BY163*VLOOKUP('Données projet'!$B$12,Paramètres!$A$1:$I$89,3,0)*VLOOKUP('Données projet'!$B$12,Paramètres!$A$1:$I$89,5,0)</f>
        <v>-6.7984728957526396E-14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314.69202393413491</v>
      </c>
      <c r="CE163" s="59">
        <f t="shared" si="148"/>
        <v>321.1728368524748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0.26653651651242039</v>
      </c>
      <c r="CL163" s="21">
        <f>EXP(-LN(2)/25)*CL162+(1-EXP(-LN(2)/25))/(LN(2)/25)*Calculateur!CG163*Calculateur!CI163*VLOOKUP('Données projet'!$B$12,Paramètres!$A$1:$I$89,3,0)*0.475*44/12</f>
        <v>0.58054074022282043</v>
      </c>
      <c r="CM163" s="21">
        <f>EXP(-LN(2)/2)*CM162+(1-EXP(-LN(2)/2))/(LN(2)/2)*CG163*CJ163*VLOOKUP('Données projet'!$B$12,Paramètres!$A$1:$I$89,3,0)*0.475*44/12</f>
        <v>8.2137351705761374E-19</v>
      </c>
      <c r="CN163" s="22">
        <f t="shared" si="172"/>
        <v>0.84707725673524081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-1.2505552149377763E-12</v>
      </c>
      <c r="O164" s="13">
        <f>N164*VLOOKUP('Données projet'!$B$9,Paramètres!$A$1:$I$89,3,0)*VLOOKUP('Données projet'!$B$9,Paramètres!$A$1:$I$89,5,0)</f>
        <v>-6.9906036515021697E-13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415.91544298418842</v>
      </c>
      <c r="T164" s="59">
        <f t="shared" si="142"/>
        <v>422.79312683312583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0.85299918393068896</v>
      </c>
      <c r="AA164" s="21">
        <f>EXP(-LN(2)/25)*AA163+(1-EXP(-LN(2)/25))/(LN(2)/25)*Calculateur!V164*Calculateur!X164*VLOOKUP('Données projet'!$B$9,Paramètres!$A$1:$I$89,3,0)*0.475*44/12</f>
        <v>1.0256046505129606</v>
      </c>
      <c r="AB164" s="21">
        <f>EXP(-LN(2)/2)*AB163+(1-EXP(-LN(2)/2))/(LN(2)/2)*V164*Y164*VLOOKUP('Données projet'!$B$9,Paramètres!$A$1:$I$89,3,0)*0.475*44/12</f>
        <v>6.9902638635831304E-19</v>
      </c>
      <c r="AC164" s="22">
        <f t="shared" si="163"/>
        <v>1.8786038344436495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-5.3205440053716299E-14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215.23235148064941</v>
      </c>
      <c r="AO164" s="59">
        <f t="shared" si="144"/>
        <v>184.07239726900434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0.23413552350947966</v>
      </c>
      <c r="AV164" s="21">
        <f>EXP(-LN(2)/25)*AV163+(1-EXP(-LN(2)/25))/(LN(2)/25)*Calculateur!AQ164*Calculateur!AS164*VLOOKUP('Données projet'!$B$10,Paramètres!$A$1:$I$89,3,0)*0.475*44/12</f>
        <v>0.20786180056795917</v>
      </c>
      <c r="AW164" s="21">
        <f>EXP(-LN(2)/2)*AW163+(1-EXP(-LN(2)/2))/(LN(2)/2)*AQ164*AT164*VLOOKUP('Données projet'!$B$10,Paramètres!$A$1:$I$89,3,0)*0.475*44/12</f>
        <v>1.8844514336133691E-19</v>
      </c>
      <c r="AX164" s="21">
        <f t="shared" si="166"/>
        <v>0.44199732407743886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261.27638267284169</v>
      </c>
      <c r="BJ164" s="59">
        <f t="shared" si="146"/>
        <v>297.50513563712764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0.62324845236034954</v>
      </c>
      <c r="BQ164" s="21">
        <f>EXP(-LN(2)/25)*BQ163+(1-EXP(-LN(2)/25))/(LN(2)/25)*Calculateur!BL164*Calculateur!BN164*VLOOKUP('Données projet'!$B$11,Paramètres!$A$1:$I$89,3,0)*0.475*44/12</f>
        <v>0.73745874498397623</v>
      </c>
      <c r="BR164" s="21">
        <f>EXP(-LN(2)/2)*BR163+(1-EXP(-LN(2)/2))/(LN(2)/2)*BL164*BO164*VLOOKUP('Données projet'!$B$11,Paramètres!$A$1:$I$89,3,0)*0.475*44/12</f>
        <v>4.6767732161824601E-19</v>
      </c>
      <c r="BS164" s="22">
        <f t="shared" si="169"/>
        <v>1.3607071973443259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-1.1368683772161603E-13</v>
      </c>
      <c r="BZ164" s="13">
        <f>BY164*VLOOKUP('Données projet'!$B$12,Paramètres!$A$1:$I$89,3,0)*VLOOKUP('Données projet'!$B$12,Paramètres!$A$1:$I$89,5,0)</f>
        <v>-6.7984728957526396E-14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314.69202393413491</v>
      </c>
      <c r="CE164" s="59">
        <f t="shared" si="148"/>
        <v>321.1728368524748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0.26130989799483434</v>
      </c>
      <c r="CL164" s="21">
        <f>EXP(-LN(2)/25)*CL163+(1-EXP(-LN(2)/25))/(LN(2)/25)*Calculateur!CG164*Calculateur!CI164*VLOOKUP('Données projet'!$B$12,Paramètres!$A$1:$I$89,3,0)*0.475*44/12</f>
        <v>0.56466582315211666</v>
      </c>
      <c r="CM164" s="21">
        <f>EXP(-LN(2)/2)*CM163+(1-EXP(-LN(2)/2))/(LN(2)/2)*CG164*CJ164*VLOOKUP('Données projet'!$B$12,Paramètres!$A$1:$I$89,3,0)*0.475*44/12</f>
        <v>5.8079878379848303E-19</v>
      </c>
      <c r="CN164" s="22">
        <f t="shared" si="172"/>
        <v>0.82597572114695095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-1.2505552149377763E-12</v>
      </c>
      <c r="O165" s="13">
        <f>N165*VLOOKUP('Données projet'!$B$9,Paramètres!$A$1:$I$89,3,0)*VLOOKUP('Données projet'!$B$9,Paramètres!$A$1:$I$89,5,0)</f>
        <v>-6.9906036515021697E-13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415.91544298418842</v>
      </c>
      <c r="T165" s="59">
        <f t="shared" si="142"/>
        <v>422.79312683312583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0.83627239021193711</v>
      </c>
      <c r="AA165" s="21">
        <f>EXP(-LN(2)/25)*AA164+(1-EXP(-LN(2)/25))/(LN(2)/25)*Calculateur!V165*Calculateur!X165*VLOOKUP('Données projet'!$B$9,Paramètres!$A$1:$I$89,3,0)*0.475*44/12</f>
        <v>0.99755943741047914</v>
      </c>
      <c r="AB165" s="21">
        <f>EXP(-LN(2)/2)*AB164+(1-EXP(-LN(2)/2))/(LN(2)/2)*V165*Y165*VLOOKUP('Données projet'!$B$9,Paramètres!$A$1:$I$89,3,0)*0.475*44/12</f>
        <v>4.9428629802229068E-19</v>
      </c>
      <c r="AC165" s="22">
        <f t="shared" si="163"/>
        <v>1.8338318276224164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-5.3205440053716299E-14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215.23235148064941</v>
      </c>
      <c r="AO165" s="59">
        <f t="shared" si="144"/>
        <v>184.07239726900434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0.22954426870202693</v>
      </c>
      <c r="AV165" s="21">
        <f>EXP(-LN(2)/25)*AV164+(1-EXP(-LN(2)/25))/(LN(2)/25)*Calculateur!AQ165*Calculateur!AS165*VLOOKUP('Données projet'!$B$10,Paramètres!$A$1:$I$89,3,0)*0.475*44/12</f>
        <v>0.20217780870045129</v>
      </c>
      <c r="AW165" s="21">
        <f>EXP(-LN(2)/2)*AW164+(1-EXP(-LN(2)/2))/(LN(2)/2)*AQ165*AT165*VLOOKUP('Données projet'!$B$10,Paramètres!$A$1:$I$89,3,0)*0.475*44/12</f>
        <v>1.3325083875247244E-19</v>
      </c>
      <c r="AX165" s="21">
        <f t="shared" si="166"/>
        <v>0.43172207740247825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261.27638267284169</v>
      </c>
      <c r="BJ165" s="59">
        <f t="shared" si="146"/>
        <v>297.50513563712764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0.61102693035358291</v>
      </c>
      <c r="BQ165" s="21">
        <f>EXP(-LN(2)/25)*BQ164+(1-EXP(-LN(2)/25))/(LN(2)/25)*Calculateur!BL165*Calculateur!BN165*VLOOKUP('Données projet'!$B$11,Paramètres!$A$1:$I$89,3,0)*0.475*44/12</f>
        <v>0.71729289682111952</v>
      </c>
      <c r="BR165" s="21">
        <f>EXP(-LN(2)/2)*BR164+(1-EXP(-LN(2)/2))/(LN(2)/2)*BL165*BO165*VLOOKUP('Données projet'!$B$11,Paramètres!$A$1:$I$89,3,0)*0.475*44/12</f>
        <v>3.306978055234237E-19</v>
      </c>
      <c r="BS165" s="22">
        <f t="shared" si="169"/>
        <v>1.3283198271747025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-1.1368683772161603E-13</v>
      </c>
      <c r="BZ165" s="13">
        <f>BY165*VLOOKUP('Données projet'!$B$12,Paramètres!$A$1:$I$89,3,0)*VLOOKUP('Données projet'!$B$12,Paramètres!$A$1:$I$89,5,0)</f>
        <v>-6.7984728957526396E-14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314.69202393413491</v>
      </c>
      <c r="CE165" s="59">
        <f t="shared" si="148"/>
        <v>321.1728368524748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0.25618577027845563</v>
      </c>
      <c r="CL165" s="21">
        <f>EXP(-LN(2)/25)*CL164+(1-EXP(-LN(2)/25))/(LN(2)/25)*Calculateur!CG165*Calculateur!CI165*VLOOKUP('Données projet'!$B$12,Paramètres!$A$1:$I$89,3,0)*0.475*44/12</f>
        <v>0.54922500652353701</v>
      </c>
      <c r="CM165" s="21">
        <f>EXP(-LN(2)/2)*CM164+(1-EXP(-LN(2)/2))/(LN(2)/2)*CG165*CJ165*VLOOKUP('Données projet'!$B$12,Paramètres!$A$1:$I$89,3,0)*0.475*44/12</f>
        <v>4.1068675852880687E-19</v>
      </c>
      <c r="CN165" s="22">
        <f t="shared" si="172"/>
        <v>0.80541077680199269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-1.2505552149377763E-12</v>
      </c>
      <c r="O166" s="13">
        <f>N166*VLOOKUP('Données projet'!$B$9,Paramètres!$A$1:$I$89,3,0)*VLOOKUP('Données projet'!$B$9,Paramètres!$A$1:$I$89,5,0)</f>
        <v>-6.9906036515021697E-13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415.91544298418842</v>
      </c>
      <c r="T166" s="59">
        <f t="shared" si="142"/>
        <v>422.79312683312583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0.81987359871567322</v>
      </c>
      <c r="AA166" s="21">
        <f>EXP(-LN(2)/25)*AA165+(1-EXP(-LN(2)/25))/(LN(2)/25)*Calculateur!V166*Calculateur!X166*VLOOKUP('Données projet'!$B$9,Paramètres!$A$1:$I$89,3,0)*0.475*44/12</f>
        <v>0.97028112213511875</v>
      </c>
      <c r="AB166" s="21">
        <f>EXP(-LN(2)/2)*AB165+(1-EXP(-LN(2)/2))/(LN(2)/2)*V166*Y166*VLOOKUP('Données projet'!$B$9,Paramètres!$A$1:$I$89,3,0)*0.475*44/12</f>
        <v>3.4951319317915652E-19</v>
      </c>
      <c r="AC166" s="22">
        <f t="shared" si="163"/>
        <v>1.790154720850792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-5.3205440053716299E-14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215.23235148064941</v>
      </c>
      <c r="AO166" s="59">
        <f t="shared" si="144"/>
        <v>184.07239726900434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0.22504304560095945</v>
      </c>
      <c r="AV166" s="21">
        <f>EXP(-LN(2)/25)*AV165+(1-EXP(-LN(2)/25))/(LN(2)/25)*Calculateur!AQ166*Calculateur!AS166*VLOOKUP('Données projet'!$B$10,Paramètres!$A$1:$I$89,3,0)*0.475*44/12</f>
        <v>0.19664924588946858</v>
      </c>
      <c r="AW166" s="21">
        <f>EXP(-LN(2)/2)*AW165+(1-EXP(-LN(2)/2))/(LN(2)/2)*AQ166*AT166*VLOOKUP('Données projet'!$B$10,Paramètres!$A$1:$I$89,3,0)*0.475*44/12</f>
        <v>9.4222571680668456E-20</v>
      </c>
      <c r="AX166" s="21">
        <f t="shared" si="166"/>
        <v>0.42169229149042803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261.27638267284169</v>
      </c>
      <c r="BJ166" s="59">
        <f t="shared" si="146"/>
        <v>297.50513563712764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0.59904506493897658</v>
      </c>
      <c r="BQ166" s="21">
        <f>EXP(-LN(2)/25)*BQ165+(1-EXP(-LN(2)/25))/(LN(2)/25)*Calculateur!BL166*Calculateur!BN166*VLOOKUP('Données projet'!$B$11,Paramètres!$A$1:$I$89,3,0)*0.475*44/12</f>
        <v>0.69767848483675199</v>
      </c>
      <c r="BR166" s="21">
        <f>EXP(-LN(2)/2)*BR165+(1-EXP(-LN(2)/2))/(LN(2)/2)*BL166*BO166*VLOOKUP('Données projet'!$B$11,Paramètres!$A$1:$I$89,3,0)*0.475*44/12</f>
        <v>2.3383866080912301E-19</v>
      </c>
      <c r="BS166" s="22">
        <f t="shared" si="169"/>
        <v>1.2967235497757286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-1.1368683772161603E-13</v>
      </c>
      <c r="BZ166" s="13">
        <f>BY166*VLOOKUP('Données projet'!$B$12,Paramètres!$A$1:$I$89,3,0)*VLOOKUP('Données projet'!$B$12,Paramètres!$A$1:$I$89,5,0)</f>
        <v>-6.7984728957526396E-14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314.69202393413491</v>
      </c>
      <c r="CE166" s="59">
        <f t="shared" si="148"/>
        <v>321.1728368524748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0.25116212358118578</v>
      </c>
      <c r="CL166" s="21">
        <f>EXP(-LN(2)/25)*CL165+(1-EXP(-LN(2)/25))/(LN(2)/25)*Calculateur!CG166*Calculateur!CI166*VLOOKUP('Données projet'!$B$12,Paramètres!$A$1:$I$89,3,0)*0.475*44/12</f>
        <v>0.53420641983766304</v>
      </c>
      <c r="CM166" s="21">
        <f>EXP(-LN(2)/2)*CM165+(1-EXP(-LN(2)/2))/(LN(2)/2)*CG166*CJ166*VLOOKUP('Données projet'!$B$12,Paramètres!$A$1:$I$89,3,0)*0.475*44/12</f>
        <v>2.9039939189924152E-19</v>
      </c>
      <c r="CN166" s="22">
        <f t="shared" si="172"/>
        <v>0.78536854341884887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-1.2505552149377763E-12</v>
      </c>
      <c r="O167" s="13">
        <f>N167*VLOOKUP('Données projet'!$B$9,Paramètres!$A$1:$I$89,3,0)*VLOOKUP('Données projet'!$B$9,Paramètres!$A$1:$I$89,5,0)</f>
        <v>-6.9906036515021697E-13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415.91544298418842</v>
      </c>
      <c r="T167" s="59">
        <f t="shared" si="142"/>
        <v>422.79312683312583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0.80379637751837596</v>
      </c>
      <c r="AA167" s="21">
        <f>EXP(-LN(2)/25)*AA166+(1-EXP(-LN(2)/25))/(LN(2)/25)*Calculateur!V167*Calculateur!X167*VLOOKUP('Données projet'!$B$9,Paramètres!$A$1:$I$89,3,0)*0.475*44/12</f>
        <v>0.94374873382546731</v>
      </c>
      <c r="AB167" s="21">
        <f>EXP(-LN(2)/2)*AB166+(1-EXP(-LN(2)/2))/(LN(2)/2)*V167*Y167*VLOOKUP('Données projet'!$B$9,Paramètres!$A$1:$I$89,3,0)*0.475*44/12</f>
        <v>2.4714314901114534E-19</v>
      </c>
      <c r="AC167" s="22">
        <f t="shared" si="163"/>
        <v>1.7475451113438432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-5.3205440053716299E-14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215.23235148064941</v>
      </c>
      <c r="AO167" s="59">
        <f t="shared" si="144"/>
        <v>184.07239726900434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0.22063008873942888</v>
      </c>
      <c r="AV167" s="21">
        <f>EXP(-LN(2)/25)*AV166+(1-EXP(-LN(2)/25))/(LN(2)/25)*Calculateur!AQ167*Calculateur!AS167*VLOOKUP('Données projet'!$B$10,Paramètres!$A$1:$I$89,3,0)*0.475*44/12</f>
        <v>0.19127186191928666</v>
      </c>
      <c r="AW167" s="21">
        <f>EXP(-LN(2)/2)*AW166+(1-EXP(-LN(2)/2))/(LN(2)/2)*AQ167*AT167*VLOOKUP('Données projet'!$B$10,Paramètres!$A$1:$I$89,3,0)*0.475*44/12</f>
        <v>6.6625419376236218E-20</v>
      </c>
      <c r="AX167" s="21">
        <f t="shared" si="166"/>
        <v>0.41190195065871554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261.27638267284169</v>
      </c>
      <c r="BJ167" s="59">
        <f t="shared" si="146"/>
        <v>297.50513563712764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0.58729815659693441</v>
      </c>
      <c r="BQ167" s="21">
        <f>EXP(-LN(2)/25)*BQ166+(1-EXP(-LN(2)/25))/(LN(2)/25)*Calculateur!BL167*Calculateur!BN167*VLOOKUP('Données projet'!$B$11,Paramètres!$A$1:$I$89,3,0)*0.475*44/12</f>
        <v>0.67860042997957404</v>
      </c>
      <c r="BR167" s="21">
        <f>EXP(-LN(2)/2)*BR166+(1-EXP(-LN(2)/2))/(LN(2)/2)*BL167*BO167*VLOOKUP('Données projet'!$B$11,Paramètres!$A$1:$I$89,3,0)*0.475*44/12</f>
        <v>1.6534890276171185E-19</v>
      </c>
      <c r="BS167" s="22">
        <f t="shared" si="169"/>
        <v>1.2658985865765084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-1.1368683772161603E-13</v>
      </c>
      <c r="BZ167" s="13">
        <f>BY167*VLOOKUP('Données projet'!$B$12,Paramètres!$A$1:$I$89,3,0)*VLOOKUP('Données projet'!$B$12,Paramètres!$A$1:$I$89,5,0)</f>
        <v>-6.7984728957526396E-14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314.69202393413491</v>
      </c>
      <c r="CE167" s="59">
        <f t="shared" si="148"/>
        <v>321.1728368524748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0.24623698753152748</v>
      </c>
      <c r="CL167" s="21">
        <f>EXP(-LN(2)/25)*CL166+(1-EXP(-LN(2)/25))/(LN(2)/25)*Calculateur!CG167*Calculateur!CI167*VLOOKUP('Données projet'!$B$12,Paramètres!$A$1:$I$89,3,0)*0.475*44/12</f>
        <v>0.51959851719450745</v>
      </c>
      <c r="CM167" s="21">
        <f>EXP(-LN(2)/2)*CM166+(1-EXP(-LN(2)/2))/(LN(2)/2)*CG167*CJ167*VLOOKUP('Données projet'!$B$12,Paramètres!$A$1:$I$89,3,0)*0.475*44/12</f>
        <v>2.0534337926440344E-19</v>
      </c>
      <c r="CN167" s="22">
        <f t="shared" si="172"/>
        <v>0.7658355047260349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-1.2505552149377763E-12</v>
      </c>
      <c r="O168" s="13">
        <f>N168*VLOOKUP('Données projet'!$B$9,Paramètres!$A$1:$I$89,3,0)*VLOOKUP('Données projet'!$B$9,Paramètres!$A$1:$I$89,5,0)</f>
        <v>-6.9906036515021697E-13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415.91544298418842</v>
      </c>
      <c r="T168" s="59">
        <f t="shared" si="142"/>
        <v>422.79312683312583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0.78803442082262098</v>
      </c>
      <c r="AA168" s="21">
        <f>EXP(-LN(2)/25)*AA167+(1-EXP(-LN(2)/25))/(LN(2)/25)*Calculateur!V168*Calculateur!X168*VLOOKUP('Données projet'!$B$9,Paramètres!$A$1:$I$89,3,0)*0.475*44/12</f>
        <v>0.91794187506942093</v>
      </c>
      <c r="AB168" s="21">
        <f>EXP(-LN(2)/2)*AB167+(1-EXP(-LN(2)/2))/(LN(2)/2)*V168*Y168*VLOOKUP('Données projet'!$B$9,Paramètres!$A$1:$I$89,3,0)*0.475*44/12</f>
        <v>1.7475659658957826E-19</v>
      </c>
      <c r="AC168" s="22">
        <f t="shared" si="163"/>
        <v>1.7059762958920419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-5.3205440053716299E-14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215.23235148064941</v>
      </c>
      <c r="AO168" s="59">
        <f t="shared" si="144"/>
        <v>184.07239726900434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0.21630366727031503</v>
      </c>
      <c r="AV168" s="21">
        <f>EXP(-LN(2)/25)*AV167+(1-EXP(-LN(2)/25))/(LN(2)/25)*Calculateur!AQ168*Calculateur!AS168*VLOOKUP('Données projet'!$B$10,Paramètres!$A$1:$I$89,3,0)*0.475*44/12</f>
        <v>0.1860415227965537</v>
      </c>
      <c r="AW168" s="21">
        <f>EXP(-LN(2)/2)*AW167+(1-EXP(-LN(2)/2))/(LN(2)/2)*AQ168*AT168*VLOOKUP('Données projet'!$B$10,Paramètres!$A$1:$I$89,3,0)*0.475*44/12</f>
        <v>4.7111285840334228E-20</v>
      </c>
      <c r="AX168" s="21">
        <f t="shared" si="166"/>
        <v>0.40234519006686875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261.27638267284169</v>
      </c>
      <c r="BJ168" s="59">
        <f t="shared" si="146"/>
        <v>297.50513563712764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0.57578159796257311</v>
      </c>
      <c r="BQ168" s="21">
        <f>EXP(-LN(2)/25)*BQ167+(1-EXP(-LN(2)/25))/(LN(2)/25)*Calculateur!BL168*Calculateur!BN168*VLOOKUP('Données projet'!$B$11,Paramètres!$A$1:$I$89,3,0)*0.475*44/12</f>
        <v>0.66004406553573691</v>
      </c>
      <c r="BR168" s="21">
        <f>EXP(-LN(2)/2)*BR167+(1-EXP(-LN(2)/2))/(LN(2)/2)*BL168*BO168*VLOOKUP('Données projet'!$B$11,Paramètres!$A$1:$I$89,3,0)*0.475*44/12</f>
        <v>1.169193304045615E-19</v>
      </c>
      <c r="BS168" s="22">
        <f t="shared" si="169"/>
        <v>1.23582566349831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-1.1368683772161603E-13</v>
      </c>
      <c r="BZ168" s="13">
        <f>BY168*VLOOKUP('Données projet'!$B$12,Paramètres!$A$1:$I$89,3,0)*VLOOKUP('Données projet'!$B$12,Paramètres!$A$1:$I$89,5,0)</f>
        <v>-6.7984728957526396E-14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314.69202393413491</v>
      </c>
      <c r="CE168" s="59">
        <f t="shared" si="148"/>
        <v>321.1728368524748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0.24140843039576662</v>
      </c>
      <c r="CL168" s="21">
        <f>EXP(-LN(2)/25)*CL167+(1-EXP(-LN(2)/25))/(LN(2)/25)*Calculateur!CG168*Calculateur!CI168*VLOOKUP('Données projet'!$B$12,Paramètres!$A$1:$I$89,3,0)*0.475*44/12</f>
        <v>0.50539006841732514</v>
      </c>
      <c r="CM168" s="21">
        <f>EXP(-LN(2)/2)*CM167+(1-EXP(-LN(2)/2))/(LN(2)/2)*CG168*CJ168*VLOOKUP('Données projet'!$B$12,Paramètres!$A$1:$I$89,3,0)*0.475*44/12</f>
        <v>1.4519969594962076E-19</v>
      </c>
      <c r="CN168" s="22">
        <f t="shared" si="172"/>
        <v>0.74679849881309179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-1.2505552149377763E-12</v>
      </c>
      <c r="O169" s="13">
        <f>N169*VLOOKUP('Données projet'!$B$9,Paramètres!$A$1:$I$89,3,0)*VLOOKUP('Données projet'!$B$9,Paramètres!$A$1:$I$89,5,0)</f>
        <v>-6.9906036515021697E-13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415.91544298418842</v>
      </c>
      <c r="T169" s="59">
        <f t="shared" si="142"/>
        <v>422.79312683312583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0.77258154648382549</v>
      </c>
      <c r="AA169" s="21">
        <f>EXP(-LN(2)/25)*AA168+(1-EXP(-LN(2)/25))/(LN(2)/25)*Calculateur!V169*Calculateur!X169*VLOOKUP('Données projet'!$B$9,Paramètres!$A$1:$I$89,3,0)*0.475*44/12</f>
        <v>0.89284070622318235</v>
      </c>
      <c r="AB169" s="21">
        <f>EXP(-LN(2)/2)*AB168+(1-EXP(-LN(2)/2))/(LN(2)/2)*V169*Y169*VLOOKUP('Données projet'!$B$9,Paramètres!$A$1:$I$89,3,0)*0.475*44/12</f>
        <v>1.2357157450557267E-19</v>
      </c>
      <c r="AC169" s="22">
        <f t="shared" si="163"/>
        <v>1.6654222527070077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-5.3205440053716299E-14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215.23235148064941</v>
      </c>
      <c r="AO169" s="59">
        <f t="shared" si="144"/>
        <v>184.07239726900434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0.21206208428735396</v>
      </c>
      <c r="AV169" s="21">
        <f>EXP(-LN(2)/25)*AV168+(1-EXP(-LN(2)/25))/(LN(2)/25)*Calculateur!AQ169*Calculateur!AS169*VLOOKUP('Données projet'!$B$10,Paramètres!$A$1:$I$89,3,0)*0.475*44/12</f>
        <v>0.18095420757218345</v>
      </c>
      <c r="AW169" s="21">
        <f>EXP(-LN(2)/2)*AW168+(1-EXP(-LN(2)/2))/(LN(2)/2)*AQ169*AT169*VLOOKUP('Données projet'!$B$10,Paramètres!$A$1:$I$89,3,0)*0.475*44/12</f>
        <v>3.3312709688118109E-20</v>
      </c>
      <c r="AX169" s="21">
        <f t="shared" si="166"/>
        <v>0.3930162918595374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261.27638267284169</v>
      </c>
      <c r="BJ169" s="59">
        <f t="shared" si="146"/>
        <v>297.50513563712764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0.56449087201862447</v>
      </c>
      <c r="BQ169" s="21">
        <f>EXP(-LN(2)/25)*BQ168+(1-EXP(-LN(2)/25))/(LN(2)/25)*Calculateur!BL169*Calculateur!BN169*VLOOKUP('Données projet'!$B$11,Paramètres!$A$1:$I$89,3,0)*0.475*44/12</f>
        <v>0.64199512585345331</v>
      </c>
      <c r="BR169" s="21">
        <f>EXP(-LN(2)/2)*BR168+(1-EXP(-LN(2)/2))/(LN(2)/2)*BL169*BO169*VLOOKUP('Données projet'!$B$11,Paramètres!$A$1:$I$89,3,0)*0.475*44/12</f>
        <v>8.2674451380855925E-20</v>
      </c>
      <c r="BS169" s="22">
        <f t="shared" si="169"/>
        <v>1.2064859978720777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-1.1368683772161603E-13</v>
      </c>
      <c r="BZ169" s="13">
        <f>BY169*VLOOKUP('Données projet'!$B$12,Paramètres!$A$1:$I$89,3,0)*VLOOKUP('Données projet'!$B$12,Paramètres!$A$1:$I$89,5,0)</f>
        <v>-6.7984728957526396E-14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314.69202393413491</v>
      </c>
      <c r="CE169" s="59">
        <f t="shared" si="148"/>
        <v>321.1728368524748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0.23667455832030898</v>
      </c>
      <c r="CL169" s="21">
        <f>EXP(-LN(2)/25)*CL168+(1-EXP(-LN(2)/25))/(LN(2)/25)*Calculateur!CG169*Calculateur!CI169*VLOOKUP('Données projet'!$B$12,Paramètres!$A$1:$I$89,3,0)*0.475*44/12</f>
        <v>0.49157015041914476</v>
      </c>
      <c r="CM169" s="21">
        <f>EXP(-LN(2)/2)*CM168+(1-EXP(-LN(2)/2))/(LN(2)/2)*CG169*CJ169*VLOOKUP('Données projet'!$B$12,Paramètres!$A$1:$I$89,3,0)*0.475*44/12</f>
        <v>1.0267168963220172E-19</v>
      </c>
      <c r="CN169" s="22">
        <f t="shared" si="172"/>
        <v>0.72824470873945368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-1.2505552149377763E-12</v>
      </c>
      <c r="O170" s="13">
        <f>N170*VLOOKUP('Données projet'!$B$9,Paramètres!$A$1:$I$89,3,0)*VLOOKUP('Données projet'!$B$9,Paramètres!$A$1:$I$89,5,0)</f>
        <v>-6.9906036515021697E-13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415.91544298418842</v>
      </c>
      <c r="T170" s="59">
        <f t="shared" si="142"/>
        <v>422.79312683312583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0.75743169358549112</v>
      </c>
      <c r="AA170" s="21">
        <f>EXP(-LN(2)/25)*AA169+(1-EXP(-LN(2)/25))/(LN(2)/25)*Calculateur!V170*Calculateur!X170*VLOOKUP('Données projet'!$B$9,Paramètres!$A$1:$I$89,3,0)*0.475*44/12</f>
        <v>0.86842593015905734</v>
      </c>
      <c r="AB170" s="21">
        <f>EXP(-LN(2)/2)*AB169+(1-EXP(-LN(2)/2))/(LN(2)/2)*V170*Y170*VLOOKUP('Données projet'!$B$9,Paramètres!$A$1:$I$89,3,0)*0.475*44/12</f>
        <v>8.737829829478913E-20</v>
      </c>
      <c r="AC170" s="22">
        <f t="shared" si="163"/>
        <v>1.6258576237445483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-5.3205440053716299E-14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215.23235148064941</v>
      </c>
      <c r="AO170" s="59">
        <f t="shared" si="144"/>
        <v>184.07239726900434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0.20790367615957858</v>
      </c>
      <c r="AV170" s="21">
        <f>EXP(-LN(2)/25)*AV169+(1-EXP(-LN(2)/25))/(LN(2)/25)*Calculateur!AQ170*Calculateur!AS170*VLOOKUP('Données projet'!$B$10,Paramètres!$A$1:$I$89,3,0)*0.475*44/12</f>
        <v>0.17600600525015389</v>
      </c>
      <c r="AW170" s="21">
        <f>EXP(-LN(2)/2)*AW169+(1-EXP(-LN(2)/2))/(LN(2)/2)*AQ170*AT170*VLOOKUP('Données projet'!$B$10,Paramètres!$A$1:$I$89,3,0)*0.475*44/12</f>
        <v>2.3555642920167114E-20</v>
      </c>
      <c r="AX170" s="21">
        <f t="shared" si="166"/>
        <v>0.38390968140973247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261.27638267284169</v>
      </c>
      <c r="BJ170" s="59">
        <f t="shared" si="146"/>
        <v>297.50513563712764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0.55342155032377383</v>
      </c>
      <c r="BQ170" s="21">
        <f>EXP(-LN(2)/25)*BQ169+(1-EXP(-LN(2)/25))/(LN(2)/25)*Calculateur!BL170*Calculateur!BN170*VLOOKUP('Données projet'!$B$11,Paramètres!$A$1:$I$89,3,0)*0.475*44/12</f>
        <v>0.62443973537593422</v>
      </c>
      <c r="BR170" s="21">
        <f>EXP(-LN(2)/2)*BR169+(1-EXP(-LN(2)/2))/(LN(2)/2)*BL170*BO170*VLOOKUP('Données projet'!$B$11,Paramètres!$A$1:$I$89,3,0)*0.475*44/12</f>
        <v>5.8459665202280752E-20</v>
      </c>
      <c r="BS170" s="22">
        <f t="shared" si="169"/>
        <v>1.1778612856997079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-1.1368683772161603E-13</v>
      </c>
      <c r="BZ170" s="13">
        <f>BY170*VLOOKUP('Données projet'!$B$12,Paramètres!$A$1:$I$89,3,0)*VLOOKUP('Données projet'!$B$12,Paramètres!$A$1:$I$89,5,0)</f>
        <v>-6.7984728957526396E-14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314.69202393413491</v>
      </c>
      <c r="CE170" s="59">
        <f t="shared" si="148"/>
        <v>321.1728368524748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0.2320335145888742</v>
      </c>
      <c r="CL170" s="21">
        <f>EXP(-LN(2)/25)*CL169+(1-EXP(-LN(2)/25))/(LN(2)/25)*Calculateur!CG170*Calculateur!CI170*VLOOKUP('Données projet'!$B$12,Paramètres!$A$1:$I$89,3,0)*0.475*44/12</f>
        <v>0.47812813880538252</v>
      </c>
      <c r="CM170" s="21">
        <f>EXP(-LN(2)/2)*CM169+(1-EXP(-LN(2)/2))/(LN(2)/2)*CG170*CJ170*VLOOKUP('Données projet'!$B$12,Paramètres!$A$1:$I$89,3,0)*0.475*44/12</f>
        <v>7.2599847974810379E-20</v>
      </c>
      <c r="CN170" s="22">
        <f t="shared" si="172"/>
        <v>0.71016165339425674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-1.2505552149377763E-12</v>
      </c>
      <c r="O171" s="13">
        <f>N171*VLOOKUP('Données projet'!$B$9,Paramètres!$A$1:$I$89,3,0)*VLOOKUP('Données projet'!$B$9,Paramètres!$A$1:$I$89,5,0)</f>
        <v>-6.9906036515021697E-13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415.91544298418842</v>
      </c>
      <c r="T171" s="59">
        <f t="shared" si="142"/>
        <v>422.79312683312583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0.74257892006199522</v>
      </c>
      <c r="AA171" s="21">
        <f>EXP(-LN(2)/25)*AA170+(1-EXP(-LN(2)/25))/(LN(2)/25)*Calculateur!V171*Calculateur!X171*VLOOKUP('Données projet'!$B$9,Paramètres!$A$1:$I$89,3,0)*0.475*44/12</f>
        <v>0.84467877743032305</v>
      </c>
      <c r="AB171" s="21">
        <f>EXP(-LN(2)/2)*AB170+(1-EXP(-LN(2)/2))/(LN(2)/2)*V171*Y171*VLOOKUP('Données projet'!$B$9,Paramètres!$A$1:$I$89,3,0)*0.475*44/12</f>
        <v>6.1785787252786335E-20</v>
      </c>
      <c r="AC171" s="22">
        <f t="shared" si="163"/>
        <v>1.5872576974923183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-5.3205440053716299E-14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215.23235148064941</v>
      </c>
      <c r="AO171" s="59">
        <f t="shared" si="144"/>
        <v>184.07239726900434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0.20382681187881038</v>
      </c>
      <c r="AV171" s="21">
        <f>EXP(-LN(2)/25)*AV170+(1-EXP(-LN(2)/25))/(LN(2)/25)*Calculateur!AQ171*Calculateur!AS171*VLOOKUP('Données projet'!$B$10,Paramètres!$A$1:$I$89,3,0)*0.475*44/12</f>
        <v>0.17119311178083488</v>
      </c>
      <c r="AW171" s="21">
        <f>EXP(-LN(2)/2)*AW170+(1-EXP(-LN(2)/2))/(LN(2)/2)*AQ171*AT171*VLOOKUP('Données projet'!$B$10,Paramètres!$A$1:$I$89,3,0)*0.475*44/12</f>
        <v>1.6656354844059055E-20</v>
      </c>
      <c r="AX171" s="21">
        <f t="shared" si="166"/>
        <v>0.37501992365964526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261.27638267284169</v>
      </c>
      <c r="BJ171" s="59">
        <f t="shared" si="146"/>
        <v>297.50513563712764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0.54256929127573961</v>
      </c>
      <c r="BQ171" s="21">
        <f>EXP(-LN(2)/25)*BQ170+(1-EXP(-LN(2)/25))/(LN(2)/25)*Calculateur!BL171*Calculateur!BN171*VLOOKUP('Données projet'!$B$11,Paramètres!$A$1:$I$89,3,0)*0.475*44/12</f>
        <v>0.60736439797422082</v>
      </c>
      <c r="BR171" s="21">
        <f>EXP(-LN(2)/2)*BR170+(1-EXP(-LN(2)/2))/(LN(2)/2)*BL171*BO171*VLOOKUP('Données projet'!$B$11,Paramètres!$A$1:$I$89,3,0)*0.475*44/12</f>
        <v>4.1337225690427963E-20</v>
      </c>
      <c r="BS171" s="22">
        <f t="shared" si="169"/>
        <v>1.1499336892499605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-1.1368683772161603E-13</v>
      </c>
      <c r="BZ171" s="13">
        <f>BY171*VLOOKUP('Données projet'!$B$12,Paramètres!$A$1:$I$89,3,0)*VLOOKUP('Données projet'!$B$12,Paramètres!$A$1:$I$89,5,0)</f>
        <v>-6.7984728957526396E-14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314.69202393413491</v>
      </c>
      <c r="CE171" s="59">
        <f t="shared" si="148"/>
        <v>321.1728368524748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0.22748347889425569</v>
      </c>
      <c r="CL171" s="21">
        <f>EXP(-LN(2)/25)*CL170+(1-EXP(-LN(2)/25))/(LN(2)/25)*Calculateur!CG171*Calculateur!CI171*VLOOKUP('Données projet'!$B$12,Paramètres!$A$1:$I$89,3,0)*0.475*44/12</f>
        <v>0.46505369970608329</v>
      </c>
      <c r="CM171" s="21">
        <f>EXP(-LN(2)/2)*CM170+(1-EXP(-LN(2)/2))/(LN(2)/2)*CG171*CJ171*VLOOKUP('Données projet'!$B$12,Paramètres!$A$1:$I$89,3,0)*0.475*44/12</f>
        <v>5.1335844816100859E-20</v>
      </c>
      <c r="CN171" s="22">
        <f t="shared" si="172"/>
        <v>0.69253717860033892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-1.2505552149377763E-12</v>
      </c>
      <c r="O172" s="13">
        <f>N172*VLOOKUP('Données projet'!$B$9,Paramètres!$A$1:$I$89,3,0)*VLOOKUP('Données projet'!$B$9,Paramètres!$A$1:$I$89,5,0)</f>
        <v>-6.9906036515021697E-13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415.91544298418842</v>
      </c>
      <c r="T172" s="59">
        <f t="shared" si="142"/>
        <v>422.79312683312583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0.72801740036799778</v>
      </c>
      <c r="AA172" s="21">
        <f>EXP(-LN(2)/25)*AA171+(1-EXP(-LN(2)/25))/(LN(2)/25)*Calculateur!V172*Calculateur!X172*VLOOKUP('Données projet'!$B$9,Paramètres!$A$1:$I$89,3,0)*0.475*44/12</f>
        <v>0.82158099184176447</v>
      </c>
      <c r="AB172" s="21">
        <f>EXP(-LN(2)/2)*AB171+(1-EXP(-LN(2)/2))/(LN(2)/2)*V172*Y172*VLOOKUP('Données projet'!$B$9,Paramètres!$A$1:$I$89,3,0)*0.475*44/12</f>
        <v>4.3689149147394565E-20</v>
      </c>
      <c r="AC172" s="22">
        <f t="shared" si="163"/>
        <v>1.5495983922097623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-5.3205440053716299E-14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215.23235148064941</v>
      </c>
      <c r="AO172" s="59">
        <f t="shared" si="144"/>
        <v>184.07239726900434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0.19982989241994636</v>
      </c>
      <c r="AV172" s="21">
        <f>EXP(-LN(2)/25)*AV171+(1-EXP(-LN(2)/25))/(LN(2)/25)*Calculateur!AQ172*Calculateur!AS172*VLOOKUP('Données projet'!$B$10,Paramètres!$A$1:$I$89,3,0)*0.475*44/12</f>
        <v>0.16651182713653348</v>
      </c>
      <c r="AW172" s="21">
        <f>EXP(-LN(2)/2)*AW171+(1-EXP(-LN(2)/2))/(LN(2)/2)*AQ172*AT172*VLOOKUP('Données projet'!$B$10,Paramètres!$A$1:$I$89,3,0)*0.475*44/12</f>
        <v>1.1777821460083557E-20</v>
      </c>
      <c r="AX172" s="21">
        <f t="shared" si="166"/>
        <v>0.36634171955647987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261.27638267284169</v>
      </c>
      <c r="BJ172" s="59">
        <f t="shared" si="146"/>
        <v>297.50513563712764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0.5319298384084129</v>
      </c>
      <c r="BQ172" s="21">
        <f>EXP(-LN(2)/25)*BQ171+(1-EXP(-LN(2)/25))/(LN(2)/25)*Calculateur!BL172*Calculateur!BN172*VLOOKUP('Données projet'!$B$11,Paramètres!$A$1:$I$89,3,0)*0.475*44/12</f>
        <v>0.59075598657171025</v>
      </c>
      <c r="BR172" s="21">
        <f>EXP(-LN(2)/2)*BR171+(1-EXP(-LN(2)/2))/(LN(2)/2)*BL172*BO172*VLOOKUP('Données projet'!$B$11,Paramètres!$A$1:$I$89,3,0)*0.475*44/12</f>
        <v>2.9229832601140376E-20</v>
      </c>
      <c r="BS172" s="22">
        <f t="shared" si="169"/>
        <v>1.122685824980123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-1.1368683772161603E-13</v>
      </c>
      <c r="BZ172" s="13">
        <f>BY172*VLOOKUP('Données projet'!$B$12,Paramètres!$A$1:$I$89,3,0)*VLOOKUP('Données projet'!$B$12,Paramètres!$A$1:$I$89,5,0)</f>
        <v>-6.7984728957526396E-14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314.69202393413491</v>
      </c>
      <c r="CE172" s="59">
        <f t="shared" si="148"/>
        <v>321.1728368524748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0.2230226666243609</v>
      </c>
      <c r="CL172" s="21">
        <f>EXP(-LN(2)/25)*CL171+(1-EXP(-LN(2)/25))/(LN(2)/25)*Calculateur!CG172*Calculateur!CI172*VLOOKUP('Données projet'!$B$12,Paramètres!$A$1:$I$89,3,0)*0.475*44/12</f>
        <v>0.45233678183150927</v>
      </c>
      <c r="CM172" s="21">
        <f>EXP(-LN(2)/2)*CM171+(1-EXP(-LN(2)/2))/(LN(2)/2)*CG172*CJ172*VLOOKUP('Données projet'!$B$12,Paramètres!$A$1:$I$89,3,0)*0.475*44/12</f>
        <v>3.629992398740519E-20</v>
      </c>
      <c r="CN172" s="22">
        <f t="shared" si="172"/>
        <v>0.67535944845587015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-1.2505552149377763E-12</v>
      </c>
      <c r="O173" s="13">
        <f>N173*VLOOKUP('Données projet'!$B$9,Paramètres!$A$1:$I$89,3,0)*VLOOKUP('Données projet'!$B$9,Paramètres!$A$1:$I$89,5,0)</f>
        <v>-6.9906036515021697E-13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415.91544298418842</v>
      </c>
      <c r="T173" s="59">
        <f t="shared" si="142"/>
        <v>422.79312683312583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0.71374142319354961</v>
      </c>
      <c r="AA173" s="21">
        <f>EXP(-LN(2)/25)*AA172+(1-EXP(-LN(2)/25))/(LN(2)/25)*Calculateur!V173*Calculateur!X173*VLOOKUP('Données projet'!$B$9,Paramètres!$A$1:$I$89,3,0)*0.475*44/12</f>
        <v>0.79911481641478477</v>
      </c>
      <c r="AB173" s="21">
        <f>EXP(-LN(2)/2)*AB172+(1-EXP(-LN(2)/2))/(LN(2)/2)*V173*Y173*VLOOKUP('Données projet'!$B$9,Paramètres!$A$1:$I$89,3,0)*0.475*44/12</f>
        <v>3.0892893626393168E-20</v>
      </c>
      <c r="AC173" s="22">
        <f t="shared" si="163"/>
        <v>1.5128562396083343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-5.3205440053716299E-14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215.23235148064941</v>
      </c>
      <c r="AO173" s="59">
        <f t="shared" si="144"/>
        <v>184.07239726900434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0.19591135011379052</v>
      </c>
      <c r="AV173" s="21">
        <f>EXP(-LN(2)/25)*AV172+(1-EXP(-LN(2)/25))/(LN(2)/25)*Calculateur!AQ173*Calculateur!AS173*VLOOKUP('Données projet'!$B$10,Paramètres!$A$1:$I$89,3,0)*0.475*44/12</f>
        <v>0.16195855246700855</v>
      </c>
      <c r="AW173" s="21">
        <f>EXP(-LN(2)/2)*AW172+(1-EXP(-LN(2)/2))/(LN(2)/2)*AQ173*AT173*VLOOKUP('Données projet'!$B$10,Paramètres!$A$1:$I$89,3,0)*0.475*44/12</f>
        <v>8.3281774220295273E-21</v>
      </c>
      <c r="AX173" s="21">
        <f t="shared" si="166"/>
        <v>0.35786990258079909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261.27638267284169</v>
      </c>
      <c r="BJ173" s="59">
        <f t="shared" si="146"/>
        <v>297.50513563712764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0.52149901872238902</v>
      </c>
      <c r="BQ173" s="21">
        <f>EXP(-LN(2)/25)*BQ172+(1-EXP(-LN(2)/25))/(LN(2)/25)*Calculateur!BL173*Calculateur!BN173*VLOOKUP('Données projet'!$B$11,Paramètres!$A$1:$I$89,3,0)*0.475*44/12</f>
        <v>0.5746017330523997</v>
      </c>
      <c r="BR173" s="21">
        <f>EXP(-LN(2)/2)*BR172+(1-EXP(-LN(2)/2))/(LN(2)/2)*BL173*BO173*VLOOKUP('Données projet'!$B$11,Paramètres!$A$1:$I$89,3,0)*0.475*44/12</f>
        <v>2.0668612845213981E-20</v>
      </c>
      <c r="BS173" s="22">
        <f t="shared" si="169"/>
        <v>1.0961007517747887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-1.1368683772161603E-13</v>
      </c>
      <c r="BZ173" s="13">
        <f>BY173*VLOOKUP('Données projet'!$B$12,Paramètres!$A$1:$I$89,3,0)*VLOOKUP('Données projet'!$B$12,Paramètres!$A$1:$I$89,5,0)</f>
        <v>-6.7984728957526396E-14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314.69202393413491</v>
      </c>
      <c r="CE173" s="59">
        <f t="shared" si="148"/>
        <v>321.1728368524748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0.21864932816225194</v>
      </c>
      <c r="CL173" s="21">
        <f>EXP(-LN(2)/25)*CL172+(1-EXP(-LN(2)/25))/(LN(2)/25)*Calculateur!CG173*Calculateur!CI173*VLOOKUP('Données projet'!$B$12,Paramètres!$A$1:$I$89,3,0)*0.475*44/12</f>
        <v>0.4399676087449691</v>
      </c>
      <c r="CM173" s="21">
        <f>EXP(-LN(2)/2)*CM172+(1-EXP(-LN(2)/2))/(LN(2)/2)*CG173*CJ173*VLOOKUP('Données projet'!$B$12,Paramètres!$A$1:$I$89,3,0)*0.475*44/12</f>
        <v>2.566792240805043E-20</v>
      </c>
      <c r="CN173" s="22">
        <f t="shared" si="172"/>
        <v>0.65861693690722101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-1.2505552149377763E-12</v>
      </c>
      <c r="O174" s="13">
        <f>N174*VLOOKUP('Données projet'!$B$9,Paramètres!$A$1:$I$89,3,0)*VLOOKUP('Données projet'!$B$9,Paramètres!$A$1:$I$89,5,0)</f>
        <v>-6.9906036515021697E-13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415.91544298418842</v>
      </c>
      <c r="T174" s="59">
        <f t="shared" si="142"/>
        <v>422.79312683312583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0.69974538922400609</v>
      </c>
      <c r="AA174" s="21">
        <f>EXP(-LN(2)/25)*AA173+(1-EXP(-LN(2)/25))/(LN(2)/25)*Calculateur!V174*Calculateur!X174*VLOOKUP('Données projet'!$B$9,Paramètres!$A$1:$I$89,3,0)*0.475*44/12</f>
        <v>0.77726297973630065</v>
      </c>
      <c r="AB174" s="21">
        <f>EXP(-LN(2)/2)*AB173+(1-EXP(-LN(2)/2))/(LN(2)/2)*V174*Y174*VLOOKUP('Données projet'!$B$9,Paramètres!$A$1:$I$89,3,0)*0.475*44/12</f>
        <v>2.1844574573697283E-20</v>
      </c>
      <c r="AC174" s="22">
        <f t="shared" si="163"/>
        <v>1.4770083689603068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-5.3205440053716299E-14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215.23235148064941</v>
      </c>
      <c r="AO174" s="59">
        <f t="shared" si="144"/>
        <v>184.07239726900434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0.1920696480321836</v>
      </c>
      <c r="AV174" s="21">
        <f>EXP(-LN(2)/25)*AV173+(1-EXP(-LN(2)/25))/(LN(2)/25)*Calculateur!AQ174*Calculateur!AS174*VLOOKUP('Données projet'!$B$10,Paramètres!$A$1:$I$89,3,0)*0.475*44/12</f>
        <v>0.1575297873327681</v>
      </c>
      <c r="AW174" s="21">
        <f>EXP(-LN(2)/2)*AW173+(1-EXP(-LN(2)/2))/(LN(2)/2)*AQ174*AT174*VLOOKUP('Données projet'!$B$10,Paramètres!$A$1:$I$89,3,0)*0.475*44/12</f>
        <v>5.8889107300417785E-21</v>
      </c>
      <c r="AX174" s="21">
        <f t="shared" si="166"/>
        <v>0.34959943536495169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261.27638267284169</v>
      </c>
      <c r="BJ174" s="59">
        <f t="shared" si="146"/>
        <v>297.50513563712764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0.51127274104823628</v>
      </c>
      <c r="BQ174" s="21">
        <f>EXP(-LN(2)/25)*BQ173+(1-EXP(-LN(2)/25))/(LN(2)/25)*Calculateur!BL174*Calculateur!BN174*VLOOKUP('Données projet'!$B$11,Paramètres!$A$1:$I$89,3,0)*0.475*44/12</f>
        <v>0.55888921844508999</v>
      </c>
      <c r="BR174" s="21">
        <f>EXP(-LN(2)/2)*BR173+(1-EXP(-LN(2)/2))/(LN(2)/2)*BL174*BO174*VLOOKUP('Données projet'!$B$11,Paramètres!$A$1:$I$89,3,0)*0.475*44/12</f>
        <v>1.4614916300570188E-20</v>
      </c>
      <c r="BS174" s="22">
        <f t="shared" si="169"/>
        <v>1.0701619594933263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-1.1368683772161603E-13</v>
      </c>
      <c r="BZ174" s="13">
        <f>BY174*VLOOKUP('Données projet'!$B$12,Paramètres!$A$1:$I$89,3,0)*VLOOKUP('Données projet'!$B$12,Paramètres!$A$1:$I$89,5,0)</f>
        <v>-6.7984728957526396E-14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314.69202393413491</v>
      </c>
      <c r="CE174" s="59">
        <f t="shared" si="148"/>
        <v>321.1728368524748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0.21436174819991186</v>
      </c>
      <c r="CL174" s="21">
        <f>EXP(-LN(2)/25)*CL173+(1-EXP(-LN(2)/25))/(LN(2)/25)*Calculateur!CG174*Calculateur!CI174*VLOOKUP('Données projet'!$B$12,Paramètres!$A$1:$I$89,3,0)*0.475*44/12</f>
        <v>0.42793667134694691</v>
      </c>
      <c r="CM174" s="21">
        <f>EXP(-LN(2)/2)*CM173+(1-EXP(-LN(2)/2))/(LN(2)/2)*CG174*CJ174*VLOOKUP('Données projet'!$B$12,Paramètres!$A$1:$I$89,3,0)*0.475*44/12</f>
        <v>1.8149961993702595E-20</v>
      </c>
      <c r="CN174" s="22">
        <f t="shared" si="172"/>
        <v>0.64229841954685873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-1.2505552149377763E-12</v>
      </c>
      <c r="O175" s="13">
        <f>N175*VLOOKUP('Données projet'!$B$9,Paramètres!$A$1:$I$89,3,0)*VLOOKUP('Données projet'!$B$9,Paramètres!$A$1:$I$89,5,0)</f>
        <v>-6.9906036515021697E-13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415.91544298418842</v>
      </c>
      <c r="T175" s="59">
        <f t="shared" si="142"/>
        <v>422.79312683312583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0.6860238089438675</v>
      </c>
      <c r="AA175" s="21">
        <f>EXP(-LN(2)/25)*AA174+(1-EXP(-LN(2)/25))/(LN(2)/25)*Calculateur!V175*Calculateur!X175*VLOOKUP('Données projet'!$B$9,Paramètres!$A$1:$I$89,3,0)*0.475*44/12</f>
        <v>0.75600868268092791</v>
      </c>
      <c r="AB175" s="21">
        <f>EXP(-LN(2)/2)*AB174+(1-EXP(-LN(2)/2))/(LN(2)/2)*V175*Y175*VLOOKUP('Données projet'!$B$9,Paramètres!$A$1:$I$89,3,0)*0.475*44/12</f>
        <v>1.5446446813196584E-20</v>
      </c>
      <c r="AC175" s="22">
        <f t="shared" si="163"/>
        <v>1.4420324916247953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-5.3205440053716299E-14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215.23235148064941</v>
      </c>
      <c r="AO175" s="59">
        <f t="shared" si="144"/>
        <v>184.07239726900434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0.18830327938519009</v>
      </c>
      <c r="AV175" s="21">
        <f>EXP(-LN(2)/25)*AV174+(1-EXP(-LN(2)/25))/(LN(2)/25)*Calculateur!AQ175*Calculateur!AS175*VLOOKUP('Données projet'!$B$10,Paramètres!$A$1:$I$89,3,0)*0.475*44/12</f>
        <v>0.15322212701402207</v>
      </c>
      <c r="AW175" s="21">
        <f>EXP(-LN(2)/2)*AW174+(1-EXP(-LN(2)/2))/(LN(2)/2)*AQ175*AT175*VLOOKUP('Données projet'!$B$10,Paramètres!$A$1:$I$89,3,0)*0.475*44/12</f>
        <v>4.1640887110147636E-21</v>
      </c>
      <c r="AX175" s="21">
        <f t="shared" si="166"/>
        <v>0.34152540639921214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261.27638267284169</v>
      </c>
      <c r="BJ175" s="59">
        <f t="shared" si="146"/>
        <v>297.50513563712764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0.50124699444186016</v>
      </c>
      <c r="BQ175" s="21">
        <f>EXP(-LN(2)/25)*BQ174+(1-EXP(-LN(2)/25))/(LN(2)/25)*Calculateur!BL175*Calculateur!BN175*VLOOKUP('Données projet'!$B$11,Paramètres!$A$1:$I$89,3,0)*0.475*44/12</f>
        <v>0.54360636337600232</v>
      </c>
      <c r="BR175" s="21">
        <f>EXP(-LN(2)/2)*BR174+(1-EXP(-LN(2)/2))/(LN(2)/2)*BL175*BO175*VLOOKUP('Données projet'!$B$11,Paramètres!$A$1:$I$89,3,0)*0.475*44/12</f>
        <v>1.0334306422606991E-20</v>
      </c>
      <c r="BS175" s="22">
        <f t="shared" si="169"/>
        <v>1.0448533578178625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-1.1368683772161603E-13</v>
      </c>
      <c r="BZ175" s="13">
        <f>BY175*VLOOKUP('Données projet'!$B$12,Paramètres!$A$1:$I$89,3,0)*VLOOKUP('Données projet'!$B$12,Paramètres!$A$1:$I$89,5,0)</f>
        <v>-6.7984728957526396E-14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314.69202393413491</v>
      </c>
      <c r="CE175" s="59">
        <f t="shared" si="148"/>
        <v>321.1728368524748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0.21015824506546771</v>
      </c>
      <c r="CL175" s="21">
        <f>EXP(-LN(2)/25)*CL174+(1-EXP(-LN(2)/25))/(LN(2)/25)*Calculateur!CG175*Calculateur!CI175*VLOOKUP('Données projet'!$B$12,Paramètres!$A$1:$I$89,3,0)*0.475*44/12</f>
        <v>0.41623472056475314</v>
      </c>
      <c r="CM175" s="21">
        <f>EXP(-LN(2)/2)*CM174+(1-EXP(-LN(2)/2))/(LN(2)/2)*CG175*CJ175*VLOOKUP('Données projet'!$B$12,Paramètres!$A$1:$I$89,3,0)*0.475*44/12</f>
        <v>1.2833961204025215E-20</v>
      </c>
      <c r="CN175" s="22">
        <f t="shared" si="172"/>
        <v>0.62639296563022084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-1.2505552149377763E-12</v>
      </c>
      <c r="O176" s="13">
        <f>N176*VLOOKUP('Données projet'!$B$9,Paramètres!$A$1:$I$89,3,0)*VLOOKUP('Données projet'!$B$9,Paramètres!$A$1:$I$89,5,0)</f>
        <v>-6.9906036515021697E-13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415.91544298418842</v>
      </c>
      <c r="T176" s="59">
        <f t="shared" si="142"/>
        <v>422.79312683312583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0.67257130048368485</v>
      </c>
      <c r="AA176" s="21">
        <f>EXP(-LN(2)/25)*AA175+(1-EXP(-LN(2)/25))/(LN(2)/25)*Calculateur!V176*Calculateur!X176*VLOOKUP('Données projet'!$B$9,Paramètres!$A$1:$I$89,3,0)*0.475*44/12</f>
        <v>0.73533558549624922</v>
      </c>
      <c r="AB176" s="21">
        <f>EXP(-LN(2)/2)*AB175+(1-EXP(-LN(2)/2))/(LN(2)/2)*V176*Y176*VLOOKUP('Données projet'!$B$9,Paramètres!$A$1:$I$89,3,0)*0.475*44/12</f>
        <v>1.0922287286848641E-20</v>
      </c>
      <c r="AC176" s="22">
        <f t="shared" si="163"/>
        <v>1.407906885979934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-5.3205440053716299E-14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215.23235148064941</v>
      </c>
      <c r="AO176" s="59">
        <f t="shared" si="144"/>
        <v>184.07239726900434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0.18461076693010608</v>
      </c>
      <c r="AV176" s="21">
        <f>EXP(-LN(2)/25)*AV175+(1-EXP(-LN(2)/25))/(LN(2)/25)*Calculateur!AQ176*Calculateur!AS176*VLOOKUP('Données projet'!$B$10,Paramètres!$A$1:$I$89,3,0)*0.475*44/12</f>
        <v>0.14903225989322216</v>
      </c>
      <c r="AW176" s="21">
        <f>EXP(-LN(2)/2)*AW175+(1-EXP(-LN(2)/2))/(LN(2)/2)*AQ176*AT176*VLOOKUP('Données projet'!$B$10,Paramètres!$A$1:$I$89,3,0)*0.475*44/12</f>
        <v>2.9444553650208892E-21</v>
      </c>
      <c r="AX176" s="21">
        <f t="shared" si="166"/>
        <v>0.33364302682332825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261.27638267284169</v>
      </c>
      <c r="BJ176" s="59">
        <f t="shared" si="146"/>
        <v>297.50513563712764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0.49141784661133353</v>
      </c>
      <c r="BQ176" s="21">
        <f>EXP(-LN(2)/25)*BQ175+(1-EXP(-LN(2)/25))/(LN(2)/25)*Calculateur!BL176*Calculateur!BN176*VLOOKUP('Données projet'!$B$11,Paramètres!$A$1:$I$89,3,0)*0.475*44/12</f>
        <v>0.52874141878246927</v>
      </c>
      <c r="BR176" s="21">
        <f>EXP(-LN(2)/2)*BR175+(1-EXP(-LN(2)/2))/(LN(2)/2)*BL176*BO176*VLOOKUP('Données projet'!$B$11,Paramètres!$A$1:$I$89,3,0)*0.475*44/12</f>
        <v>7.3074581502850939E-21</v>
      </c>
      <c r="BS176" s="22">
        <f t="shared" si="169"/>
        <v>1.0201592653938027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-1.1368683772161603E-13</v>
      </c>
      <c r="BZ176" s="13">
        <f>BY176*VLOOKUP('Données projet'!$B$12,Paramètres!$A$1:$I$89,3,0)*VLOOKUP('Données projet'!$B$12,Paramètres!$A$1:$I$89,5,0)</f>
        <v>-6.7984728957526396E-14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314.69202393413491</v>
      </c>
      <c r="CE176" s="59">
        <f t="shared" si="148"/>
        <v>321.1728368524748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0.20603717006360628</v>
      </c>
      <c r="CL176" s="21">
        <f>EXP(-LN(2)/25)*CL175+(1-EXP(-LN(2)/25))/(LN(2)/25)*Calculateur!CG176*Calculateur!CI176*VLOOKUP('Données projet'!$B$12,Paramètres!$A$1:$I$89,3,0)*0.475*44/12</f>
        <v>0.40485276024207734</v>
      </c>
      <c r="CM176" s="21">
        <f>EXP(-LN(2)/2)*CM175+(1-EXP(-LN(2)/2))/(LN(2)/2)*CG176*CJ176*VLOOKUP('Données projet'!$B$12,Paramètres!$A$1:$I$89,3,0)*0.475*44/12</f>
        <v>9.0749809968512974E-21</v>
      </c>
      <c r="CN176" s="22">
        <f t="shared" si="172"/>
        <v>0.61088993030568361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-1.2505552149377763E-12</v>
      </c>
      <c r="O177" s="13">
        <f>N177*VLOOKUP('Données projet'!$B$9,Paramètres!$A$1:$I$89,3,0)*VLOOKUP('Données projet'!$B$9,Paramètres!$A$1:$I$89,5,0)</f>
        <v>-6.9906036515021697E-13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415.91544298418842</v>
      </c>
      <c r="T177" s="59">
        <f t="shared" si="142"/>
        <v>422.79312683312583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0.65938258750918644</v>
      </c>
      <c r="AA177" s="21">
        <f>EXP(-LN(2)/25)*AA176+(1-EXP(-LN(2)/25))/(LN(2)/25)*Calculateur!V177*Calculateur!X177*VLOOKUP('Données projet'!$B$9,Paramètres!$A$1:$I$89,3,0)*0.475*44/12</f>
        <v>0.71522779524123647</v>
      </c>
      <c r="AB177" s="21">
        <f>EXP(-LN(2)/2)*AB176+(1-EXP(-LN(2)/2))/(LN(2)/2)*V177*Y177*VLOOKUP('Données projet'!$B$9,Paramètres!$A$1:$I$89,3,0)*0.475*44/12</f>
        <v>7.7232234065982919E-21</v>
      </c>
      <c r="AC177" s="22">
        <f t="shared" si="163"/>
        <v>1.374610382750423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-5.3205440053716299E-14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215.23235148064941</v>
      </c>
      <c r="AO177" s="59">
        <f t="shared" si="144"/>
        <v>184.07239726900434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0.18099066239205605</v>
      </c>
      <c r="AV177" s="21">
        <f>EXP(-LN(2)/25)*AV176+(1-EXP(-LN(2)/25))/(LN(2)/25)*Calculateur!AQ177*Calculateur!AS177*VLOOKUP('Données projet'!$B$10,Paramètres!$A$1:$I$89,3,0)*0.475*44/12</f>
        <v>0.14495696490917606</v>
      </c>
      <c r="AW177" s="21">
        <f>EXP(-LN(2)/2)*AW176+(1-EXP(-LN(2)/2))/(LN(2)/2)*AQ177*AT177*VLOOKUP('Données projet'!$B$10,Paramètres!$A$1:$I$89,3,0)*0.475*44/12</f>
        <v>2.0820443555073818E-21</v>
      </c>
      <c r="AX177" s="21">
        <f t="shared" si="166"/>
        <v>0.32594762730123211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261.27638267284169</v>
      </c>
      <c r="BJ177" s="59">
        <f t="shared" si="146"/>
        <v>297.50513563712764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0.48178144237457532</v>
      </c>
      <c r="BQ177" s="21">
        <f>EXP(-LN(2)/25)*BQ176+(1-EXP(-LN(2)/25))/(LN(2)/25)*Calculateur!BL177*Calculateur!BN177*VLOOKUP('Données projet'!$B$11,Paramètres!$A$1:$I$89,3,0)*0.475*44/12</f>
        <v>0.51428295688055992</v>
      </c>
      <c r="BR177" s="21">
        <f>EXP(-LN(2)/2)*BR176+(1-EXP(-LN(2)/2))/(LN(2)/2)*BL177*BO177*VLOOKUP('Données projet'!$B$11,Paramètres!$A$1:$I$89,3,0)*0.475*44/12</f>
        <v>5.1671532113034953E-21</v>
      </c>
      <c r="BS177" s="22">
        <f t="shared" si="169"/>
        <v>0.99606439925513524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-1.1368683772161603E-13</v>
      </c>
      <c r="BZ177" s="13">
        <f>BY177*VLOOKUP('Données projet'!$B$12,Paramètres!$A$1:$I$89,3,0)*VLOOKUP('Données projet'!$B$12,Paramètres!$A$1:$I$89,5,0)</f>
        <v>-6.7984728957526396E-14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314.69202393413491</v>
      </c>
      <c r="CE177" s="59">
        <f t="shared" si="148"/>
        <v>321.1728368524748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0.20199690682892379</v>
      </c>
      <c r="CL177" s="21">
        <f>EXP(-LN(2)/25)*CL176+(1-EXP(-LN(2)/25))/(LN(2)/25)*Calculateur!CG177*Calculateur!CI177*VLOOKUP('Données projet'!$B$12,Paramètres!$A$1:$I$89,3,0)*0.475*44/12</f>
        <v>0.39378204022297636</v>
      </c>
      <c r="CM177" s="21">
        <f>EXP(-LN(2)/2)*CM176+(1-EXP(-LN(2)/2))/(LN(2)/2)*CG177*CJ177*VLOOKUP('Données projet'!$B$12,Paramètres!$A$1:$I$89,3,0)*0.475*44/12</f>
        <v>6.4169806020126074E-21</v>
      </c>
      <c r="CN177" s="22">
        <f t="shared" si="172"/>
        <v>0.59577894705190015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-1.2505552149377763E-12</v>
      </c>
      <c r="O178" s="13">
        <f>N178*VLOOKUP('Données projet'!$B$9,Paramètres!$A$1:$I$89,3,0)*VLOOKUP('Données projet'!$B$9,Paramètres!$A$1:$I$89,5,0)</f>
        <v>-6.9906036515021697E-13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415.91544298418842</v>
      </c>
      <c r="T178" s="59">
        <f t="shared" si="142"/>
        <v>422.79312683312583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0.64645249715179731</v>
      </c>
      <c r="AA178" s="21">
        <f>EXP(-LN(2)/25)*AA177+(1-EXP(-LN(2)/25))/(LN(2)/25)*Calculateur!V178*Calculateur!X178*VLOOKUP('Données projet'!$B$9,Paramètres!$A$1:$I$89,3,0)*0.475*44/12</f>
        <v>0.69566985356816979</v>
      </c>
      <c r="AB178" s="21">
        <f>EXP(-LN(2)/2)*AB177+(1-EXP(-LN(2)/2))/(LN(2)/2)*V178*Y178*VLOOKUP('Données projet'!$B$9,Paramètres!$A$1:$I$89,3,0)*0.475*44/12</f>
        <v>5.4611436434243206E-21</v>
      </c>
      <c r="AC178" s="22">
        <f t="shared" si="163"/>
        <v>1.3421223507199671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-5.3205440053716299E-14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215.23235148064941</v>
      </c>
      <c r="AO178" s="59">
        <f t="shared" si="144"/>
        <v>184.07239726900434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0.17744154589595146</v>
      </c>
      <c r="AV178" s="21">
        <f>EXP(-LN(2)/25)*AV177+(1-EXP(-LN(2)/25))/(LN(2)/25)*Calculateur!AQ178*Calculateur!AS178*VLOOKUP('Données projet'!$B$10,Paramètres!$A$1:$I$89,3,0)*0.475*44/12</f>
        <v>0.14099310908077917</v>
      </c>
      <c r="AW178" s="21">
        <f>EXP(-LN(2)/2)*AW177+(1-EXP(-LN(2)/2))/(LN(2)/2)*AQ178*AT178*VLOOKUP('Données projet'!$B$10,Paramètres!$A$1:$I$89,3,0)*0.475*44/12</f>
        <v>1.4722276825104446E-21</v>
      </c>
      <c r="AX178" s="21">
        <f t="shared" si="166"/>
        <v>0.31843465497673062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261.27638267284169</v>
      </c>
      <c r="BJ178" s="59">
        <f t="shared" si="146"/>
        <v>297.50513563712764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0.47233400214727372</v>
      </c>
      <c r="BQ178" s="21">
        <f>EXP(-LN(2)/25)*BQ177+(1-EXP(-LN(2)/25))/(LN(2)/25)*Calculateur!BL178*Calculateur!BN178*VLOOKUP('Données projet'!$B$11,Paramètres!$A$1:$I$89,3,0)*0.475*44/12</f>
        <v>0.50021986237969573</v>
      </c>
      <c r="BR178" s="21">
        <f>EXP(-LN(2)/2)*BR177+(1-EXP(-LN(2)/2))/(LN(2)/2)*BL178*BO178*VLOOKUP('Données projet'!$B$11,Paramètres!$A$1:$I$89,3,0)*0.475*44/12</f>
        <v>3.653729075142547E-21</v>
      </c>
      <c r="BS178" s="22">
        <f t="shared" si="169"/>
        <v>0.97255386452696946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-1.1368683772161603E-13</v>
      </c>
      <c r="BZ178" s="13">
        <f>BY178*VLOOKUP('Données projet'!$B$12,Paramètres!$A$1:$I$89,3,0)*VLOOKUP('Données projet'!$B$12,Paramètres!$A$1:$I$89,5,0)</f>
        <v>-6.7984728957526396E-14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314.69202393413491</v>
      </c>
      <c r="CE178" s="59">
        <f t="shared" si="148"/>
        <v>321.1728368524748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0.19803587069195619</v>
      </c>
      <c r="CL178" s="21">
        <f>EXP(-LN(2)/25)*CL177+(1-EXP(-LN(2)/25))/(LN(2)/25)*Calculateur!CG178*Calculateur!CI178*VLOOKUP('Données projet'!$B$12,Paramètres!$A$1:$I$89,3,0)*0.475*44/12</f>
        <v>0.38301404962498159</v>
      </c>
      <c r="CM178" s="21">
        <f>EXP(-LN(2)/2)*CM177+(1-EXP(-LN(2)/2))/(LN(2)/2)*CG178*CJ178*VLOOKUP('Données projet'!$B$12,Paramètres!$A$1:$I$89,3,0)*0.475*44/12</f>
        <v>4.5374904984256487E-21</v>
      </c>
      <c r="CN178" s="22">
        <f t="shared" si="172"/>
        <v>0.58104992031693781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-1.2505552149377763E-12</v>
      </c>
      <c r="O179" s="13">
        <f>N179*VLOOKUP('Données projet'!$B$9,Paramètres!$A$1:$I$89,3,0)*VLOOKUP('Données projet'!$B$9,Paramètres!$A$1:$I$89,5,0)</f>
        <v>-6.9906036515021697E-13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415.91544298418842</v>
      </c>
      <c r="T179" s="59">
        <f t="shared" si="142"/>
        <v>422.79312683312583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0.63377595797974018</v>
      </c>
      <c r="AA179" s="21">
        <f>EXP(-LN(2)/25)*AA178+(1-EXP(-LN(2)/25))/(LN(2)/25)*Calculateur!V179*Calculateur!X179*VLOOKUP('Données projet'!$B$9,Paramètres!$A$1:$I$89,3,0)*0.475*44/12</f>
        <v>0.67664672483866062</v>
      </c>
      <c r="AB179" s="21">
        <f>EXP(-LN(2)/2)*AB178+(1-EXP(-LN(2)/2))/(LN(2)/2)*V179*Y179*VLOOKUP('Données projet'!$B$9,Paramètres!$A$1:$I$89,3,0)*0.475*44/12</f>
        <v>3.861611703299146E-21</v>
      </c>
      <c r="AC179" s="22">
        <f t="shared" si="163"/>
        <v>1.3104226828184009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-5.3205440053716299E-14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215.23235148064941</v>
      </c>
      <c r="AO179" s="59">
        <f t="shared" si="144"/>
        <v>184.07239726900434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0.17396202540958816</v>
      </c>
      <c r="AV179" s="21">
        <f>EXP(-LN(2)/25)*AV178+(1-EXP(-LN(2)/25))/(LN(2)/25)*Calculateur!AQ179*Calculateur!AS179*VLOOKUP('Données projet'!$B$10,Paramètres!$A$1:$I$89,3,0)*0.475*44/12</f>
        <v>0.13713764509845991</v>
      </c>
      <c r="AW179" s="21">
        <f>EXP(-LN(2)/2)*AW178+(1-EXP(-LN(2)/2))/(LN(2)/2)*AQ179*AT179*VLOOKUP('Données projet'!$B$10,Paramètres!$A$1:$I$89,3,0)*0.475*44/12</f>
        <v>1.0410221777536909E-21</v>
      </c>
      <c r="AX179" s="21">
        <f t="shared" si="166"/>
        <v>0.3110996705080481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261.27638267284169</v>
      </c>
      <c r="BJ179" s="59">
        <f t="shared" si="146"/>
        <v>297.50513563712764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0.46307182046045997</v>
      </c>
      <c r="BQ179" s="21">
        <f>EXP(-LN(2)/25)*BQ178+(1-EXP(-LN(2)/25))/(LN(2)/25)*Calculateur!BL179*Calculateur!BN179*VLOOKUP('Données projet'!$B$11,Paramètres!$A$1:$I$89,3,0)*0.475*44/12</f>
        <v>0.48654132393750366</v>
      </c>
      <c r="BR179" s="21">
        <f>EXP(-LN(2)/2)*BR178+(1-EXP(-LN(2)/2))/(LN(2)/2)*BL179*BO179*VLOOKUP('Données projet'!$B$11,Paramètres!$A$1:$I$89,3,0)*0.475*44/12</f>
        <v>2.5835766056517477E-21</v>
      </c>
      <c r="BS179" s="22">
        <f t="shared" si="169"/>
        <v>0.94961314439796363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-1.1368683772161603E-13</v>
      </c>
      <c r="BZ179" s="13">
        <f>BY179*VLOOKUP('Données projet'!$B$12,Paramètres!$A$1:$I$89,3,0)*VLOOKUP('Données projet'!$B$12,Paramètres!$A$1:$I$89,5,0)</f>
        <v>-6.7984728957526396E-14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314.69202393413491</v>
      </c>
      <c r="CE179" s="59">
        <f t="shared" si="148"/>
        <v>321.1728368524748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0.19415250805764103</v>
      </c>
      <c r="CL179" s="21">
        <f>EXP(-LN(2)/25)*CL178+(1-EXP(-LN(2)/25))/(LN(2)/25)*Calculateur!CG179*Calculateur!CI179*VLOOKUP('Données projet'!$B$12,Paramètres!$A$1:$I$89,3,0)*0.475*44/12</f>
        <v>0.37254051029615298</v>
      </c>
      <c r="CM179" s="21">
        <f>EXP(-LN(2)/2)*CM178+(1-EXP(-LN(2)/2))/(LN(2)/2)*CG179*CJ179*VLOOKUP('Données projet'!$B$12,Paramètres!$A$1:$I$89,3,0)*0.475*44/12</f>
        <v>3.2084903010063037E-21</v>
      </c>
      <c r="CN179" s="22">
        <f t="shared" si="172"/>
        <v>0.56669301835379404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-1.2505552149377763E-12</v>
      </c>
      <c r="O180" s="13">
        <f>N180*VLOOKUP('Données projet'!$B$9,Paramètres!$A$1:$I$89,3,0)*VLOOKUP('Données projet'!$B$9,Paramètres!$A$1:$I$89,5,0)</f>
        <v>-6.9906036515021697E-13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415.91544298418842</v>
      </c>
      <c r="T180" s="59">
        <f t="shared" si="142"/>
        <v>422.79312683312583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0.62134799800892171</v>
      </c>
      <c r="AA180" s="21">
        <f>EXP(-LN(2)/25)*AA179+(1-EXP(-LN(2)/25))/(LN(2)/25)*Calculateur!V180*Calculateur!X180*VLOOKUP('Données projet'!$B$9,Paramètres!$A$1:$I$89,3,0)*0.475*44/12</f>
        <v>0.65814378456464273</v>
      </c>
      <c r="AB180" s="21">
        <f>EXP(-LN(2)/2)*AB179+(1-EXP(-LN(2)/2))/(LN(2)/2)*V180*Y180*VLOOKUP('Données projet'!$B$9,Paramètres!$A$1:$I$89,3,0)*0.475*44/12</f>
        <v>2.7305718217121603E-21</v>
      </c>
      <c r="AC180" s="22">
        <f t="shared" si="163"/>
        <v>1.2794917825735643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-5.3205440053716299E-14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215.23235148064941</v>
      </c>
      <c r="AO180" s="59">
        <f t="shared" si="144"/>
        <v>184.07239726900434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0.1705507361976645</v>
      </c>
      <c r="AV180" s="21">
        <f>EXP(-LN(2)/25)*AV179+(1-EXP(-LN(2)/25))/(LN(2)/25)*Calculateur!AQ180*Calculateur!AS180*VLOOKUP('Données projet'!$B$10,Paramètres!$A$1:$I$89,3,0)*0.475*44/12</f>
        <v>0.13338760898148719</v>
      </c>
      <c r="AW180" s="21">
        <f>EXP(-LN(2)/2)*AW179+(1-EXP(-LN(2)/2))/(LN(2)/2)*AQ180*AT180*VLOOKUP('Données projet'!$B$10,Paramètres!$A$1:$I$89,3,0)*0.475*44/12</f>
        <v>7.3611384125522231E-22</v>
      </c>
      <c r="AX180" s="21">
        <f t="shared" si="166"/>
        <v>0.30393834517915169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261.27638267284169</v>
      </c>
      <c r="BJ180" s="59">
        <f t="shared" si="146"/>
        <v>297.50513563712764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0.4539912645071516</v>
      </c>
      <c r="BQ180" s="21">
        <f>EXP(-LN(2)/25)*BQ179+(1-EXP(-LN(2)/25))/(LN(2)/25)*Calculateur!BL180*Calculateur!BN180*VLOOKUP('Données projet'!$B$11,Paramètres!$A$1:$I$89,3,0)*0.475*44/12</f>
        <v>0.47323682584833637</v>
      </c>
      <c r="BR180" s="21">
        <f>EXP(-LN(2)/2)*BR179+(1-EXP(-LN(2)/2))/(LN(2)/2)*BL180*BO180*VLOOKUP('Données projet'!$B$11,Paramètres!$A$1:$I$89,3,0)*0.475*44/12</f>
        <v>1.8268645375712735E-21</v>
      </c>
      <c r="BS180" s="22">
        <f t="shared" si="169"/>
        <v>0.92722809035548792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-1.1368683772161603E-13</v>
      </c>
      <c r="BZ180" s="13">
        <f>BY180*VLOOKUP('Données projet'!$B$12,Paramètres!$A$1:$I$89,3,0)*VLOOKUP('Données projet'!$B$12,Paramètres!$A$1:$I$89,5,0)</f>
        <v>-6.7984728957526396E-14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314.69202393413491</v>
      </c>
      <c r="CE180" s="59">
        <f t="shared" si="148"/>
        <v>321.1728368524748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0.19034529579596748</v>
      </c>
      <c r="CL180" s="21">
        <f>EXP(-LN(2)/25)*CL179+(1-EXP(-LN(2)/25))/(LN(2)/25)*Calculateur!CG180*Calculateur!CI180*VLOOKUP('Données projet'!$B$12,Paramètres!$A$1:$I$89,3,0)*0.475*44/12</f>
        <v>0.3623533704510507</v>
      </c>
      <c r="CM180" s="21">
        <f>EXP(-LN(2)/2)*CM179+(1-EXP(-LN(2)/2))/(LN(2)/2)*CG180*CJ180*VLOOKUP('Données projet'!$B$12,Paramètres!$A$1:$I$89,3,0)*0.475*44/12</f>
        <v>2.2687452492128244E-21</v>
      </c>
      <c r="CN180" s="22">
        <f t="shared" si="172"/>
        <v>0.55269866624701813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-1.2505552149377763E-12</v>
      </c>
      <c r="O181" s="13">
        <f>N181*VLOOKUP('Données projet'!$B$9,Paramètres!$A$1:$I$89,3,0)*VLOOKUP('Données projet'!$B$9,Paramètres!$A$1:$I$89,5,0)</f>
        <v>-6.9906036515021697E-13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415.91544298418842</v>
      </c>
      <c r="T181" s="59">
        <f t="shared" si="142"/>
        <v>422.79312683312583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0.60916374275282392</v>
      </c>
      <c r="AA181" s="21">
        <f>EXP(-LN(2)/25)*AA180+(1-EXP(-LN(2)/25))/(LN(2)/25)*Calculateur!V181*Calculateur!X181*VLOOKUP('Données projet'!$B$9,Paramètres!$A$1:$I$89,3,0)*0.475*44/12</f>
        <v>0.64014680816544511</v>
      </c>
      <c r="AB181" s="21">
        <f>EXP(-LN(2)/2)*AB180+(1-EXP(-LN(2)/2))/(LN(2)/2)*V181*Y181*VLOOKUP('Données projet'!$B$9,Paramètres!$A$1:$I$89,3,0)*0.475*44/12</f>
        <v>1.930805851649573E-21</v>
      </c>
      <c r="AC181" s="22">
        <f t="shared" si="163"/>
        <v>1.2493105509182691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-5.3205440053716299E-14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215.23235148064941</v>
      </c>
      <c r="AO181" s="59">
        <f t="shared" si="144"/>
        <v>184.07239726900434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0.16720634028650569</v>
      </c>
      <c r="AV181" s="21">
        <f>EXP(-LN(2)/25)*AV180+(1-EXP(-LN(2)/25))/(LN(2)/25)*Calculateur!AQ181*Calculateur!AS181*VLOOKUP('Données projet'!$B$10,Paramètres!$A$1:$I$89,3,0)*0.475*44/12</f>
        <v>0.12974011779933892</v>
      </c>
      <c r="AW181" s="21">
        <f>EXP(-LN(2)/2)*AW180+(1-EXP(-LN(2)/2))/(LN(2)/2)*AQ181*AT181*VLOOKUP('Données projet'!$B$10,Paramètres!$A$1:$I$89,3,0)*0.475*44/12</f>
        <v>5.2051108887684545E-22</v>
      </c>
      <c r="AX181" s="21">
        <f t="shared" si="166"/>
        <v>0.29694645808584463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261.27638267284169</v>
      </c>
      <c r="BJ181" s="59">
        <f t="shared" si="146"/>
        <v>297.50513563712764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0.44508877271749536</v>
      </c>
      <c r="BQ181" s="21">
        <f>EXP(-LN(2)/25)*BQ180+(1-EXP(-LN(2)/25))/(LN(2)/25)*Calculateur!BL181*Calculateur!BN181*VLOOKUP('Données projet'!$B$11,Paramètres!$A$1:$I$89,3,0)*0.475*44/12</f>
        <v>0.46029613995907054</v>
      </c>
      <c r="BR181" s="21">
        <f>EXP(-LN(2)/2)*BR180+(1-EXP(-LN(2)/2))/(LN(2)/2)*BL181*BO181*VLOOKUP('Données projet'!$B$11,Paramètres!$A$1:$I$89,3,0)*0.475*44/12</f>
        <v>1.2917883028258738E-21</v>
      </c>
      <c r="BS181" s="22">
        <f t="shared" si="169"/>
        <v>0.90538491267656585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-1.1368683772161603E-13</v>
      </c>
      <c r="BZ181" s="13">
        <f>BY181*VLOOKUP('Données projet'!$B$12,Paramètres!$A$1:$I$89,3,0)*VLOOKUP('Données projet'!$B$12,Paramètres!$A$1:$I$89,5,0)</f>
        <v>-6.7984728957526396E-14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314.69202393413491</v>
      </c>
      <c r="CE181" s="59">
        <f t="shared" si="148"/>
        <v>321.1728368524748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0.18661274064457517</v>
      </c>
      <c r="CL181" s="21">
        <f>EXP(-LN(2)/25)*CL180+(1-EXP(-LN(2)/25))/(LN(2)/25)*Calculateur!CG181*Calculateur!CI181*VLOOKUP('Données projet'!$B$12,Paramètres!$A$1:$I$89,3,0)*0.475*44/12</f>
        <v>0.35244479848073113</v>
      </c>
      <c r="CM181" s="21">
        <f>EXP(-LN(2)/2)*CM180+(1-EXP(-LN(2)/2))/(LN(2)/2)*CG181*CJ181*VLOOKUP('Données projet'!$B$12,Paramètres!$A$1:$I$89,3,0)*0.475*44/12</f>
        <v>1.6042451505031518E-21</v>
      </c>
      <c r="CN181" s="22">
        <f t="shared" si="172"/>
        <v>0.5390575391253063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-1.2505552149377763E-12</v>
      </c>
      <c r="O182" s="13">
        <f>N182*VLOOKUP('Données projet'!$B$9,Paramètres!$A$1:$I$89,3,0)*VLOOKUP('Données projet'!$B$9,Paramètres!$A$1:$I$89,5,0)</f>
        <v>-6.9906036515021697E-13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415.91544298418842</v>
      </c>
      <c r="T182" s="59">
        <f t="shared" si="142"/>
        <v>422.79312683312583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0.5972184133106363</v>
      </c>
      <c r="AA182" s="21">
        <f>EXP(-LN(2)/25)*AA181+(1-EXP(-LN(2)/25))/(LN(2)/25)*Calculateur!V182*Calculateur!X182*VLOOKUP('Données projet'!$B$9,Paramètres!$A$1:$I$89,3,0)*0.475*44/12</f>
        <v>0.62264196003230343</v>
      </c>
      <c r="AB182" s="21">
        <f>EXP(-LN(2)/2)*AB181+(1-EXP(-LN(2)/2))/(LN(2)/2)*V182*Y182*VLOOKUP('Données projet'!$B$9,Paramètres!$A$1:$I$89,3,0)*0.475*44/12</f>
        <v>1.3652859108560802E-21</v>
      </c>
      <c r="AC182" s="22">
        <f t="shared" si="163"/>
        <v>1.2198603733429398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-5.3205440053716299E-14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215.23235148064941</v>
      </c>
      <c r="AO182" s="59">
        <f t="shared" si="144"/>
        <v>184.07239726900434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0.16392752593928461</v>
      </c>
      <c r="AV182" s="21">
        <f>EXP(-LN(2)/25)*AV181+(1-EXP(-LN(2)/25))/(LN(2)/25)*Calculateur!AQ182*Calculateur!AS182*VLOOKUP('Données projet'!$B$10,Paramètres!$A$1:$I$89,3,0)*0.475*44/12</f>
        <v>0.12619236745537973</v>
      </c>
      <c r="AW182" s="21">
        <f>EXP(-LN(2)/2)*AW181+(1-EXP(-LN(2)/2))/(LN(2)/2)*AQ182*AT182*VLOOKUP('Données projet'!$B$10,Paramètres!$A$1:$I$89,3,0)*0.475*44/12</f>
        <v>3.6805692062761116E-22</v>
      </c>
      <c r="AX182" s="21">
        <f t="shared" si="166"/>
        <v>0.29011989339466437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261.27638267284169</v>
      </c>
      <c r="BJ182" s="59">
        <f t="shared" si="146"/>
        <v>297.50513563712764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0.43636085336185049</v>
      </c>
      <c r="BQ182" s="21">
        <f>EXP(-LN(2)/25)*BQ181+(1-EXP(-LN(2)/25))/(LN(2)/25)*Calculateur!BL182*Calculateur!BN182*VLOOKUP('Données projet'!$B$11,Paramètres!$A$1:$I$89,3,0)*0.475*44/12</f>
        <v>0.44770931780596779</v>
      </c>
      <c r="BR182" s="21">
        <f>EXP(-LN(2)/2)*BR181+(1-EXP(-LN(2)/2))/(LN(2)/2)*BL182*BO182*VLOOKUP('Données projet'!$B$11,Paramètres!$A$1:$I$89,3,0)*0.475*44/12</f>
        <v>9.1343226878563674E-22</v>
      </c>
      <c r="BS182" s="22">
        <f t="shared" si="169"/>
        <v>0.88407017116781828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-1.1368683772161603E-13</v>
      </c>
      <c r="BZ182" s="13">
        <f>BY182*VLOOKUP('Données projet'!$B$12,Paramètres!$A$1:$I$89,3,0)*VLOOKUP('Données projet'!$B$12,Paramètres!$A$1:$I$89,5,0)</f>
        <v>-6.7984728957526396E-14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314.69202393413491</v>
      </c>
      <c r="CE182" s="59">
        <f t="shared" si="148"/>
        <v>321.1728368524748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0.18295337862306779</v>
      </c>
      <c r="CL182" s="21">
        <f>EXP(-LN(2)/25)*CL181+(1-EXP(-LN(2)/25))/(LN(2)/25)*Calculateur!CG182*Calculateur!CI182*VLOOKUP('Données projet'!$B$12,Paramètres!$A$1:$I$89,3,0)*0.475*44/12</f>
        <v>0.34280717693200913</v>
      </c>
      <c r="CM182" s="21">
        <f>EXP(-LN(2)/2)*CM181+(1-EXP(-LN(2)/2))/(LN(2)/2)*CG182*CJ182*VLOOKUP('Données projet'!$B$12,Paramètres!$A$1:$I$89,3,0)*0.475*44/12</f>
        <v>1.1343726246064122E-21</v>
      </c>
      <c r="CN182" s="22">
        <f t="shared" si="172"/>
        <v>0.52576055555507695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-1.2505552149377763E-12</v>
      </c>
      <c r="O183" s="13">
        <f>N183*VLOOKUP('Données projet'!$B$9,Paramètres!$A$1:$I$89,3,0)*VLOOKUP('Données projet'!$B$9,Paramètres!$A$1:$I$89,5,0)</f>
        <v>-6.9906036515021697E-13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415.91544298418842</v>
      </c>
      <c r="T183" s="59">
        <f t="shared" si="142"/>
        <v>422.79312683312583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0.58550732449287846</v>
      </c>
      <c r="AA183" s="21">
        <f>EXP(-LN(2)/25)*AA182+(1-EXP(-LN(2)/25))/(LN(2)/25)*Calculateur!V183*Calculateur!X183*VLOOKUP('Données projet'!$B$9,Paramètres!$A$1:$I$89,3,0)*0.475*44/12</f>
        <v>0.60561578289190243</v>
      </c>
      <c r="AB183" s="21">
        <f>EXP(-LN(2)/2)*AB182+(1-EXP(-LN(2)/2))/(LN(2)/2)*V183*Y183*VLOOKUP('Données projet'!$B$9,Paramètres!$A$1:$I$89,3,0)*0.475*44/12</f>
        <v>9.6540292582478649E-22</v>
      </c>
      <c r="AC183" s="22">
        <f t="shared" si="163"/>
        <v>1.1911231073847808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-5.3205440053716299E-14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215.23235148064941</v>
      </c>
      <c r="AO183" s="59">
        <f t="shared" si="144"/>
        <v>184.07239726900434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0.16071300714153328</v>
      </c>
      <c r="AV183" s="21">
        <f>EXP(-LN(2)/25)*AV182+(1-EXP(-LN(2)/25))/(LN(2)/25)*Calculateur!AQ183*Calculateur!AS183*VLOOKUP('Données projet'!$B$10,Paramètres!$A$1:$I$89,3,0)*0.475*44/12</f>
        <v>0.12274163053114419</v>
      </c>
      <c r="AW183" s="21">
        <f>EXP(-LN(2)/2)*AW182+(1-EXP(-LN(2)/2))/(LN(2)/2)*AQ183*AT183*VLOOKUP('Données projet'!$B$10,Paramètres!$A$1:$I$89,3,0)*0.475*44/12</f>
        <v>2.6025554443842273E-22</v>
      </c>
      <c r="AX183" s="21">
        <f t="shared" si="166"/>
        <v>0.28345463767267748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261.27638267284169</v>
      </c>
      <c r="BJ183" s="59">
        <f t="shared" si="146"/>
        <v>297.50513563712764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0.42780408318126462</v>
      </c>
      <c r="BQ183" s="21">
        <f>EXP(-LN(2)/25)*BQ182+(1-EXP(-LN(2)/25))/(LN(2)/25)*Calculateur!BL183*Calculateur!BN183*VLOOKUP('Données projet'!$B$11,Paramètres!$A$1:$I$89,3,0)*0.475*44/12</f>
        <v>0.43546668296655383</v>
      </c>
      <c r="BR183" s="21">
        <f>EXP(-LN(2)/2)*BR182+(1-EXP(-LN(2)/2))/(LN(2)/2)*BL183*BO183*VLOOKUP('Données projet'!$B$11,Paramètres!$A$1:$I$89,3,0)*0.475*44/12</f>
        <v>6.4589415141293692E-22</v>
      </c>
      <c r="BS183" s="22">
        <f t="shared" si="169"/>
        <v>0.8632707661478185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-1.1368683772161603E-13</v>
      </c>
      <c r="BZ183" s="13">
        <f>BY183*VLOOKUP('Données projet'!$B$12,Paramètres!$A$1:$I$89,3,0)*VLOOKUP('Données projet'!$B$12,Paramètres!$A$1:$I$89,5,0)</f>
        <v>-6.7984728957526396E-14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314.69202393413491</v>
      </c>
      <c r="CE183" s="59">
        <f t="shared" si="148"/>
        <v>321.1728368524748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0.17936577445881174</v>
      </c>
      <c r="CL183" s="21">
        <f>EXP(-LN(2)/25)*CL182+(1-EXP(-LN(2)/25))/(LN(2)/25)*Calculateur!CG183*Calculateur!CI183*VLOOKUP('Données projet'!$B$12,Paramètres!$A$1:$I$89,3,0)*0.475*44/12</f>
        <v>0.3334330966513574</v>
      </c>
      <c r="CM183" s="21">
        <f>EXP(-LN(2)/2)*CM182+(1-EXP(-LN(2)/2))/(LN(2)/2)*CG183*CJ183*VLOOKUP('Données projet'!$B$12,Paramètres!$A$1:$I$89,3,0)*0.475*44/12</f>
        <v>8.0212257525157592E-22</v>
      </c>
      <c r="CN183" s="22">
        <f t="shared" si="172"/>
        <v>0.5127988711101692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-1.2505552149377763E-12</v>
      </c>
      <c r="O184" s="13">
        <f>N184*VLOOKUP('Données projet'!$B$9,Paramètres!$A$1:$I$89,3,0)*VLOOKUP('Données projet'!$B$9,Paramètres!$A$1:$I$89,5,0)</f>
        <v>-6.9906036515021697E-13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415.91544298418842</v>
      </c>
      <c r="T184" s="59">
        <f t="shared" si="142"/>
        <v>422.79312683312583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0.57402588298377799</v>
      </c>
      <c r="AA184" s="21">
        <f>EXP(-LN(2)/25)*AA183+(1-EXP(-LN(2)/25))/(LN(2)/25)*Calculateur!V184*Calculateur!X184*VLOOKUP('Données projet'!$B$9,Paramètres!$A$1:$I$89,3,0)*0.475*44/12</f>
        <v>0.58905518746077346</v>
      </c>
      <c r="AB184" s="21">
        <f>EXP(-LN(2)/2)*AB183+(1-EXP(-LN(2)/2))/(LN(2)/2)*V184*Y184*VLOOKUP('Données projet'!$B$9,Paramètres!$A$1:$I$89,3,0)*0.475*44/12</f>
        <v>6.8264295542804008E-22</v>
      </c>
      <c r="AC184" s="22">
        <f t="shared" si="163"/>
        <v>1.1630810704445516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-5.3205440053716299E-14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215.23235148064941</v>
      </c>
      <c r="AO184" s="59">
        <f t="shared" si="144"/>
        <v>184.07239726900434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0.15756152309674298</v>
      </c>
      <c r="AV184" s="21">
        <f>EXP(-LN(2)/25)*AV183+(1-EXP(-LN(2)/25))/(LN(2)/25)*Calculateur!AQ184*Calculateur!AS184*VLOOKUP('Données projet'!$B$10,Paramètres!$A$1:$I$89,3,0)*0.475*44/12</f>
        <v>0.11938525418956823</v>
      </c>
      <c r="AW184" s="21">
        <f>EXP(-LN(2)/2)*AW183+(1-EXP(-LN(2)/2))/(LN(2)/2)*AQ184*AT184*VLOOKUP('Données projet'!$B$10,Paramètres!$A$1:$I$89,3,0)*0.475*44/12</f>
        <v>1.8402846031380558E-22</v>
      </c>
      <c r="AX184" s="21">
        <f t="shared" si="166"/>
        <v>0.27694677728631123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261.27638267284169</v>
      </c>
      <c r="BJ184" s="59">
        <f t="shared" si="146"/>
        <v>297.50513563712764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0.41941510604480559</v>
      </c>
      <c r="BQ184" s="21">
        <f>EXP(-LN(2)/25)*BQ183+(1-EXP(-LN(2)/25))/(LN(2)/25)*Calculateur!BL184*Calculateur!BN184*VLOOKUP('Données projet'!$B$11,Paramètres!$A$1:$I$89,3,0)*0.475*44/12</f>
        <v>0.42355882362063585</v>
      </c>
      <c r="BR184" s="21">
        <f>EXP(-LN(2)/2)*BR183+(1-EXP(-LN(2)/2))/(LN(2)/2)*BL184*BO184*VLOOKUP('Données projet'!$B$11,Paramètres!$A$1:$I$89,3,0)*0.475*44/12</f>
        <v>4.5671613439281837E-22</v>
      </c>
      <c r="BS184" s="22">
        <f t="shared" si="169"/>
        <v>0.84297392966544149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-1.1368683772161603E-13</v>
      </c>
      <c r="BZ184" s="13">
        <f>BY184*VLOOKUP('Données projet'!$B$12,Paramètres!$A$1:$I$89,3,0)*VLOOKUP('Données projet'!$B$12,Paramètres!$A$1:$I$89,5,0)</f>
        <v>-6.7984728957526396E-14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314.69202393413491</v>
      </c>
      <c r="CE184" s="59">
        <f t="shared" si="148"/>
        <v>321.1728368524748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0.17584852102399429</v>
      </c>
      <c r="CL184" s="21">
        <f>EXP(-LN(2)/25)*CL183+(1-EXP(-LN(2)/25))/(LN(2)/25)*Calculateur!CG184*Calculateur!CI184*VLOOKUP('Données projet'!$B$12,Paramètres!$A$1:$I$89,3,0)*0.475*44/12</f>
        <v>0.32431535108894155</v>
      </c>
      <c r="CM184" s="21">
        <f>EXP(-LN(2)/2)*CM183+(1-EXP(-LN(2)/2))/(LN(2)/2)*CG184*CJ184*VLOOKUP('Données projet'!$B$12,Paramètres!$A$1:$I$89,3,0)*0.475*44/12</f>
        <v>5.6718631230320609E-22</v>
      </c>
      <c r="CN184" s="22">
        <f t="shared" si="172"/>
        <v>0.50016387211293578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-1.2505552149377763E-12</v>
      </c>
      <c r="O185" s="13">
        <f>N185*VLOOKUP('Données projet'!$B$9,Paramètres!$A$1:$I$89,3,0)*VLOOKUP('Données projet'!$B$9,Paramètres!$A$1:$I$89,5,0)</f>
        <v>-6.9906036515021697E-13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415.91544298418842</v>
      </c>
      <c r="T185" s="59">
        <f t="shared" si="142"/>
        <v>422.79312683312583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0.56276958553968315</v>
      </c>
      <c r="AA185" s="21">
        <f>EXP(-LN(2)/25)*AA184+(1-EXP(-LN(2)/25))/(LN(2)/25)*Calculateur!V185*Calculateur!X185*VLOOKUP('Données projet'!$B$9,Paramètres!$A$1:$I$89,3,0)*0.475*44/12</f>
        <v>0.57294744238259265</v>
      </c>
      <c r="AB185" s="21">
        <f>EXP(-LN(2)/2)*AB184+(1-EXP(-LN(2)/2))/(LN(2)/2)*V185*Y185*VLOOKUP('Données projet'!$B$9,Paramètres!$A$1:$I$89,3,0)*0.475*44/12</f>
        <v>4.8270146291239325E-22</v>
      </c>
      <c r="AC185" s="22">
        <f t="shared" si="163"/>
        <v>1.1357170279222757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-5.3205440053716299E-14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215.23235148064941</v>
      </c>
      <c r="AO185" s="59">
        <f t="shared" si="144"/>
        <v>184.07239726900434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0.15447183773185555</v>
      </c>
      <c r="AV185" s="21">
        <f>EXP(-LN(2)/25)*AV184+(1-EXP(-LN(2)/25))/(LN(2)/25)*Calculateur!AQ185*Calculateur!AS185*VLOOKUP('Données projet'!$B$10,Paramètres!$A$1:$I$89,3,0)*0.475*44/12</f>
        <v>0.11612065813555683</v>
      </c>
      <c r="AW185" s="21">
        <f>EXP(-LN(2)/2)*AW184+(1-EXP(-LN(2)/2))/(LN(2)/2)*AQ185*AT185*VLOOKUP('Données projet'!$B$10,Paramètres!$A$1:$I$89,3,0)*0.475*44/12</f>
        <v>1.3012777221921136E-22</v>
      </c>
      <c r="AX185" s="21">
        <f t="shared" si="166"/>
        <v>0.27059249586741241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261.27638267284169</v>
      </c>
      <c r="BJ185" s="59">
        <f t="shared" si="146"/>
        <v>297.50513563712764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0.41119063163322173</v>
      </c>
      <c r="BQ185" s="21">
        <f>EXP(-LN(2)/25)*BQ184+(1-EXP(-LN(2)/25))/(LN(2)/25)*Calculateur!BL185*Calculateur!BN185*VLOOKUP('Données projet'!$B$11,Paramètres!$A$1:$I$89,3,0)*0.475*44/12</f>
        <v>0.41197658531473907</v>
      </c>
      <c r="BR185" s="21">
        <f>EXP(-LN(2)/2)*BR184+(1-EXP(-LN(2)/2))/(LN(2)/2)*BL185*BO185*VLOOKUP('Données projet'!$B$11,Paramètres!$A$1:$I$89,3,0)*0.475*44/12</f>
        <v>3.2294707570646846E-22</v>
      </c>
      <c r="BS185" s="22">
        <f t="shared" si="169"/>
        <v>0.8231672169479608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-1.1368683772161603E-13</v>
      </c>
      <c r="BZ185" s="13">
        <f>BY185*VLOOKUP('Données projet'!$B$12,Paramètres!$A$1:$I$89,3,0)*VLOOKUP('Données projet'!$B$12,Paramètres!$A$1:$I$89,5,0)</f>
        <v>-6.7984728957526396E-14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314.69202393413491</v>
      </c>
      <c r="CE185" s="59">
        <f t="shared" si="148"/>
        <v>321.1728368524748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0.17240023878372082</v>
      </c>
      <c r="CL185" s="21">
        <f>EXP(-LN(2)/25)*CL184+(1-EXP(-LN(2)/25))/(LN(2)/25)*Calculateur!CG185*Calculateur!CI185*VLOOKUP('Données projet'!$B$12,Paramètres!$A$1:$I$89,3,0)*0.475*44/12</f>
        <v>0.31544693075841135</v>
      </c>
      <c r="CM185" s="21">
        <f>EXP(-LN(2)/2)*CM184+(1-EXP(-LN(2)/2))/(LN(2)/2)*CG185*CJ185*VLOOKUP('Données projet'!$B$12,Paramètres!$A$1:$I$89,3,0)*0.475*44/12</f>
        <v>4.0106128762578796E-22</v>
      </c>
      <c r="CN185" s="22">
        <f t="shared" si="172"/>
        <v>0.48784716954213214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-1.2505552149377763E-12</v>
      </c>
      <c r="O186" s="13">
        <f>N186*VLOOKUP('Données projet'!$B$9,Paramètres!$A$1:$I$89,3,0)*VLOOKUP('Données projet'!$B$9,Paramètres!$A$1:$I$89,5,0)</f>
        <v>-6.9906036515021697E-13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415.91544298418842</v>
      </c>
      <c r="T186" s="59">
        <f t="shared" si="142"/>
        <v>422.79312683312583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0.55173401722280346</v>
      </c>
      <c r="AA186" s="21">
        <f>EXP(-LN(2)/25)*AA185+(1-EXP(-LN(2)/25))/(LN(2)/25)*Calculateur!V186*Calculateur!X186*VLOOKUP('Données projet'!$B$9,Paramètres!$A$1:$I$89,3,0)*0.475*44/12</f>
        <v>0.5572801644406441</v>
      </c>
      <c r="AB186" s="21">
        <f>EXP(-LN(2)/2)*AB185+(1-EXP(-LN(2)/2))/(LN(2)/2)*V186*Y186*VLOOKUP('Données projet'!$B$9,Paramètres!$A$1:$I$89,3,0)*0.475*44/12</f>
        <v>3.4132147771402004E-22</v>
      </c>
      <c r="AC186" s="22">
        <f t="shared" si="163"/>
        <v>1.1090141816634476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-5.3205440053716299E-14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215.23235148064941</v>
      </c>
      <c r="AO186" s="59">
        <f t="shared" si="144"/>
        <v>184.07239726900434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0.15144273921245158</v>
      </c>
      <c r="AV186" s="21">
        <f>EXP(-LN(2)/25)*AV185+(1-EXP(-LN(2)/25))/(LN(2)/25)*Calculateur!AQ186*Calculateur!AS186*VLOOKUP('Données projet'!$B$10,Paramètres!$A$1:$I$89,3,0)*0.475*44/12</f>
        <v>0.11294533263232001</v>
      </c>
      <c r="AW186" s="21">
        <f>EXP(-LN(2)/2)*AW185+(1-EXP(-LN(2)/2))/(LN(2)/2)*AQ186*AT186*VLOOKUP('Données projet'!$B$10,Paramètres!$A$1:$I$89,3,0)*0.475*44/12</f>
        <v>9.2014230156902789E-23</v>
      </c>
      <c r="AX186" s="21">
        <f t="shared" si="166"/>
        <v>0.26438807184477159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261.27638267284169</v>
      </c>
      <c r="BJ186" s="59">
        <f t="shared" si="146"/>
        <v>297.50513563712764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0.40312743414841495</v>
      </c>
      <c r="BQ186" s="21">
        <f>EXP(-LN(2)/25)*BQ185+(1-EXP(-LN(2)/25))/(LN(2)/25)*Calculateur!BL186*Calculateur!BN186*VLOOKUP('Données projet'!$B$11,Paramètres!$A$1:$I$89,3,0)*0.475*44/12</f>
        <v>0.40071106392440048</v>
      </c>
      <c r="BR186" s="21">
        <f>EXP(-LN(2)/2)*BR185+(1-EXP(-LN(2)/2))/(LN(2)/2)*BL186*BO186*VLOOKUP('Données projet'!$B$11,Paramètres!$A$1:$I$89,3,0)*0.475*44/12</f>
        <v>2.2835806719640919E-22</v>
      </c>
      <c r="BS186" s="22">
        <f t="shared" si="169"/>
        <v>0.80383849807281549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-1.1368683772161603E-13</v>
      </c>
      <c r="BZ186" s="13">
        <f>BY186*VLOOKUP('Données projet'!$B$12,Paramètres!$A$1:$I$89,3,0)*VLOOKUP('Données projet'!$B$12,Paramètres!$A$1:$I$89,5,0)</f>
        <v>-6.7984728957526396E-14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314.69202393413491</v>
      </c>
      <c r="CE186" s="59">
        <f t="shared" si="148"/>
        <v>321.1728368524748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0.16901957525493463</v>
      </c>
      <c r="CL186" s="21">
        <f>EXP(-LN(2)/25)*CL185+(1-EXP(-LN(2)/25))/(LN(2)/25)*Calculateur!CG186*Calculateur!CI186*VLOOKUP('Données projet'!$B$12,Paramètres!$A$1:$I$89,3,0)*0.475*44/12</f>
        <v>0.30682101784818949</v>
      </c>
      <c r="CM186" s="21">
        <f>EXP(-LN(2)/2)*CM185+(1-EXP(-LN(2)/2))/(LN(2)/2)*CG186*CJ186*VLOOKUP('Données projet'!$B$12,Paramètres!$A$1:$I$89,3,0)*0.475*44/12</f>
        <v>2.8359315615160304E-22</v>
      </c>
      <c r="CN186" s="22">
        <f t="shared" si="172"/>
        <v>0.4758405931031241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-1.2505552149377763E-12</v>
      </c>
      <c r="O187" s="13">
        <f>N187*VLOOKUP('Données projet'!$B$9,Paramètres!$A$1:$I$89,3,0)*VLOOKUP('Données projet'!$B$9,Paramètres!$A$1:$I$89,5,0)</f>
        <v>-6.9906036515021697E-13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415.91544298418842</v>
      </c>
      <c r="T187" s="59">
        <f t="shared" si="142"/>
        <v>422.79312683312583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0.54091484966958581</v>
      </c>
      <c r="AA187" s="21">
        <f>EXP(-LN(2)/25)*AA186+(1-EXP(-LN(2)/25))/(LN(2)/25)*Calculateur!V187*Calculateur!X187*VLOOKUP('Données projet'!$B$9,Paramètres!$A$1:$I$89,3,0)*0.475*44/12</f>
        <v>0.54204130903792447</v>
      </c>
      <c r="AB187" s="21">
        <f>EXP(-LN(2)/2)*AB186+(1-EXP(-LN(2)/2))/(LN(2)/2)*V187*Y187*VLOOKUP('Données projet'!$B$9,Paramètres!$A$1:$I$89,3,0)*0.475*44/12</f>
        <v>2.4135073145619662E-22</v>
      </c>
      <c r="AC187" s="22">
        <f t="shared" si="163"/>
        <v>1.0829561587075103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-5.3205440053716299E-14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215.23235148064941</v>
      </c>
      <c r="AO187" s="59">
        <f t="shared" si="144"/>
        <v>184.07239726900434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0.14847303946744544</v>
      </c>
      <c r="AV187" s="21">
        <f>EXP(-LN(2)/25)*AV186+(1-EXP(-LN(2)/25))/(LN(2)/25)*Calculateur!AQ187*Calculateur!AS187*VLOOKUP('Données projet'!$B$10,Paramètres!$A$1:$I$89,3,0)*0.475*44/12</f>
        <v>0.10985683657195232</v>
      </c>
      <c r="AW187" s="21">
        <f>EXP(-LN(2)/2)*AW186+(1-EXP(-LN(2)/2))/(LN(2)/2)*AQ187*AT187*VLOOKUP('Données projet'!$B$10,Paramètres!$A$1:$I$89,3,0)*0.475*44/12</f>
        <v>6.5063886109605682E-23</v>
      </c>
      <c r="AX187" s="21">
        <f t="shared" si="166"/>
        <v>0.25832987603939778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261.27638267284169</v>
      </c>
      <c r="BJ187" s="59">
        <f t="shared" si="146"/>
        <v>297.50513563712764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0.3952223510482204</v>
      </c>
      <c r="BQ187" s="21">
        <f>EXP(-LN(2)/25)*BQ186+(1-EXP(-LN(2)/25))/(LN(2)/25)*Calculateur!BL187*Calculateur!BN187*VLOOKUP('Données projet'!$B$11,Paramètres!$A$1:$I$89,3,0)*0.475*44/12</f>
        <v>0.38975359880890875</v>
      </c>
      <c r="BR187" s="21">
        <f>EXP(-LN(2)/2)*BR186+(1-EXP(-LN(2)/2))/(LN(2)/2)*BL187*BO187*VLOOKUP('Données projet'!$B$11,Paramètres!$A$1:$I$89,3,0)*0.475*44/12</f>
        <v>1.6147353785323423E-22</v>
      </c>
      <c r="BS187" s="22">
        <f t="shared" si="169"/>
        <v>0.78497594985712915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-1.1368683772161603E-13</v>
      </c>
      <c r="BZ187" s="13">
        <f>BY187*VLOOKUP('Données projet'!$B$12,Paramètres!$A$1:$I$89,3,0)*VLOOKUP('Données projet'!$B$12,Paramètres!$A$1:$I$89,5,0)</f>
        <v>-6.7984728957526396E-14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314.69202393413491</v>
      </c>
      <c r="CE187" s="59">
        <f t="shared" si="148"/>
        <v>321.1728368524748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0.1657052044759468</v>
      </c>
      <c r="CL187" s="21">
        <f>EXP(-LN(2)/25)*CL186+(1-EXP(-LN(2)/25))/(LN(2)/25)*Calculateur!CG187*Calculateur!CI187*VLOOKUP('Données projet'!$B$12,Paramètres!$A$1:$I$89,3,0)*0.475*44/12</f>
        <v>0.29843098098011467</v>
      </c>
      <c r="CM187" s="21">
        <f>EXP(-LN(2)/2)*CM186+(1-EXP(-LN(2)/2))/(LN(2)/2)*CG187*CJ187*VLOOKUP('Données projet'!$B$12,Paramètres!$A$1:$I$89,3,0)*0.475*44/12</f>
        <v>2.0053064381289398E-22</v>
      </c>
      <c r="CN187" s="22">
        <f t="shared" si="172"/>
        <v>0.4641361854560615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-1.2505552149377763E-12</v>
      </c>
      <c r="O188" s="13">
        <f>N188*VLOOKUP('Données projet'!$B$9,Paramètres!$A$1:$I$89,3,0)*VLOOKUP('Données projet'!$B$9,Paramètres!$A$1:$I$89,5,0)</f>
        <v>-6.9906036515021697E-13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415.91544298418842</v>
      </c>
      <c r="T188" s="59">
        <f t="shared" si="142"/>
        <v>422.79312683312583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0.53030783939304604</v>
      </c>
      <c r="AA188" s="21">
        <f>EXP(-LN(2)/25)*AA187+(1-EXP(-LN(2)/25))/(LN(2)/25)*Calculateur!V188*Calculateur!X188*VLOOKUP('Données projet'!$B$9,Paramètres!$A$1:$I$89,3,0)*0.475*44/12</f>
        <v>0.52721916093756882</v>
      </c>
      <c r="AB188" s="21">
        <f>EXP(-LN(2)/2)*AB187+(1-EXP(-LN(2)/2))/(LN(2)/2)*V188*Y188*VLOOKUP('Données projet'!$B$9,Paramètres!$A$1:$I$89,3,0)*0.475*44/12</f>
        <v>1.7066073885701002E-22</v>
      </c>
      <c r="AC188" s="22">
        <f t="shared" si="163"/>
        <v>1.057527000330615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-5.3205440053716299E-14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215.23235148064941</v>
      </c>
      <c r="AO188" s="59">
        <f t="shared" si="144"/>
        <v>184.07239726900434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0.14556157372310088</v>
      </c>
      <c r="AV188" s="21">
        <f>EXP(-LN(2)/25)*AV187+(1-EXP(-LN(2)/25))/(LN(2)/25)*Calculateur!AQ188*Calculateur!AS188*VLOOKUP('Données projet'!$B$10,Paramètres!$A$1:$I$89,3,0)*0.475*44/12</f>
        <v>0.10685279559877232</v>
      </c>
      <c r="AW188" s="21">
        <f>EXP(-LN(2)/2)*AW187+(1-EXP(-LN(2)/2))/(LN(2)/2)*AQ188*AT188*VLOOKUP('Données projet'!$B$10,Paramètres!$A$1:$I$89,3,0)*0.475*44/12</f>
        <v>4.6007115078451394E-23</v>
      </c>
      <c r="AX188" s="21">
        <f t="shared" si="166"/>
        <v>0.25241436932187322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261.27638267284169</v>
      </c>
      <c r="BJ188" s="59">
        <f t="shared" si="146"/>
        <v>297.50513563712764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0.38747228180599608</v>
      </c>
      <c r="BQ188" s="21">
        <f>EXP(-LN(2)/25)*BQ187+(1-EXP(-LN(2)/25))/(LN(2)/25)*Calculateur!BL188*Calculateur!BN188*VLOOKUP('Données projet'!$B$11,Paramètres!$A$1:$I$89,3,0)*0.475*44/12</f>
        <v>0.37909576615322815</v>
      </c>
      <c r="BR188" s="21">
        <f>EXP(-LN(2)/2)*BR187+(1-EXP(-LN(2)/2))/(LN(2)/2)*BL188*BO188*VLOOKUP('Données projet'!$B$11,Paramètres!$A$1:$I$89,3,0)*0.475*44/12</f>
        <v>1.1417903359820459E-22</v>
      </c>
      <c r="BS188" s="22">
        <f t="shared" si="169"/>
        <v>0.76656804795922429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-1.1368683772161603E-13</v>
      </c>
      <c r="BZ188" s="13">
        <f>BY188*VLOOKUP('Données projet'!$B$12,Paramètres!$A$1:$I$89,3,0)*VLOOKUP('Données projet'!$B$12,Paramètres!$A$1:$I$89,5,0)</f>
        <v>-6.7984728957526396E-14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314.69202393413491</v>
      </c>
      <c r="CE188" s="59">
        <f t="shared" si="148"/>
        <v>321.1728368524748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0.16245582648636836</v>
      </c>
      <c r="CL188" s="21">
        <f>EXP(-LN(2)/25)*CL187+(1-EXP(-LN(2)/25))/(LN(2)/25)*Calculateur!CG188*Calculateur!CI188*VLOOKUP('Données projet'!$B$12,Paramètres!$A$1:$I$89,3,0)*0.475*44/12</f>
        <v>0.29027037011141021</v>
      </c>
      <c r="CM188" s="21">
        <f>EXP(-LN(2)/2)*CM187+(1-EXP(-LN(2)/2))/(LN(2)/2)*CG188*CJ188*VLOOKUP('Données projet'!$B$12,Paramètres!$A$1:$I$89,3,0)*0.475*44/12</f>
        <v>1.4179657807580152E-22</v>
      </c>
      <c r="CN188" s="22">
        <f t="shared" si="172"/>
        <v>0.45272619659777857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-1.2505552149377763E-12</v>
      </c>
      <c r="O189" s="13">
        <f>N189*VLOOKUP('Données projet'!$B$9,Paramètres!$A$1:$I$89,3,0)*VLOOKUP('Données projet'!$B$9,Paramètres!$A$1:$I$89,5,0)</f>
        <v>-6.9906036515021697E-13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415.91544298418842</v>
      </c>
      <c r="T189" s="59">
        <f t="shared" si="142"/>
        <v>422.79312683312583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0.51990882611839184</v>
      </c>
      <c r="AA189" s="21">
        <f>EXP(-LN(2)/25)*AA188+(1-EXP(-LN(2)/25))/(LN(2)/25)*Calculateur!V189*Calculateur!X189*VLOOKUP('Données projet'!$B$9,Paramètres!$A$1:$I$89,3,0)*0.475*44/12</f>
        <v>0.51280232525648028</v>
      </c>
      <c r="AB189" s="21">
        <f>EXP(-LN(2)/2)*AB188+(1-EXP(-LN(2)/2))/(LN(2)/2)*V189*Y189*VLOOKUP('Données projet'!$B$9,Paramètres!$A$1:$I$89,3,0)*0.475*44/12</f>
        <v>1.2067536572809831E-22</v>
      </c>
      <c r="AC189" s="22">
        <f t="shared" si="163"/>
        <v>1.0327111513748721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-5.3205440053716299E-14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215.23235148064941</v>
      </c>
      <c r="AO189" s="59">
        <f t="shared" si="144"/>
        <v>184.07239726900434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0.14270720004618417</v>
      </c>
      <c r="AV189" s="21">
        <f>EXP(-LN(2)/25)*AV188+(1-EXP(-LN(2)/25))/(LN(2)/25)*Calculateur!AQ189*Calculateur!AS189*VLOOKUP('Données projet'!$B$10,Paramètres!$A$1:$I$89,3,0)*0.475*44/12</f>
        <v>0.10393090028397958</v>
      </c>
      <c r="AW189" s="21">
        <f>EXP(-LN(2)/2)*AW188+(1-EXP(-LN(2)/2))/(LN(2)/2)*AQ189*AT189*VLOOKUP('Données projet'!$B$10,Paramètres!$A$1:$I$89,3,0)*0.475*44/12</f>
        <v>3.2531943054802841E-23</v>
      </c>
      <c r="AX189" s="21">
        <f t="shared" si="166"/>
        <v>0.24663810033016376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261.27638267284169</v>
      </c>
      <c r="BJ189" s="59">
        <f t="shared" si="146"/>
        <v>297.50513563712764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0.37987418669453626</v>
      </c>
      <c r="BQ189" s="21">
        <f>EXP(-LN(2)/25)*BQ188+(1-EXP(-LN(2)/25))/(LN(2)/25)*Calculateur!BL189*Calculateur!BN189*VLOOKUP('Données projet'!$B$11,Paramètres!$A$1:$I$89,3,0)*0.475*44/12</f>
        <v>0.36872937249198823</v>
      </c>
      <c r="BR189" s="21">
        <f>EXP(-LN(2)/2)*BR188+(1-EXP(-LN(2)/2))/(LN(2)/2)*BL189*BO189*VLOOKUP('Données projet'!$B$11,Paramètres!$A$1:$I$89,3,0)*0.475*44/12</f>
        <v>8.0736768926617114E-23</v>
      </c>
      <c r="BS189" s="22">
        <f t="shared" si="169"/>
        <v>0.74860355918652455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-1.1368683772161603E-13</v>
      </c>
      <c r="BZ189" s="13">
        <f>BY189*VLOOKUP('Données projet'!$B$12,Paramètres!$A$1:$I$89,3,0)*VLOOKUP('Données projet'!$B$12,Paramètres!$A$1:$I$89,5,0)</f>
        <v>-6.7984728957526396E-14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314.69202393413491</v>
      </c>
      <c r="CE189" s="59">
        <f t="shared" si="148"/>
        <v>321.1728368524748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0.15927016681724068</v>
      </c>
      <c r="CL189" s="21">
        <f>EXP(-LN(2)/25)*CL188+(1-EXP(-LN(2)/25))/(LN(2)/25)*Calculateur!CG189*Calculateur!CI189*VLOOKUP('Données projet'!$B$12,Paramètres!$A$1:$I$89,3,0)*0.475*44/12</f>
        <v>0.28233291157605833</v>
      </c>
      <c r="CM189" s="21">
        <f>EXP(-LN(2)/2)*CM188+(1-EXP(-LN(2)/2))/(LN(2)/2)*CG189*CJ189*VLOOKUP('Données projet'!$B$12,Paramètres!$A$1:$I$89,3,0)*0.475*44/12</f>
        <v>1.0026532190644699E-22</v>
      </c>
      <c r="CN189" s="22">
        <f t="shared" si="172"/>
        <v>0.44160307839329904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-1.2505552149377763E-12</v>
      </c>
      <c r="O190" s="13">
        <f>N190*VLOOKUP('Données projet'!$B$9,Paramètres!$A$1:$I$89,3,0)*VLOOKUP('Données projet'!$B$9,Paramètres!$A$1:$I$89,5,0)</f>
        <v>-6.9906036515021697E-13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415.91544298418842</v>
      </c>
      <c r="T190" s="59">
        <f t="shared" si="142"/>
        <v>422.79312683312583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0.50971373115128182</v>
      </c>
      <c r="AA190" s="21">
        <f>EXP(-LN(2)/25)*AA189+(1-EXP(-LN(2)/25))/(LN(2)/25)*Calculateur!V190*Calculateur!X190*VLOOKUP('Données projet'!$B$9,Paramètres!$A$1:$I$89,3,0)*0.475*44/12</f>
        <v>0.49877971870523957</v>
      </c>
      <c r="AB190" s="21">
        <f>EXP(-LN(2)/2)*AB189+(1-EXP(-LN(2)/2))/(LN(2)/2)*V190*Y190*VLOOKUP('Données projet'!$B$9,Paramètres!$A$1:$I$89,3,0)*0.475*44/12</f>
        <v>8.533036942850501E-23</v>
      </c>
      <c r="AC190" s="22">
        <f t="shared" si="163"/>
        <v>1.0084934498565215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-5.3205440053716299E-14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215.23235148064941</v>
      </c>
      <c r="AO190" s="59">
        <f t="shared" si="144"/>
        <v>184.07239726900434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0.13990879889607577</v>
      </c>
      <c r="AV190" s="21">
        <f>EXP(-LN(2)/25)*AV189+(1-EXP(-LN(2)/25))/(LN(2)/25)*Calculateur!AQ190*Calculateur!AS190*VLOOKUP('Données projet'!$B$10,Paramètres!$A$1:$I$89,3,0)*0.475*44/12</f>
        <v>0.10108890435022565</v>
      </c>
      <c r="AW190" s="21">
        <f>EXP(-LN(2)/2)*AW189+(1-EXP(-LN(2)/2))/(LN(2)/2)*AQ190*AT190*VLOOKUP('Données projet'!$B$10,Paramètres!$A$1:$I$89,3,0)*0.475*44/12</f>
        <v>2.3003557539225697E-23</v>
      </c>
      <c r="AX190" s="21">
        <f t="shared" si="166"/>
        <v>0.24099770324630143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261.27638267284169</v>
      </c>
      <c r="BJ190" s="59">
        <f t="shared" si="146"/>
        <v>297.50513563712764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0.37242508559383181</v>
      </c>
      <c r="BQ190" s="21">
        <f>EXP(-LN(2)/25)*BQ189+(1-EXP(-LN(2)/25))/(LN(2)/25)*Calculateur!BL190*Calculateur!BN190*VLOOKUP('Données projet'!$B$11,Paramètres!$A$1:$I$89,3,0)*0.475*44/12</f>
        <v>0.35864644841055987</v>
      </c>
      <c r="BR190" s="21">
        <f>EXP(-LN(2)/2)*BR189+(1-EXP(-LN(2)/2))/(LN(2)/2)*BL190*BO190*VLOOKUP('Données projet'!$B$11,Paramètres!$A$1:$I$89,3,0)*0.475*44/12</f>
        <v>5.7089516799102296E-23</v>
      </c>
      <c r="BS190" s="22">
        <f t="shared" si="169"/>
        <v>0.73107153400439162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-1.1368683772161603E-13</v>
      </c>
      <c r="BZ190" s="13">
        <f>BY190*VLOOKUP('Données projet'!$B$12,Paramètres!$A$1:$I$89,3,0)*VLOOKUP('Données projet'!$B$12,Paramètres!$A$1:$I$89,5,0)</f>
        <v>-6.7984728957526396E-14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314.69202393413491</v>
      </c>
      <c r="CE190" s="59">
        <f t="shared" si="148"/>
        <v>321.1728368524748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0.15614697599116406</v>
      </c>
      <c r="CL190" s="21">
        <f>EXP(-LN(2)/25)*CL189+(1-EXP(-LN(2)/25))/(LN(2)/25)*Calculateur!CG190*Calculateur!CI190*VLOOKUP('Données projet'!$B$12,Paramètres!$A$1:$I$89,3,0)*0.475*44/12</f>
        <v>0.2746125032617685</v>
      </c>
      <c r="CM190" s="21">
        <f>EXP(-LN(2)/2)*CM189+(1-EXP(-LN(2)/2))/(LN(2)/2)*CG190*CJ190*VLOOKUP('Données projet'!$B$12,Paramètres!$A$1:$I$89,3,0)*0.475*44/12</f>
        <v>7.0898289037900761E-23</v>
      </c>
      <c r="CN190" s="22">
        <f t="shared" si="172"/>
        <v>0.43075947925293256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-1.2505552149377763E-12</v>
      </c>
      <c r="O191" s="13">
        <f>N191*VLOOKUP('Données projet'!$B$9,Paramètres!$A$1:$I$89,3,0)*VLOOKUP('Données projet'!$B$9,Paramètres!$A$1:$I$89,5,0)</f>
        <v>-6.9906036515021697E-13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415.91544298418842</v>
      </c>
      <c r="T191" s="59">
        <f t="shared" si="142"/>
        <v>422.79312683312583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0.49971855577808288</v>
      </c>
      <c r="AA191" s="21">
        <f>EXP(-LN(2)/25)*AA190+(1-EXP(-LN(2)/25))/(LN(2)/25)*Calculateur!V191*Calculateur!X191*VLOOKUP('Données projet'!$B$9,Paramètres!$A$1:$I$89,3,0)*0.475*44/12</f>
        <v>0.48514056106755937</v>
      </c>
      <c r="AB191" s="21">
        <f>EXP(-LN(2)/2)*AB190+(1-EXP(-LN(2)/2))/(LN(2)/2)*V191*Y191*VLOOKUP('Données projet'!$B$9,Paramètres!$A$1:$I$89,3,0)*0.475*44/12</f>
        <v>6.0337682864049156E-23</v>
      </c>
      <c r="AC191" s="22">
        <f t="shared" si="163"/>
        <v>0.9848591168456422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-5.3205440053716299E-14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215.23235148064941</v>
      </c>
      <c r="AO191" s="59">
        <f t="shared" si="144"/>
        <v>184.07239726900434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0.13716527268566484</v>
      </c>
      <c r="AV191" s="21">
        <f>EXP(-LN(2)/25)*AV190+(1-EXP(-LN(2)/25))/(LN(2)/25)*Calculateur!AQ191*Calculateur!AS191*VLOOKUP('Données projet'!$B$10,Paramètres!$A$1:$I$89,3,0)*0.475*44/12</f>
        <v>9.8324622944734291E-2</v>
      </c>
      <c r="AW191" s="21">
        <f>EXP(-LN(2)/2)*AW190+(1-EXP(-LN(2)/2))/(LN(2)/2)*AQ191*AT191*VLOOKUP('Données projet'!$B$10,Paramètres!$A$1:$I$89,3,0)*0.475*44/12</f>
        <v>1.626597152740142E-23</v>
      </c>
      <c r="AX191" s="21">
        <f t="shared" si="166"/>
        <v>0.23548989563039913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261.27638267284169</v>
      </c>
      <c r="BJ191" s="59">
        <f t="shared" si="146"/>
        <v>297.50513563712764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0.36512205682220911</v>
      </c>
      <c r="BQ191" s="21">
        <f>EXP(-LN(2)/25)*BQ190+(1-EXP(-LN(2)/25))/(LN(2)/25)*Calculateur!BL191*Calculateur!BN191*VLOOKUP('Données projet'!$B$11,Paramètres!$A$1:$I$89,3,0)*0.475*44/12</f>
        <v>0.34883924241837611</v>
      </c>
      <c r="BR191" s="21">
        <f>EXP(-LN(2)/2)*BR190+(1-EXP(-LN(2)/2))/(LN(2)/2)*BL191*BO191*VLOOKUP('Données projet'!$B$11,Paramètres!$A$1:$I$89,3,0)*0.475*44/12</f>
        <v>4.0368384463308557E-23</v>
      </c>
      <c r="BS191" s="22">
        <f t="shared" si="169"/>
        <v>0.71396129924058527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-1.1368683772161603E-13</v>
      </c>
      <c r="BZ191" s="13">
        <f>BY191*VLOOKUP('Données projet'!$B$12,Paramètres!$A$1:$I$89,3,0)*VLOOKUP('Données projet'!$B$12,Paramètres!$A$1:$I$89,5,0)</f>
        <v>-6.7984728957526396E-14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314.69202393413491</v>
      </c>
      <c r="CE191" s="59">
        <f t="shared" si="148"/>
        <v>321.1728368524748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0.15308502903222848</v>
      </c>
      <c r="CL191" s="21">
        <f>EXP(-LN(2)/25)*CL190+(1-EXP(-LN(2)/25))/(LN(2)/25)*Calculateur!CG191*Calculateur!CI191*VLOOKUP('Données projet'!$B$12,Paramètres!$A$1:$I$89,3,0)*0.475*44/12</f>
        <v>0.26710320991883152</v>
      </c>
      <c r="CM191" s="21">
        <f>EXP(-LN(2)/2)*CM190+(1-EXP(-LN(2)/2))/(LN(2)/2)*CG191*CJ191*VLOOKUP('Données projet'!$B$12,Paramètres!$A$1:$I$89,3,0)*0.475*44/12</f>
        <v>5.0132660953223495E-23</v>
      </c>
      <c r="CN191" s="22">
        <f t="shared" si="172"/>
        <v>0.42018823895106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-1.2505552149377763E-12</v>
      </c>
      <c r="O192" s="13">
        <f>N192*VLOOKUP('Données projet'!$B$9,Paramètres!$A$1:$I$89,3,0)*VLOOKUP('Données projet'!$B$9,Paramètres!$A$1:$I$89,5,0)</f>
        <v>-6.9906036515021697E-13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415.91544298418842</v>
      </c>
      <c r="T192" s="59">
        <f t="shared" si="142"/>
        <v>422.79312683312583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0.48991937969749738</v>
      </c>
      <c r="AA192" s="21">
        <f>EXP(-LN(2)/25)*AA191+(1-EXP(-LN(2)/25))/(LN(2)/25)*Calculateur!V192*Calculateur!X192*VLOOKUP('Données projet'!$B$9,Paramètres!$A$1:$I$89,3,0)*0.475*44/12</f>
        <v>0.47187436691273366</v>
      </c>
      <c r="AB192" s="21">
        <f>EXP(-LN(2)/2)*AB191+(1-EXP(-LN(2)/2))/(LN(2)/2)*V192*Y192*VLOOKUP('Données projet'!$B$9,Paramètres!$A$1:$I$89,3,0)*0.475*44/12</f>
        <v>4.2665184714252505E-23</v>
      </c>
      <c r="AC192" s="22">
        <f t="shared" si="163"/>
        <v>0.96179374661023109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-5.3205440053716299E-14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215.23235148064941</v>
      </c>
      <c r="AO192" s="59">
        <f t="shared" si="144"/>
        <v>184.07239726900434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0.13447554535085429</v>
      </c>
      <c r="AV192" s="21">
        <f>EXP(-LN(2)/25)*AV191+(1-EXP(-LN(2)/25))/(LN(2)/25)*Calculateur!AQ192*Calculateur!AS192*VLOOKUP('Données projet'!$B$10,Paramètres!$A$1:$I$89,3,0)*0.475*44/12</f>
        <v>9.5635930959643331E-2</v>
      </c>
      <c r="AW192" s="21">
        <f>EXP(-LN(2)/2)*AW191+(1-EXP(-LN(2)/2))/(LN(2)/2)*AQ192*AT192*VLOOKUP('Données projet'!$B$10,Paramètres!$A$1:$I$89,3,0)*0.475*44/12</f>
        <v>1.1501778769612849E-23</v>
      </c>
      <c r="AX192" s="21">
        <f t="shared" si="166"/>
        <v>0.23011147631049761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261.27638267284169</v>
      </c>
      <c r="BJ192" s="59">
        <f t="shared" si="146"/>
        <v>297.50513563712764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0.35796223599039023</v>
      </c>
      <c r="BQ192" s="21">
        <f>EXP(-LN(2)/25)*BQ191+(1-EXP(-LN(2)/25))/(LN(2)/25)*Calculateur!BL192*Calculateur!BN192*VLOOKUP('Données projet'!$B$11,Paramètres!$A$1:$I$89,3,0)*0.475*44/12</f>
        <v>0.33930021498978713</v>
      </c>
      <c r="BR192" s="21">
        <f>EXP(-LN(2)/2)*BR191+(1-EXP(-LN(2)/2))/(LN(2)/2)*BL192*BO192*VLOOKUP('Données projet'!$B$11,Paramètres!$A$1:$I$89,3,0)*0.475*44/12</f>
        <v>2.8544758399551148E-23</v>
      </c>
      <c r="BS192" s="22">
        <f t="shared" si="169"/>
        <v>0.69726245098017736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-1.1368683772161603E-13</v>
      </c>
      <c r="BZ192" s="13">
        <f>BY192*VLOOKUP('Données projet'!$B$12,Paramètres!$A$1:$I$89,3,0)*VLOOKUP('Données projet'!$B$12,Paramètres!$A$1:$I$89,5,0)</f>
        <v>-6.7984728957526396E-14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314.69202393413491</v>
      </c>
      <c r="CE192" s="59">
        <f t="shared" si="148"/>
        <v>321.1728368524748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0.1500831249855544</v>
      </c>
      <c r="CL192" s="21">
        <f>EXP(-LN(2)/25)*CL191+(1-EXP(-LN(2)/25))/(LN(2)/25)*Calculateur!CG192*Calculateur!CI192*VLOOKUP('Données projet'!$B$12,Paramètres!$A$1:$I$89,3,0)*0.475*44/12</f>
        <v>0.25979925859725372</v>
      </c>
      <c r="CM192" s="21">
        <f>EXP(-LN(2)/2)*CM191+(1-EXP(-LN(2)/2))/(LN(2)/2)*CG192*CJ192*VLOOKUP('Données projet'!$B$12,Paramètres!$A$1:$I$89,3,0)*0.475*44/12</f>
        <v>3.5449144518950381E-23</v>
      </c>
      <c r="CN192" s="22">
        <f t="shared" si="172"/>
        <v>0.40988238358280815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-1.2505552149377763E-12</v>
      </c>
      <c r="O193" s="13">
        <f>N193*VLOOKUP('Données projet'!$B$9,Paramètres!$A$1:$I$89,3,0)*VLOOKUP('Données projet'!$B$9,Paramètres!$A$1:$I$89,5,0)</f>
        <v>-6.9906036515021697E-13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415.91544298418842</v>
      </c>
      <c r="T193" s="59">
        <f t="shared" si="142"/>
        <v>422.79312683312583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0.48031235948294493</v>
      </c>
      <c r="AA193" s="21">
        <f>EXP(-LN(2)/25)*AA192+(1-EXP(-LN(2)/25))/(LN(2)/25)*Calculateur!V193*Calculateur!X193*VLOOKUP('Données projet'!$B$9,Paramètres!$A$1:$I$89,3,0)*0.475*44/12</f>
        <v>0.45897093753471047</v>
      </c>
      <c r="AB193" s="21">
        <f>EXP(-LN(2)/2)*AB192+(1-EXP(-LN(2)/2))/(LN(2)/2)*V193*Y193*VLOOKUP('Données projet'!$B$9,Paramètres!$A$1:$I$89,3,0)*0.475*44/12</f>
        <v>3.0168841432024578E-23</v>
      </c>
      <c r="AC193" s="22">
        <f t="shared" si="163"/>
        <v>0.93928329701765545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-5.3205440053716299E-14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215.23235148064941</v>
      </c>
      <c r="AO193" s="59">
        <f t="shared" si="144"/>
        <v>184.07239726900434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0.13183856192850771</v>
      </c>
      <c r="AV193" s="21">
        <f>EXP(-LN(2)/25)*AV192+(1-EXP(-LN(2)/25))/(LN(2)/25)*Calculateur!AQ193*Calculateur!AS193*VLOOKUP('Données projet'!$B$10,Paramètres!$A$1:$I$89,3,0)*0.475*44/12</f>
        <v>9.3020761398276849E-2</v>
      </c>
      <c r="AW193" s="21">
        <f>EXP(-LN(2)/2)*AW192+(1-EXP(-LN(2)/2))/(LN(2)/2)*AQ193*AT193*VLOOKUP('Données projet'!$B$10,Paramètres!$A$1:$I$89,3,0)*0.475*44/12</f>
        <v>8.1329857637007102E-24</v>
      </c>
      <c r="AX193" s="21">
        <f t="shared" si="166"/>
        <v>0.22485932332678454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261.27638267284169</v>
      </c>
      <c r="BJ193" s="59">
        <f t="shared" si="146"/>
        <v>297.50513563712764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0.35094281487802381</v>
      </c>
      <c r="BQ193" s="21">
        <f>EXP(-LN(2)/25)*BQ192+(1-EXP(-LN(2)/25))/(LN(2)/25)*Calculateur!BL193*Calculateur!BN193*VLOOKUP('Données projet'!$B$11,Paramètres!$A$1:$I$89,3,0)*0.475*44/12</f>
        <v>0.33002203276786857</v>
      </c>
      <c r="BR193" s="21">
        <f>EXP(-LN(2)/2)*BR192+(1-EXP(-LN(2)/2))/(LN(2)/2)*BL193*BO193*VLOOKUP('Données projet'!$B$11,Paramètres!$A$1:$I$89,3,0)*0.475*44/12</f>
        <v>2.0184192231654279E-23</v>
      </c>
      <c r="BS193" s="22">
        <f t="shared" si="169"/>
        <v>0.68096484764589238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-1.1368683772161603E-13</v>
      </c>
      <c r="BZ193" s="13">
        <f>BY193*VLOOKUP('Données projet'!$B$12,Paramètres!$A$1:$I$89,3,0)*VLOOKUP('Données projet'!$B$12,Paramètres!$A$1:$I$89,5,0)</f>
        <v>-6.7984728957526396E-14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314.69202393413491</v>
      </c>
      <c r="CE193" s="59">
        <f t="shared" si="148"/>
        <v>321.1728368524748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0.14714008644625493</v>
      </c>
      <c r="CL193" s="21">
        <f>EXP(-LN(2)/25)*CL192+(1-EXP(-LN(2)/25))/(LN(2)/25)*Calculateur!CG193*Calculateur!CI193*VLOOKUP('Données projet'!$B$12,Paramètres!$A$1:$I$89,3,0)*0.475*44/12</f>
        <v>0.25269503420866257</v>
      </c>
      <c r="CM193" s="21">
        <f>EXP(-LN(2)/2)*CM192+(1-EXP(-LN(2)/2))/(LN(2)/2)*CG193*CJ193*VLOOKUP('Données projet'!$B$12,Paramètres!$A$1:$I$89,3,0)*0.475*44/12</f>
        <v>2.5066330476611748E-23</v>
      </c>
      <c r="CN193" s="22">
        <f t="shared" si="172"/>
        <v>0.3998351206549175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-1.2505552149377763E-12</v>
      </c>
      <c r="O194" s="13">
        <f>N194*VLOOKUP('Données projet'!$B$9,Paramètres!$A$1:$I$89,3,0)*VLOOKUP('Données projet'!$B$9,Paramètres!$A$1:$I$89,5,0)</f>
        <v>-6.9906036515021697E-13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415.91544298418842</v>
      </c>
      <c r="T194" s="59">
        <f t="shared" si="142"/>
        <v>422.79312683312583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0.47089372707509608</v>
      </c>
      <c r="AA194" s="21">
        <f>EXP(-LN(2)/25)*AA193+(1-EXP(-LN(2)/25))/(LN(2)/25)*Calculateur!V194*Calculateur!X194*VLOOKUP('Données projet'!$B$9,Paramètres!$A$1:$I$89,3,0)*0.475*44/12</f>
        <v>0.44642035311159117</v>
      </c>
      <c r="AB194" s="21">
        <f>EXP(-LN(2)/2)*AB193+(1-EXP(-LN(2)/2))/(LN(2)/2)*V194*Y194*VLOOKUP('Données projet'!$B$9,Paramètres!$A$1:$I$89,3,0)*0.475*44/12</f>
        <v>2.1332592357126253E-23</v>
      </c>
      <c r="AC194" s="22">
        <f t="shared" si="163"/>
        <v>0.91731408018668725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-5.3205440053716299E-14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215.23235148064941</v>
      </c>
      <c r="AO194" s="59">
        <f t="shared" si="144"/>
        <v>184.07239726900434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0.12925328814267226</v>
      </c>
      <c r="AV194" s="21">
        <f>EXP(-LN(2)/25)*AV193+(1-EXP(-LN(2)/25))/(LN(2)/25)*Calculateur!AQ194*Calculateur!AS194*VLOOKUP('Données projet'!$B$10,Paramètres!$A$1:$I$89,3,0)*0.475*44/12</f>
        <v>9.0477103786091723E-2</v>
      </c>
      <c r="AW194" s="21">
        <f>EXP(-LN(2)/2)*AW193+(1-EXP(-LN(2)/2))/(LN(2)/2)*AQ194*AT194*VLOOKUP('Données projet'!$B$10,Paramètres!$A$1:$I$89,3,0)*0.475*44/12</f>
        <v>5.7508893848064243E-24</v>
      </c>
      <c r="AX194" s="21">
        <f t="shared" si="166"/>
        <v>0.21973039192876398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261.27638267284169</v>
      </c>
      <c r="BJ194" s="59">
        <f t="shared" si="146"/>
        <v>297.50513563712764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0.34406104033224677</v>
      </c>
      <c r="BQ194" s="21">
        <f>EXP(-LN(2)/25)*BQ193+(1-EXP(-LN(2)/25))/(LN(2)/25)*Calculateur!BL194*Calculateur!BN194*VLOOKUP('Données projet'!$B$11,Paramètres!$A$1:$I$89,3,0)*0.475*44/12</f>
        <v>0.32099756292672676</v>
      </c>
      <c r="BR194" s="21">
        <f>EXP(-LN(2)/2)*BR193+(1-EXP(-LN(2)/2))/(LN(2)/2)*BL194*BO194*VLOOKUP('Données projet'!$B$11,Paramètres!$A$1:$I$89,3,0)*0.475*44/12</f>
        <v>1.4272379199775574E-23</v>
      </c>
      <c r="BS194" s="22">
        <f t="shared" si="169"/>
        <v>0.66505860325897359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-1.1368683772161603E-13</v>
      </c>
      <c r="BZ194" s="13">
        <f>BY194*VLOOKUP('Données projet'!$B$12,Paramètres!$A$1:$I$89,3,0)*VLOOKUP('Données projet'!$B$12,Paramètres!$A$1:$I$89,5,0)</f>
        <v>-6.7984728957526396E-14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314.69202393413491</v>
      </c>
      <c r="CE194" s="59">
        <f t="shared" si="148"/>
        <v>321.1728368524748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0.14425475909763485</v>
      </c>
      <c r="CL194" s="21">
        <f>EXP(-LN(2)/25)*CL193+(1-EXP(-LN(2)/25))/(LN(2)/25)*Calculateur!CG194*Calculateur!CI194*VLOOKUP('Données projet'!$B$12,Paramètres!$A$1:$I$89,3,0)*0.475*44/12</f>
        <v>0.24578507520957238</v>
      </c>
      <c r="CM194" s="21">
        <f>EXP(-LN(2)/2)*CM193+(1-EXP(-LN(2)/2))/(LN(2)/2)*CG194*CJ194*VLOOKUP('Données projet'!$B$12,Paramètres!$A$1:$I$89,3,0)*0.475*44/12</f>
        <v>1.772457225947519E-23</v>
      </c>
      <c r="CN194" s="22">
        <f t="shared" si="172"/>
        <v>0.39003983430720723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-1.2505552149377763E-12</v>
      </c>
      <c r="O195" s="13">
        <f>N195*VLOOKUP('Données projet'!$B$9,Paramètres!$A$1:$I$89,3,0)*VLOOKUP('Données projet'!$B$9,Paramètres!$A$1:$I$89,5,0)</f>
        <v>-6.9906036515021697E-13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415.91544298418842</v>
      </c>
      <c r="T195" s="59">
        <f t="shared" si="142"/>
        <v>422.79312683312583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0.46165978830396665</v>
      </c>
      <c r="AA195" s="21">
        <f>EXP(-LN(2)/25)*AA194+(1-EXP(-LN(2)/25))/(LN(2)/25)*Calculateur!V195*Calculateur!X195*VLOOKUP('Données projet'!$B$9,Paramètres!$A$1:$I$89,3,0)*0.475*44/12</f>
        <v>0.43421296507952867</v>
      </c>
      <c r="AB195" s="21">
        <f>EXP(-LN(2)/2)*AB194+(1-EXP(-LN(2)/2))/(LN(2)/2)*V195*Y195*VLOOKUP('Données projet'!$B$9,Paramètres!$A$1:$I$89,3,0)*0.475*44/12</f>
        <v>1.5084420716012289E-23</v>
      </c>
      <c r="AC195" s="22">
        <f t="shared" si="163"/>
        <v>0.89587275338349537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-5.3205440053716299E-14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215.23235148064941</v>
      </c>
      <c r="AO195" s="59">
        <f t="shared" si="144"/>
        <v>184.07239726900434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0.12671870999891574</v>
      </c>
      <c r="AV195" s="21">
        <f>EXP(-LN(2)/25)*AV194+(1-EXP(-LN(2)/25))/(LN(2)/25)*Calculateur!AQ195*Calculateur!AS195*VLOOKUP('Données projet'!$B$10,Paramètres!$A$1:$I$89,3,0)*0.475*44/12</f>
        <v>8.8003002625076945E-2</v>
      </c>
      <c r="AW195" s="21">
        <f>EXP(-LN(2)/2)*AW194+(1-EXP(-LN(2)/2))/(LN(2)/2)*AQ195*AT195*VLOOKUP('Données projet'!$B$10,Paramètres!$A$1:$I$89,3,0)*0.475*44/12</f>
        <v>4.0664928818503551E-24</v>
      </c>
      <c r="AX195" s="21">
        <f t="shared" si="166"/>
        <v>0.2147217126239927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261.27638267284169</v>
      </c>
      <c r="BJ195" s="59">
        <f t="shared" si="146"/>
        <v>297.50513563712764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0.33731421318784438</v>
      </c>
      <c r="BQ195" s="21">
        <f>EXP(-LN(2)/25)*BQ194+(1-EXP(-LN(2)/25))/(LN(2)/25)*Calculateur!BL195*Calculateur!BN195*VLOOKUP('Données projet'!$B$11,Paramètres!$A$1:$I$89,3,0)*0.475*44/12</f>
        <v>0.31221986768796722</v>
      </c>
      <c r="BR195" s="21">
        <f>EXP(-LN(2)/2)*BR194+(1-EXP(-LN(2)/2))/(LN(2)/2)*BL195*BO195*VLOOKUP('Données projet'!$B$11,Paramètres!$A$1:$I$89,3,0)*0.475*44/12</f>
        <v>1.0092096115827139E-23</v>
      </c>
      <c r="BS195" s="22">
        <f t="shared" si="169"/>
        <v>0.64953408087581166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-1.1368683772161603E-13</v>
      </c>
      <c r="BZ195" s="13">
        <f>BY195*VLOOKUP('Données projet'!$B$12,Paramètres!$A$1:$I$89,3,0)*VLOOKUP('Données projet'!$B$12,Paramètres!$A$1:$I$89,5,0)</f>
        <v>-6.7984728957526396E-14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314.69202393413491</v>
      </c>
      <c r="CE195" s="59">
        <f t="shared" si="148"/>
        <v>321.1728368524748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0.14142601125844531</v>
      </c>
      <c r="CL195" s="21">
        <f>EXP(-LN(2)/25)*CL194+(1-EXP(-LN(2)/25))/(LN(2)/25)*Calculateur!CG195*Calculateur!CI195*VLOOKUP('Données projet'!$B$12,Paramètres!$A$1:$I$89,3,0)*0.475*44/12</f>
        <v>0.23906406940269126</v>
      </c>
      <c r="CM195" s="21">
        <f>EXP(-LN(2)/2)*CM194+(1-EXP(-LN(2)/2))/(LN(2)/2)*CG195*CJ195*VLOOKUP('Données projet'!$B$12,Paramètres!$A$1:$I$89,3,0)*0.475*44/12</f>
        <v>1.2533165238305874E-23</v>
      </c>
      <c r="CN195" s="22">
        <f t="shared" si="172"/>
        <v>0.38049008066113654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-1.2505552149377763E-12</v>
      </c>
      <c r="O196" s="13">
        <f>N196*VLOOKUP('Données projet'!$B$9,Paramètres!$A$1:$I$89,3,0)*VLOOKUP('Données projet'!$B$9,Paramètres!$A$1:$I$89,5,0)</f>
        <v>-6.9906036515021697E-13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415.91544298418842</v>
      </c>
      <c r="T196" s="59">
        <f t="shared" si="142"/>
        <v>422.79312683312583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0.45260692143999254</v>
      </c>
      <c r="AA196" s="21">
        <f>EXP(-LN(2)/25)*AA195+(1-EXP(-LN(2)/25))/(LN(2)/25)*Calculateur!V196*Calculateur!X196*VLOOKUP('Données projet'!$B$9,Paramètres!$A$1:$I$89,3,0)*0.475*44/12</f>
        <v>0.42233938871516152</v>
      </c>
      <c r="AB196" s="21">
        <f>EXP(-LN(2)/2)*AB195+(1-EXP(-LN(2)/2))/(LN(2)/2)*V196*Y196*VLOOKUP('Données projet'!$B$9,Paramètres!$A$1:$I$89,3,0)*0.475*44/12</f>
        <v>1.0666296178563126E-23</v>
      </c>
      <c r="AC196" s="22">
        <f t="shared" si="163"/>
        <v>0.87494631015515401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-5.3205440053716299E-14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215.23235148064941</v>
      </c>
      <c r="AO196" s="59">
        <f t="shared" si="144"/>
        <v>184.07239726900434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0.12423383338661827</v>
      </c>
      <c r="AV196" s="21">
        <f>EXP(-LN(2)/25)*AV195+(1-EXP(-LN(2)/25))/(LN(2)/25)*Calculateur!AQ196*Calculateur!AS196*VLOOKUP('Données projet'!$B$10,Paramètres!$A$1:$I$89,3,0)*0.475*44/12</f>
        <v>8.5596555890417439E-2</v>
      </c>
      <c r="AW196" s="21">
        <f>EXP(-LN(2)/2)*AW195+(1-EXP(-LN(2)/2))/(LN(2)/2)*AQ196*AT196*VLOOKUP('Données projet'!$B$10,Paramètres!$A$1:$I$89,3,0)*0.475*44/12</f>
        <v>2.8754446924032122E-24</v>
      </c>
      <c r="AX196" s="21">
        <f t="shared" si="166"/>
        <v>0.20983038927703571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261.27638267284169</v>
      </c>
      <c r="BJ196" s="59">
        <f t="shared" si="146"/>
        <v>297.50513563712764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0.3306996872085855</v>
      </c>
      <c r="BQ196" s="21">
        <f>EXP(-LN(2)/25)*BQ195+(1-EXP(-LN(2)/25))/(LN(2)/25)*Calculateur!BL196*Calculateur!BN196*VLOOKUP('Données projet'!$B$11,Paramètres!$A$1:$I$89,3,0)*0.475*44/12</f>
        <v>0.30368219898711052</v>
      </c>
      <c r="BR196" s="21">
        <f>EXP(-LN(2)/2)*BR195+(1-EXP(-LN(2)/2))/(LN(2)/2)*BL196*BO196*VLOOKUP('Données projet'!$B$11,Paramètres!$A$1:$I$89,3,0)*0.475*44/12</f>
        <v>7.1361895998877871E-24</v>
      </c>
      <c r="BS196" s="22">
        <f t="shared" si="169"/>
        <v>0.63438188619569602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-1.1368683772161603E-13</v>
      </c>
      <c r="BZ196" s="13">
        <f>BY196*VLOOKUP('Données projet'!$B$12,Paramètres!$A$1:$I$89,3,0)*VLOOKUP('Données projet'!$B$12,Paramètres!$A$1:$I$89,5,0)</f>
        <v>-6.7984728957526396E-14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314.69202393413491</v>
      </c>
      <c r="CE196" s="59">
        <f t="shared" si="148"/>
        <v>321.1728368524748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0.13865273343901646</v>
      </c>
      <c r="CL196" s="21">
        <f>EXP(-LN(2)/25)*CL195+(1-EXP(-LN(2)/25))/(LN(2)/25)*Calculateur!CG196*Calculateur!CI196*VLOOKUP('Données projet'!$B$12,Paramètres!$A$1:$I$89,3,0)*0.475*44/12</f>
        <v>0.23252684985304164</v>
      </c>
      <c r="CM196" s="21">
        <f>EXP(-LN(2)/2)*CM195+(1-EXP(-LN(2)/2))/(LN(2)/2)*CG196*CJ196*VLOOKUP('Données projet'!$B$12,Paramètres!$A$1:$I$89,3,0)*0.475*44/12</f>
        <v>8.8622861297375951E-24</v>
      </c>
      <c r="CN196" s="22">
        <f t="shared" si="172"/>
        <v>0.37117958329205814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-1.2505552149377763E-12</v>
      </c>
      <c r="O197" s="13">
        <f>N197*VLOOKUP('Données projet'!$B$9,Paramètres!$A$1:$I$89,3,0)*VLOOKUP('Données projet'!$B$9,Paramètres!$A$1:$I$89,5,0)</f>
        <v>-6.9906036515021697E-13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415.91544298418842</v>
      </c>
      <c r="T197" s="59">
        <f t="shared" ref="T197:T203" si="204">$T$3</f>
        <v>422.79312683312583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0.44373157577351741</v>
      </c>
      <c r="AA197" s="21">
        <f>EXP(-LN(2)/25)*AA196+(1-EXP(-LN(2)/25))/(LN(2)/25)*Calculateur!V197*Calculateur!X197*VLOOKUP('Données projet'!$B$9,Paramètres!$A$1:$I$89,3,0)*0.475*44/12</f>
        <v>0.41079049592088224</v>
      </c>
      <c r="AB197" s="21">
        <f>EXP(-LN(2)/2)*AB196+(1-EXP(-LN(2)/2))/(LN(2)/2)*V197*Y197*VLOOKUP('Données projet'!$B$9,Paramètres!$A$1:$I$89,3,0)*0.475*44/12</f>
        <v>7.5422103580061445E-24</v>
      </c>
      <c r="AC197" s="22">
        <f t="shared" si="163"/>
        <v>0.85452207169439964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-5.3205440053716299E-14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215.23235148064941</v>
      </c>
      <c r="AO197" s="59">
        <f t="shared" ref="AO197:AO203" si="205">$AO$3</f>
        <v>184.07239726900434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0.12179768368906288</v>
      </c>
      <c r="AV197" s="21">
        <f>EXP(-LN(2)/25)*AV196+(1-EXP(-LN(2)/25))/(LN(2)/25)*Calculateur!AQ197*Calculateur!AS197*VLOOKUP('Données projet'!$B$10,Paramètres!$A$1:$I$89,3,0)*0.475*44/12</f>
        <v>8.325591356826674E-2</v>
      </c>
      <c r="AW197" s="21">
        <f>EXP(-LN(2)/2)*AW196+(1-EXP(-LN(2)/2))/(LN(2)/2)*AQ197*AT197*VLOOKUP('Données projet'!$B$10,Paramètres!$A$1:$I$89,3,0)*0.475*44/12</f>
        <v>2.0332464409251776E-24</v>
      </c>
      <c r="AX197" s="21">
        <f t="shared" si="166"/>
        <v>0.20505359725732963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261.27638267284169</v>
      </c>
      <c r="BJ197" s="59">
        <f t="shared" ref="BJ197:BJ203" si="206">$BJ$3</f>
        <v>297.50513563712764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0.32421486804931743</v>
      </c>
      <c r="BQ197" s="21">
        <f>EXP(-LN(2)/25)*BQ196+(1-EXP(-LN(2)/25))/(LN(2)/25)*Calculateur!BL197*Calculateur!BN197*VLOOKUP('Données projet'!$B$11,Paramètres!$A$1:$I$89,3,0)*0.475*44/12</f>
        <v>0.29537799328585523</v>
      </c>
      <c r="BR197" s="21">
        <f>EXP(-LN(2)/2)*BR196+(1-EXP(-LN(2)/2))/(LN(2)/2)*BL197*BO197*VLOOKUP('Données projet'!$B$11,Paramètres!$A$1:$I$89,3,0)*0.475*44/12</f>
        <v>5.0460480579135697E-24</v>
      </c>
      <c r="BS197" s="22">
        <f t="shared" si="169"/>
        <v>0.61959286133517266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-1.1368683772161603E-13</v>
      </c>
      <c r="BZ197" s="13">
        <f>BY197*VLOOKUP('Données projet'!$B$12,Paramètres!$A$1:$I$89,3,0)*VLOOKUP('Données projet'!$B$12,Paramètres!$A$1:$I$89,5,0)</f>
        <v>-6.7984728957526396E-14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314.69202393413491</v>
      </c>
      <c r="CE197" s="59">
        <f t="shared" ref="CE197:CE203" si="207">$CE$3</f>
        <v>321.1728368524748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0.13593383790609417</v>
      </c>
      <c r="CL197" s="21">
        <f>EXP(-LN(2)/25)*CL196+(1-EXP(-LN(2)/25))/(LN(2)/25)*Calculateur!CG197*Calculateur!CI197*VLOOKUP('Données projet'!$B$12,Paramètres!$A$1:$I$89,3,0)*0.475*44/12</f>
        <v>0.22616839091575464</v>
      </c>
      <c r="CM197" s="21">
        <f>EXP(-LN(2)/2)*CM196+(1-EXP(-LN(2)/2))/(LN(2)/2)*CG197*CJ197*VLOOKUP('Données projet'!$B$12,Paramètres!$A$1:$I$89,3,0)*0.475*44/12</f>
        <v>6.2665826191529369E-24</v>
      </c>
      <c r="CN197" s="22">
        <f t="shared" si="172"/>
        <v>0.36210222882184884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-1.2505552149377763E-12</v>
      </c>
      <c r="O198" s="13">
        <f>N198*VLOOKUP('Données projet'!$B$9,Paramètres!$A$1:$I$89,3,0)*VLOOKUP('Données projet'!$B$9,Paramètres!$A$1:$I$89,5,0)</f>
        <v>-6.9906036515021697E-13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415.91544298418842</v>
      </c>
      <c r="T198" s="59">
        <f t="shared" si="204"/>
        <v>422.79312683312583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0.43503027022213553</v>
      </c>
      <c r="AA198" s="21">
        <f>EXP(-LN(2)/25)*AA197+(1-EXP(-LN(2)/25))/(LN(2)/25)*Calculateur!V198*Calculateur!X198*VLOOKUP('Données projet'!$B$9,Paramètres!$A$1:$I$89,3,0)*0.475*44/12</f>
        <v>0.39955740820739238</v>
      </c>
      <c r="AB198" s="21">
        <f>EXP(-LN(2)/2)*AB197+(1-EXP(-LN(2)/2))/(LN(2)/2)*V198*Y198*VLOOKUP('Données projet'!$B$9,Paramètres!$A$1:$I$89,3,0)*0.475*44/12</f>
        <v>5.3331480892815631E-24</v>
      </c>
      <c r="AC198" s="22">
        <f t="shared" si="163"/>
        <v>0.83458767842952786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-5.3205440053716299E-14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215.23235148064941</v>
      </c>
      <c r="AO198" s="59">
        <f t="shared" si="205"/>
        <v>184.07239726900434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0.11940930540117195</v>
      </c>
      <c r="AV198" s="21">
        <f>EXP(-LN(2)/25)*AV197+(1-EXP(-LN(2)/25))/(LN(2)/25)*Calculateur!AQ198*Calculateur!AS198*VLOOKUP('Données projet'!$B$10,Paramètres!$A$1:$I$89,3,0)*0.475*44/12</f>
        <v>8.0979276233504274E-2</v>
      </c>
      <c r="AW198" s="21">
        <f>EXP(-LN(2)/2)*AW197+(1-EXP(-LN(2)/2))/(LN(2)/2)*AQ198*AT198*VLOOKUP('Données projet'!$B$10,Paramètres!$A$1:$I$89,3,0)*0.475*44/12</f>
        <v>1.4377223462016061E-24</v>
      </c>
      <c r="AX198" s="21">
        <f t="shared" si="166"/>
        <v>0.20038858163467621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261.27638267284169</v>
      </c>
      <c r="BJ198" s="59">
        <f t="shared" si="206"/>
        <v>297.50513563712764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0.31785721223841346</v>
      </c>
      <c r="BQ198" s="21">
        <f>EXP(-LN(2)/25)*BQ197+(1-EXP(-LN(2)/25))/(LN(2)/25)*Calculateur!BL198*Calculateur!BN198*VLOOKUP('Données projet'!$B$11,Paramètres!$A$1:$I$89,3,0)*0.475*44/12</f>
        <v>0.28730086652619996</v>
      </c>
      <c r="BR198" s="21">
        <f>EXP(-LN(2)/2)*BR197+(1-EXP(-LN(2)/2))/(LN(2)/2)*BL198*BO198*VLOOKUP('Données projet'!$B$11,Paramètres!$A$1:$I$89,3,0)*0.475*44/12</f>
        <v>3.5680947999438935E-24</v>
      </c>
      <c r="BS198" s="22">
        <f t="shared" si="169"/>
        <v>0.60515807876461336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-1.1368683772161603E-13</v>
      </c>
      <c r="BZ198" s="13">
        <f>BY198*VLOOKUP('Données projet'!$B$12,Paramètres!$A$1:$I$89,3,0)*VLOOKUP('Données projet'!$B$12,Paramètres!$A$1:$I$89,5,0)</f>
        <v>-6.7984728957526396E-14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314.69202393413491</v>
      </c>
      <c r="CE198" s="59">
        <f t="shared" si="207"/>
        <v>321.1728368524748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0.13326825825620997</v>
      </c>
      <c r="CL198" s="21">
        <f>EXP(-LN(2)/25)*CL197+(1-EXP(-LN(2)/25))/(LN(2)/25)*Calculateur!CG198*Calculateur!CI198*VLOOKUP('Données projet'!$B$12,Paramètres!$A$1:$I$89,3,0)*0.475*44/12</f>
        <v>0.21998380437248455</v>
      </c>
      <c r="CM198" s="21">
        <f>EXP(-LN(2)/2)*CM197+(1-EXP(-LN(2)/2))/(LN(2)/2)*CG198*CJ198*VLOOKUP('Données projet'!$B$12,Paramètres!$A$1:$I$89,3,0)*0.475*44/12</f>
        <v>4.4311430648687976E-24</v>
      </c>
      <c r="CN198" s="22">
        <f t="shared" si="172"/>
        <v>0.35325206262869452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-1.2505552149377763E-12</v>
      </c>
      <c r="O199" s="13">
        <f>N199*VLOOKUP('Données projet'!$B$9,Paramètres!$A$1:$I$89,3,0)*VLOOKUP('Données projet'!$B$9,Paramètres!$A$1:$I$89,5,0)</f>
        <v>-6.9906036515021697E-13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415.91544298418842</v>
      </c>
      <c r="T199" s="59">
        <f t="shared" si="204"/>
        <v>422.79312683312583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0.42649959196534393</v>
      </c>
      <c r="AA199" s="21">
        <f>EXP(-LN(2)/25)*AA198+(1-EXP(-LN(2)/25))/(LN(2)/25)*Calculateur!V199*Calculateur!X199*VLOOKUP('Données projet'!$B$9,Paramètres!$A$1:$I$89,3,0)*0.475*44/12</f>
        <v>0.38863148986815033</v>
      </c>
      <c r="AB199" s="21">
        <f>EXP(-LN(2)/2)*AB198+(1-EXP(-LN(2)/2))/(LN(2)/2)*V199*Y199*VLOOKUP('Données projet'!$B$9,Paramètres!$A$1:$I$89,3,0)*0.475*44/12</f>
        <v>3.7711051790030722E-24</v>
      </c>
      <c r="AC199" s="22">
        <f t="shared" si="163"/>
        <v>0.81513108183349425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-5.3205440053716299E-14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215.23235148064941</v>
      </c>
      <c r="AO199" s="59">
        <f t="shared" si="205"/>
        <v>184.07239726900434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0.11706776175473965</v>
      </c>
      <c r="AV199" s="21">
        <f>EXP(-LN(2)/25)*AV198+(1-EXP(-LN(2)/25))/(LN(2)/25)*Calculateur!AQ199*Calculateur!AS199*VLOOKUP('Données projet'!$B$10,Paramètres!$A$1:$I$89,3,0)*0.475*44/12</f>
        <v>7.8764893666384048E-2</v>
      </c>
      <c r="AW199" s="21">
        <f>EXP(-LN(2)/2)*AW198+(1-EXP(-LN(2)/2))/(LN(2)/2)*AQ199*AT199*VLOOKUP('Données projet'!$B$10,Paramètres!$A$1:$I$89,3,0)*0.475*44/12</f>
        <v>1.0166232204625888E-24</v>
      </c>
      <c r="AX199" s="21">
        <f t="shared" si="166"/>
        <v>0.19583265542112371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261.27638267284169</v>
      </c>
      <c r="BJ199" s="59">
        <f t="shared" si="206"/>
        <v>297.50513563712764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0.31162422618017421</v>
      </c>
      <c r="BQ199" s="21">
        <f>EXP(-LN(2)/25)*BQ198+(1-EXP(-LN(2)/25))/(LN(2)/25)*Calculateur!BL199*Calculateur!BN199*VLOOKUP('Données projet'!$B$11,Paramètres!$A$1:$I$89,3,0)*0.475*44/12</f>
        <v>0.2794446092225451</v>
      </c>
      <c r="BR199" s="21">
        <f>EXP(-LN(2)/2)*BR198+(1-EXP(-LN(2)/2))/(LN(2)/2)*BL199*BO199*VLOOKUP('Données projet'!$B$11,Paramètres!$A$1:$I$89,3,0)*0.475*44/12</f>
        <v>2.5230240289567848E-24</v>
      </c>
      <c r="BS199" s="22">
        <f t="shared" si="169"/>
        <v>0.59106883540271937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-1.1368683772161603E-13</v>
      </c>
      <c r="BZ199" s="13">
        <f>BY199*VLOOKUP('Données projet'!$B$12,Paramètres!$A$1:$I$89,3,0)*VLOOKUP('Données projet'!$B$12,Paramètres!$A$1:$I$89,5,0)</f>
        <v>-6.7984728957526396E-14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314.69202393413491</v>
      </c>
      <c r="CE199" s="59">
        <f t="shared" si="207"/>
        <v>321.1728368524748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0.13065494899741695</v>
      </c>
      <c r="CL199" s="21">
        <f>EXP(-LN(2)/25)*CL198+(1-EXP(-LN(2)/25))/(LN(2)/25)*Calculateur!CG199*Calculateur!CI199*VLOOKUP('Données projet'!$B$12,Paramètres!$A$1:$I$89,3,0)*0.475*44/12</f>
        <v>0.21396833567347345</v>
      </c>
      <c r="CM199" s="21">
        <f>EXP(-LN(2)/2)*CM198+(1-EXP(-LN(2)/2))/(LN(2)/2)*CG199*CJ199*VLOOKUP('Données projet'!$B$12,Paramètres!$A$1:$I$89,3,0)*0.475*44/12</f>
        <v>3.1332913095764684E-24</v>
      </c>
      <c r="CN199" s="22">
        <f t="shared" si="172"/>
        <v>0.34462328467089043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-1.2505552149377763E-12</v>
      </c>
      <c r="O200" s="13">
        <f>N200*VLOOKUP('Données projet'!$B$9,Paramètres!$A$1:$I$89,3,0)*VLOOKUP('Données projet'!$B$9,Paramètres!$A$1:$I$89,5,0)</f>
        <v>-6.9906036515021697E-13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415.91544298418842</v>
      </c>
      <c r="T200" s="59">
        <f t="shared" si="204"/>
        <v>422.79312683312583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0.41813619510596806</v>
      </c>
      <c r="AA200" s="21">
        <f>EXP(-LN(2)/25)*AA199+(1-EXP(-LN(2)/25))/(LN(2)/25)*Calculateur!V200*Calculateur!X200*VLOOKUP('Données projet'!$B$9,Paramètres!$A$1:$I$89,3,0)*0.475*44/12</f>
        <v>0.37800434134046396</v>
      </c>
      <c r="AB200" s="21">
        <f>EXP(-LN(2)/2)*AB199+(1-EXP(-LN(2)/2))/(LN(2)/2)*V200*Y200*VLOOKUP('Données projet'!$B$9,Paramètres!$A$1:$I$89,3,0)*0.475*44/12</f>
        <v>2.6665740446407816E-24</v>
      </c>
      <c r="AC200" s="22">
        <f t="shared" si="163"/>
        <v>0.79614053644643201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-5.3205440053716299E-14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215.23235148064941</v>
      </c>
      <c r="AO200" s="59">
        <f t="shared" si="205"/>
        <v>184.07239726900434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0.11477213435101329</v>
      </c>
      <c r="AV200" s="21">
        <f>EXP(-LN(2)/25)*AV199+(1-EXP(-LN(2)/25))/(LN(2)/25)*Calculateur!AQ200*Calculateur!AS200*VLOOKUP('Données projet'!$B$10,Paramètres!$A$1:$I$89,3,0)*0.475*44/12</f>
        <v>7.6611063507011037E-2</v>
      </c>
      <c r="AW200" s="21">
        <f>EXP(-LN(2)/2)*AW199+(1-EXP(-LN(2)/2))/(LN(2)/2)*AQ200*AT200*VLOOKUP('Données projet'!$B$10,Paramètres!$A$1:$I$89,3,0)*0.475*44/12</f>
        <v>7.1886117310080304E-25</v>
      </c>
      <c r="AX200" s="21">
        <f t="shared" si="166"/>
        <v>0.19138319785802432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261.27638267284169</v>
      </c>
      <c r="BJ200" s="59">
        <f t="shared" si="206"/>
        <v>297.50513563712764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0.3055134651767909</v>
      </c>
      <c r="BQ200" s="21">
        <f>EXP(-LN(2)/25)*BQ199+(1-EXP(-LN(2)/25))/(LN(2)/25)*Calculateur!BL200*Calculateur!BN200*VLOOKUP('Données projet'!$B$11,Paramètres!$A$1:$I$89,3,0)*0.475*44/12</f>
        <v>0.27180318168800127</v>
      </c>
      <c r="BR200" s="21">
        <f>EXP(-LN(2)/2)*BR199+(1-EXP(-LN(2)/2))/(LN(2)/2)*BL200*BO200*VLOOKUP('Données projet'!$B$11,Paramètres!$A$1:$I$89,3,0)*0.475*44/12</f>
        <v>1.7840473999719468E-24</v>
      </c>
      <c r="BS200" s="22">
        <f t="shared" si="169"/>
        <v>0.57731664686479212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-1.1368683772161603E-13</v>
      </c>
      <c r="BZ200" s="13">
        <f>BY200*VLOOKUP('Données projet'!$B$12,Paramètres!$A$1:$I$89,3,0)*VLOOKUP('Données projet'!$B$12,Paramètres!$A$1:$I$89,5,0)</f>
        <v>-6.7984728957526396E-14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314.69202393413491</v>
      </c>
      <c r="CE200" s="59">
        <f t="shared" si="207"/>
        <v>321.1728368524748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0.12809288513922759</v>
      </c>
      <c r="CL200" s="21">
        <f>EXP(-LN(2)/25)*CL199+(1-EXP(-LN(2)/25))/(LN(2)/25)*Calculateur!CG200*Calculateur!CI200*VLOOKUP('Données projet'!$B$12,Paramètres!$A$1:$I$89,3,0)*0.475*44/12</f>
        <v>0.20811736028237657</v>
      </c>
      <c r="CM200" s="21">
        <f>EXP(-LN(2)/2)*CM199+(1-EXP(-LN(2)/2))/(LN(2)/2)*CG200*CJ200*VLOOKUP('Données projet'!$B$12,Paramètres!$A$1:$I$89,3,0)*0.475*44/12</f>
        <v>2.2155715324343988E-24</v>
      </c>
      <c r="CN200" s="22">
        <f t="shared" si="172"/>
        <v>0.33621024542160416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-1.2505552149377763E-12</v>
      </c>
      <c r="O201" s="13">
        <f>N201*VLOOKUP('Données projet'!$B$9,Paramètres!$A$1:$I$89,3,0)*VLOOKUP('Données projet'!$B$9,Paramètres!$A$1:$I$89,5,0)</f>
        <v>-6.9906036515021697E-13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415.91544298418842</v>
      </c>
      <c r="T201" s="59">
        <f t="shared" si="204"/>
        <v>422.79312683312583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0.40993679935783611</v>
      </c>
      <c r="AA201" s="21">
        <f>EXP(-LN(2)/25)*AA200+(1-EXP(-LN(2)/25))/(LN(2)/25)*Calculateur!V201*Calculateur!X201*VLOOKUP('Données projet'!$B$9,Paramètres!$A$1:$I$89,3,0)*0.475*44/12</f>
        <v>0.36766779274812461</v>
      </c>
      <c r="AB201" s="21">
        <f>EXP(-LN(2)/2)*AB200+(1-EXP(-LN(2)/2))/(LN(2)/2)*V201*Y201*VLOOKUP('Données projet'!$B$9,Paramètres!$A$1:$I$89,3,0)*0.475*44/12</f>
        <v>1.8855525895015361E-24</v>
      </c>
      <c r="AC201" s="22">
        <f t="shared" si="163"/>
        <v>0.77760459210596067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-5.3205440053716299E-14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215.23235148064941</v>
      </c>
      <c r="AO201" s="59">
        <f t="shared" si="205"/>
        <v>184.07239726900434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0.11252152280047954</v>
      </c>
      <c r="AV201" s="21">
        <f>EXP(-LN(2)/25)*AV200+(1-EXP(-LN(2)/25))/(LN(2)/25)*Calculateur!AQ201*Calculateur!AS201*VLOOKUP('Données projet'!$B$10,Paramètres!$A$1:$I$89,3,0)*0.475*44/12</f>
        <v>7.4516129946611082E-2</v>
      </c>
      <c r="AW201" s="21">
        <f>EXP(-LN(2)/2)*AW200+(1-EXP(-LN(2)/2))/(LN(2)/2)*AQ201*AT201*VLOOKUP('Données projet'!$B$10,Paramètres!$A$1:$I$89,3,0)*0.475*44/12</f>
        <v>5.0831161023129439E-25</v>
      </c>
      <c r="AX201" s="21">
        <f t="shared" si="166"/>
        <v>0.18703765274709061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261.27638267284169</v>
      </c>
      <c r="BJ201" s="59">
        <f t="shared" si="206"/>
        <v>297.50513563712764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0.29952253246948779</v>
      </c>
      <c r="BQ201" s="21">
        <f>EXP(-LN(2)/25)*BQ200+(1-EXP(-LN(2)/25))/(LN(2)/25)*Calculateur!BL201*Calculateur!BN201*VLOOKUP('Données projet'!$B$11,Paramètres!$A$1:$I$89,3,0)*0.475*44/12</f>
        <v>0.26437070939123475</v>
      </c>
      <c r="BR201" s="21">
        <f>EXP(-LN(2)/2)*BR200+(1-EXP(-LN(2)/2))/(LN(2)/2)*BL201*BO201*VLOOKUP('Données projet'!$B$11,Paramètres!$A$1:$I$89,3,0)*0.475*44/12</f>
        <v>1.2615120144783924E-24</v>
      </c>
      <c r="BS201" s="22">
        <f t="shared" si="169"/>
        <v>0.56389324186072254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-1.1368683772161603E-13</v>
      </c>
      <c r="BZ201" s="13">
        <f>BY201*VLOOKUP('Données projet'!$B$12,Paramètres!$A$1:$I$89,3,0)*VLOOKUP('Données projet'!$B$12,Paramètres!$A$1:$I$89,5,0)</f>
        <v>-6.7984728957526396E-14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314.69202393413491</v>
      </c>
      <c r="CE201" s="59">
        <f t="shared" si="207"/>
        <v>321.1728368524748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0.12558106179059267</v>
      </c>
      <c r="CL201" s="21">
        <f>EXP(-LN(2)/25)*CL200+(1-EXP(-LN(2)/25))/(LN(2)/25)*Calculateur!CG201*Calculateur!CI201*VLOOKUP('Données projet'!$B$12,Paramètres!$A$1:$I$89,3,0)*0.475*44/12</f>
        <v>0.20242638012103867</v>
      </c>
      <c r="CM201" s="21">
        <f>EXP(-LN(2)/2)*CM200+(1-EXP(-LN(2)/2))/(LN(2)/2)*CG201*CJ201*VLOOKUP('Données projet'!$B$12,Paramètres!$A$1:$I$89,3,0)*0.475*44/12</f>
        <v>1.5666456547882342E-24</v>
      </c>
      <c r="CN201" s="22">
        <f t="shared" si="172"/>
        <v>0.32800744191163134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-1.2505552149377763E-12</v>
      </c>
      <c r="O202" s="13">
        <f>N202*VLOOKUP('Données projet'!$B$9,Paramètres!$A$1:$I$89,3,0)*VLOOKUP('Données projet'!$B$9,Paramètres!$A$1:$I$89,5,0)</f>
        <v>-6.9906036515021697E-13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415.91544298418842</v>
      </c>
      <c r="T202" s="59">
        <f t="shared" si="204"/>
        <v>422.79312683312583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0.40189818875918748</v>
      </c>
      <c r="AA202" s="21">
        <f>EXP(-LN(2)/25)*AA201+(1-EXP(-LN(2)/25))/(LN(2)/25)*Calculateur!V202*Calculateur!X202*VLOOKUP('Données projet'!$B$9,Paramètres!$A$1:$I$89,3,0)*0.475*44/12</f>
        <v>0.35761389762061824</v>
      </c>
      <c r="AB202" s="21">
        <f>EXP(-LN(2)/2)*AB201+(1-EXP(-LN(2)/2))/(LN(2)/2)*V202*Y202*VLOOKUP('Données projet'!$B$9,Paramètres!$A$1:$I$89,3,0)*0.475*44/12</f>
        <v>1.3332870223203908E-24</v>
      </c>
      <c r="AC202" s="22">
        <f t="shared" si="163"/>
        <v>0.75951208637980572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-5.3205440053716299E-14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215.23235148064941</v>
      </c>
      <c r="AO202" s="59">
        <f t="shared" si="205"/>
        <v>184.07239726900434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0.11031504436971426</v>
      </c>
      <c r="AV202" s="21">
        <f>EXP(-LN(2)/25)*AV201+(1-EXP(-LN(2)/25))/(LN(2)/25)*Calculateur!AQ202*Calculateur!AS202*VLOOKUP('Données projet'!$B$10,Paramètres!$A$1:$I$89,3,0)*0.475*44/12</f>
        <v>7.2478482454588031E-2</v>
      </c>
      <c r="AW202" s="21">
        <f>EXP(-LN(2)/2)*AW201+(1-EXP(-LN(2)/2))/(LN(2)/2)*AQ202*AT202*VLOOKUP('Données projet'!$B$10,Paramètres!$A$1:$I$89,3,0)*0.475*44/12</f>
        <v>3.5943058655040152E-25</v>
      </c>
      <c r="AX202" s="21">
        <f t="shared" si="166"/>
        <v>0.18279352682430228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261.27638267284169</v>
      </c>
      <c r="BJ202" s="59">
        <f t="shared" si="206"/>
        <v>297.50513563712764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0.29364907829846676</v>
      </c>
      <c r="BQ202" s="21">
        <f>EXP(-LN(2)/25)*BQ201+(1-EXP(-LN(2)/25))/(LN(2)/25)*Calculateur!BL202*Calculateur!BN202*VLOOKUP('Données projet'!$B$11,Paramètres!$A$1:$I$89,3,0)*0.475*44/12</f>
        <v>0.25714147844028007</v>
      </c>
      <c r="BR202" s="21">
        <f>EXP(-LN(2)/2)*BR201+(1-EXP(-LN(2)/2))/(LN(2)/2)*BL202*BO202*VLOOKUP('Données projet'!$B$11,Paramètres!$A$1:$I$89,3,0)*0.475*44/12</f>
        <v>8.9202369998597338E-25</v>
      </c>
      <c r="BS202" s="22">
        <f t="shared" si="169"/>
        <v>0.55079055673874677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-1.1368683772161603E-13</v>
      </c>
      <c r="BZ202" s="13">
        <f>BY202*VLOOKUP('Données projet'!$B$12,Paramètres!$A$1:$I$89,3,0)*VLOOKUP('Données projet'!$B$12,Paramètres!$A$1:$I$89,5,0)</f>
        <v>-6.7984728957526396E-14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314.69202393413491</v>
      </c>
      <c r="CE202" s="59">
        <f t="shared" si="207"/>
        <v>321.1728368524748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0.12311849376576352</v>
      </c>
      <c r="CL202" s="21">
        <f>EXP(-LN(2)/25)*CL201+(1-EXP(-LN(2)/25))/(LN(2)/25)*Calculateur!CG202*Calculateur!CI202*VLOOKUP('Données projet'!$B$12,Paramètres!$A$1:$I$89,3,0)*0.475*44/12</f>
        <v>0.19689102011148818</v>
      </c>
      <c r="CM202" s="21">
        <f>EXP(-LN(2)/2)*CM201+(1-EXP(-LN(2)/2))/(LN(2)/2)*CG202*CJ202*VLOOKUP('Données projet'!$B$12,Paramètres!$A$1:$I$89,3,0)*0.475*44/12</f>
        <v>1.1077857662171994E-24</v>
      </c>
      <c r="CN202" s="22">
        <f t="shared" si="172"/>
        <v>0.32000951387725168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-1.2505552149377763E-12</v>
      </c>
      <c r="O203" s="13">
        <f>N203*VLOOKUP('Données projet'!$B$9,Paramètres!$A$1:$I$89,3,0)*VLOOKUP('Données projet'!$B$9,Paramètres!$A$1:$I$89,5,0)</f>
        <v>-6.9906036515021697E-13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415.91544298418842</v>
      </c>
      <c r="T203" s="59">
        <f t="shared" si="204"/>
        <v>422.79312683312583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0.39401721041130999</v>
      </c>
      <c r="AA203" s="21">
        <f>EXP(-LN(2)/25)*AA202+(1-EXP(-LN(2)/25))/(LN(2)/25)*Calculateur!V203*Calculateur!X203*VLOOKUP('Données projet'!$B$9,Paramètres!$A$1:$I$89,3,0)*0.475*44/12</f>
        <v>0.3478349267840849</v>
      </c>
      <c r="AB203" s="21">
        <f>EXP(-LN(2)/2)*AB202+(1-EXP(-LN(2)/2))/(LN(2)/2)*V203*Y203*VLOOKUP('Données projet'!$B$9,Paramètres!$A$1:$I$89,3,0)*0.475*44/12</f>
        <v>9.4277629475076806E-25</v>
      </c>
      <c r="AC203" s="22">
        <f t="shared" si="163"/>
        <v>0.74185213719539489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-5.3205440053716299E-14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215.23235148064941</v>
      </c>
      <c r="AO203" s="59">
        <f t="shared" si="205"/>
        <v>184.07239726900434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0.10815183363515733</v>
      </c>
      <c r="AV203" s="21">
        <f>EXP(-LN(2)/25)*AV202+(1-EXP(-LN(2)/25))/(LN(2)/25)*Calculateur!AQ203*Calculateur!AS203*VLOOKUP('Données projet'!$B$10,Paramètres!$A$1:$I$89,3,0)*0.475*44/12</f>
        <v>7.0496554540389583E-2</v>
      </c>
      <c r="AW203" s="21">
        <f>EXP(-LN(2)/2)*AW202+(1-EXP(-LN(2)/2))/(LN(2)/2)*AQ203*AT203*VLOOKUP('Données projet'!$B$10,Paramètres!$A$1:$I$89,3,0)*0.475*44/12</f>
        <v>2.5415580511564719E-25</v>
      </c>
      <c r="AX203" s="21">
        <f t="shared" si="166"/>
        <v>0.1786483881755469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261.27638267284169</v>
      </c>
      <c r="BJ203" s="59">
        <f t="shared" si="206"/>
        <v>297.50513563712764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0.28789079898128611</v>
      </c>
      <c r="BQ203" s="21">
        <f>EXP(-LN(2)/25)*BQ202+(1-EXP(-LN(2)/25))/(LN(2)/25)*Calculateur!BL203*Calculateur!BN203*VLOOKUP('Données projet'!$B$11,Paramètres!$A$1:$I$89,3,0)*0.475*44/12</f>
        <v>0.25010993118984798</v>
      </c>
      <c r="BR203" s="21">
        <f>EXP(-LN(2)/2)*BR202+(1-EXP(-LN(2)/2))/(LN(2)/2)*BL203*BO203*VLOOKUP('Données projet'!$B$11,Paramètres!$A$1:$I$89,3,0)*0.475*44/12</f>
        <v>6.3075600723919621E-25</v>
      </c>
      <c r="BS203" s="22">
        <f t="shared" si="169"/>
        <v>0.53800073017113403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-1.1368683772161603E-13</v>
      </c>
      <c r="BZ203" s="13">
        <f>BY203*VLOOKUP('Données projet'!$B$12,Paramètres!$A$1:$I$89,3,0)*VLOOKUP('Données projet'!$B$12,Paramètres!$A$1:$I$89,5,0)</f>
        <v>-6.7984728957526396E-14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314.69202393413491</v>
      </c>
      <c r="CE203" s="59">
        <f t="shared" si="207"/>
        <v>321.1728368524748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0.12070421519788309</v>
      </c>
      <c r="CL203" s="21">
        <f>EXP(-LN(2)/25)*CL202+(1-EXP(-LN(2)/25))/(LN(2)/25)*Calculateur!CG203*Calculateur!CI203*VLOOKUP('Données projet'!$B$12,Paramètres!$A$1:$I$89,3,0)*0.475*44/12</f>
        <v>0.19150702481249079</v>
      </c>
      <c r="CM203" s="21">
        <f>EXP(-LN(2)/2)*CM202+(1-EXP(-LN(2)/2))/(LN(2)/2)*CG203*CJ203*VLOOKUP('Données projet'!$B$12,Paramètres!$A$1:$I$89,3,0)*0.475*44/12</f>
        <v>7.8332282739411711E-25</v>
      </c>
      <c r="CN203" s="22">
        <f t="shared" si="172"/>
        <v>0.31221124001037387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1.3903891703159093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1.2880503926580862</v>
      </c>
      <c r="BA205" s="82">
        <f>EXP(LN('Données projet'!B88)/'Données projet'!A88)</f>
        <v>1.3903891703159093</v>
      </c>
      <c r="BV205" s="82">
        <f>EXP(LN('Données projet'!B114)/'Données projet'!A114)</f>
        <v>1.3335339730287799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C1" zoomScale="90" zoomScaleNormal="90" workbookViewId="0">
      <selection activeCell="C19" sqref="C1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Douglas</v>
      </c>
      <c r="B6" s="146">
        <f>'Données projet'!D9</f>
        <v>1.302</v>
      </c>
      <c r="C6" s="147">
        <f ca="1">IF(OR('Données projet'!B9="",'Données projet'!C9="",'Données projet'!C9=0%),0,Calculateur!S3)</f>
        <v>415.91544298418842</v>
      </c>
      <c r="D6" s="147">
        <f>IF(OR('Données projet'!B9="",'Données projet'!C9="",'Données projet'!C9=0%),0,Calculateur!T3)</f>
        <v>422.79312683312583</v>
      </c>
      <c r="E6" s="147">
        <f ca="1">MIN(C6,D6)</f>
        <v>415.91544298418842</v>
      </c>
      <c r="F6" s="147">
        <f ca="1">E6*B6</f>
        <v>541.52190676541329</v>
      </c>
      <c r="G6" s="147">
        <f ca="1">F6*(100%-'Données projet'!$C$24)*(100%-'Données projet'!$C$25)*(100%-'Données projet'!$C$26)*(100%-'Données projet'!$C$27)</f>
        <v>463.0012302844284</v>
      </c>
      <c r="H6" s="148">
        <f>IF(OR('Données projet'!B9="",'Données projet'!C9="",'Données projet'!C9=0%),0,AVERAGE(Calculateur!$AC$3:$AC$33)*B6)</f>
        <v>16.067878446118648</v>
      </c>
      <c r="I6" s="149">
        <f>H6*(100%-'Données projet'!$C$24)*(100%-'Données projet'!$C$25)*(100%-'Données projet'!$C$26)*(100%-'Données projet'!$C$27)</f>
        <v>13.738036071431445</v>
      </c>
      <c r="J6" s="150">
        <f>IF(OR('Données projet'!B9="",'Données projet'!C9="",'Données projet'!C9=0%),0,SUM(Calculateur!$V$3:$V$33)*VLOOKUP('Données projet'!$B$9,Paramètres!$A$1:$I$89,9,0)*B6)</f>
        <v>136.60584</v>
      </c>
      <c r="K6" s="151">
        <f>J6*(100%-'Données projet'!$C$24)*(100%-'Données projet'!$C$25)*(100%-'Données projet'!$C$26)*(100%-'Données projet'!$C$27)</f>
        <v>116.79799319999999</v>
      </c>
      <c r="L6" s="152">
        <f ca="1">G6+I6+K6</f>
        <v>593.53725955585981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Cèdre de l'Atlas</v>
      </c>
      <c r="B7" s="154">
        <f>'Données projet'!D10</f>
        <v>0.96720000000000006</v>
      </c>
      <c r="C7" s="147">
        <f ca="1">IF(OR('Données projet'!B10="",'Données projet'!C10="",'Données projet'!C10=0%),0,Calculateur!AN3)</f>
        <v>215.23235148064941</v>
      </c>
      <c r="D7" s="147">
        <f>IF(OR('Données projet'!B10="",'Données projet'!C10="",'Données projet'!C10=0%),0,Calculateur!AO3)</f>
        <v>184.07239726900434</v>
      </c>
      <c r="E7" s="147">
        <f t="shared" ref="E7:E15" ca="1" si="0">MIN(C7,D7)</f>
        <v>184.07239726900434</v>
      </c>
      <c r="F7" s="147">
        <f t="shared" ref="F7:F15" ca="1" si="1">E7*B7</f>
        <v>178.03482263858101</v>
      </c>
      <c r="G7" s="147">
        <f ca="1">F7*(100%-'Données projet'!$C$24)*(100%-'Données projet'!$C$25)*(100%-'Données projet'!$C$26)*(100%-'Données projet'!$C$27)</f>
        <v>152.21977335598677</v>
      </c>
      <c r="H7" s="155">
        <f>IF(OR('Données projet'!B10="",'Données projet'!C10="",'Données projet'!C10=0%),0,AVERAGE(Calculateur!$AX$3:$AX$33)*B7)</f>
        <v>1.5786962464490653</v>
      </c>
      <c r="I7" s="149">
        <f>H7*(100%-'Données projet'!$C$24)*(100%-'Données projet'!$C$25)*(100%-'Données projet'!$C$26)*(100%-'Données projet'!$C$27)</f>
        <v>1.3497852907139507</v>
      </c>
      <c r="J7" s="150">
        <f>IF(OR('Données projet'!B10="",'Données projet'!C10="",'Données projet'!C10=0%),0,SUM(Calculateur!$AQ$3:$AQ$33)*VLOOKUP('Données projet'!$B$10,Paramètres!$A$1:$I$89,9,0)*B7)</f>
        <v>24.288326399999999</v>
      </c>
      <c r="K7" s="151">
        <f>J7*(100%-'Données projet'!$C$24)*(100%-'Données projet'!$C$25)*(100%-'Données projet'!$C$26)*(100%-'Données projet'!$C$27)</f>
        <v>20.766519071999998</v>
      </c>
      <c r="L7" s="152">
        <f t="shared" ref="L7:L15" ca="1" si="2">G7+I7+K7</f>
        <v>174.33607771870072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Mélèze d'Europe</v>
      </c>
      <c r="B8" s="154">
        <f>'Données projet'!D11</f>
        <v>0.66959999999999997</v>
      </c>
      <c r="C8" s="147">
        <f ca="1">IF(OR('Données projet'!B11="",'Données projet'!C11="",'Données projet'!C11=0%),0,Calculateur!BI3)</f>
        <v>261.27638267284169</v>
      </c>
      <c r="D8" s="147">
        <f>IF(OR('Données projet'!B11="",'Données projet'!C11="",'Données projet'!C11=0%),0,Calculateur!BJ3)</f>
        <v>297.50513563712764</v>
      </c>
      <c r="E8" s="147">
        <f t="shared" ca="1" si="0"/>
        <v>261.27638267284169</v>
      </c>
      <c r="F8" s="147">
        <f t="shared" ca="1" si="1"/>
        <v>174.95066583773479</v>
      </c>
      <c r="G8" s="147">
        <f ca="1">F8*(100%-'Données projet'!$C$24)*(100%-'Données projet'!$C$25)*(100%-'Données projet'!$C$26)*(100%-'Données projet'!$C$27)</f>
        <v>149.58281929126323</v>
      </c>
      <c r="H8" s="155">
        <f>IF(OR('Données projet'!B11="",'Données projet'!C11="",'Données projet'!C11=0%),0,AVERAGE(Calculateur!$BS$3:$BS$33)*B8)</f>
        <v>5.6622164644723387</v>
      </c>
      <c r="I8" s="149">
        <f>H8*(100%-'Données projet'!$C$24)*(100%-'Données projet'!$C$25)*(100%-'Données projet'!$C$26)*(100%-'Données projet'!$C$27)</f>
        <v>4.8411950771238494</v>
      </c>
      <c r="J8" s="150">
        <f>IF(OR('Données projet'!B11="",'Données projet'!C11="",'Données projet'!C11=0%),0,SUM(Calculateur!$BL$3:$BL$33)*VLOOKUP('Données projet'!$B$11,Paramètres!$A$1:$I$89,9,0)*B8)</f>
        <v>41.461632000000002</v>
      </c>
      <c r="K8" s="151">
        <f>J8*(100%-'Données projet'!$C$24)*(100%-'Données projet'!$C$25)*(100%-'Données projet'!$C$26)*(100%-'Données projet'!$C$27)</f>
        <v>35.44969536</v>
      </c>
      <c r="L8" s="152">
        <f t="shared" ca="1" si="2"/>
        <v>189.87370972838707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Pin laricio</v>
      </c>
      <c r="B9" s="154">
        <f>'Données projet'!D12</f>
        <v>0.70680000000000009</v>
      </c>
      <c r="C9" s="147">
        <f ca="1">IF(OR('Données projet'!B12="",'Données projet'!C12="",'Données projet'!C12=0%),0,Calculateur!CD3)</f>
        <v>314.69202393413491</v>
      </c>
      <c r="D9" s="147">
        <f>IF(OR('Données projet'!B12="",'Données projet'!C12="",'Données projet'!C12=0%),0,Calculateur!CE3)</f>
        <v>321.1728368524748</v>
      </c>
      <c r="E9" s="147">
        <f t="shared" ca="1" si="0"/>
        <v>314.69202393413491</v>
      </c>
      <c r="F9" s="147">
        <f t="shared" ca="1" si="1"/>
        <v>222.42432251664658</v>
      </c>
      <c r="G9" s="147">
        <f ca="1">F9*(100%-'Données projet'!$C$24)*(100%-'Données projet'!$C$25)*(100%-'Données projet'!$C$26)*(100%-'Données projet'!$C$27)</f>
        <v>190.17279575173282</v>
      </c>
      <c r="H9" s="155">
        <f>IF(OR('Données projet'!B12="",'Données projet'!C12="",'Données projet'!C12=0%),0,AVERAGE(Calculateur!$CN$3:$CN$33)*B9)</f>
        <v>3.837024803876353</v>
      </c>
      <c r="I9" s="149">
        <f>H9*(100%-'Données projet'!$C$24)*(100%-'Données projet'!$C$25)*(100%-'Données projet'!$C$26)*(100%-'Données projet'!$C$27)</f>
        <v>3.2806562073142818</v>
      </c>
      <c r="J9" s="150">
        <f>IF(OR('Données projet'!B12="",'Données projet'!C12="",'Données projet'!C12=0%),0,SUM(Calculateur!$CG$3:$CG$33)*VLOOKUP('Données projet'!$B$12,Paramètres!$A$1:$I$89,9,0)*B9)</f>
        <v>42.54936</v>
      </c>
      <c r="K9" s="151">
        <f>J9*(100%-'Données projet'!$C$24)*(100%-'Données projet'!$C$25)*(100%-'Données projet'!$C$26)*(100%-'Données projet'!$C$27)</f>
        <v>36.379702799999997</v>
      </c>
      <c r="L9" s="152">
        <f t="shared" ca="1" si="2"/>
        <v>229.83315475904709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1116.9317177583755</v>
      </c>
      <c r="G16" s="166">
        <f t="shared" ca="1" si="3"/>
        <v>954.97661868341117</v>
      </c>
      <c r="H16" s="167">
        <f t="shared" si="3"/>
        <v>27.145815960916408</v>
      </c>
      <c r="I16" s="167">
        <f t="shared" si="3"/>
        <v>23.209672646583527</v>
      </c>
      <c r="J16" s="168">
        <f t="shared" si="3"/>
        <v>244.9051584</v>
      </c>
      <c r="K16" s="168">
        <f t="shared" si="3"/>
        <v>209.39391043199998</v>
      </c>
      <c r="L16" s="169">
        <f t="shared" ca="1" si="3"/>
        <v>1187.5802017619947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Mélèze d'Europe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Pin laricio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8" zoomScale="80" zoomScaleNormal="80" workbookViewId="0">
      <selection activeCell="C117" sqref="C11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3902.9112497135948</v>
      </c>
      <c r="U10" s="178">
        <f>'Données projet'!D9</f>
        <v>1.302</v>
      </c>
      <c r="V10" s="177">
        <f>U10*T10</f>
        <v>5081.5904471271006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Cèdre de l'Atlas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-3022.225345376025</v>
      </c>
      <c r="U11" s="178">
        <f>'Données projet'!D10</f>
        <v>0.96720000000000006</v>
      </c>
      <c r="V11" s="177">
        <f t="shared" ref="V11" si="0">U11*T11</f>
        <v>-2923.0963540476914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Mélèze d'Europe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213.97716353869998</v>
      </c>
      <c r="U12" s="178">
        <f>'Données projet'!D11</f>
        <v>0.66959999999999997</v>
      </c>
      <c r="V12" s="177">
        <f t="shared" ref="V12:V19" si="1">U12*T12</f>
        <v>143.27910870551349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Pin laricio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-295.24780275343164</v>
      </c>
      <c r="U13" s="178">
        <f>'Données projet'!D12</f>
        <v>0.70680000000000009</v>
      </c>
      <c r="V13" s="177">
        <f t="shared" si="1"/>
        <v>-208.68114698612553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2185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25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2000.0000000000027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f>1000+450+372.8</f>
        <v>1822.8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400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450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>
        <v>500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-9274.4910120907862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20</v>
      </c>
      <c r="B24" s="181">
        <f>'Données projet'!D37</f>
        <v>104</v>
      </c>
      <c r="C24" s="193">
        <v>12</v>
      </c>
      <c r="D24" s="182">
        <f t="shared" ref="D24:D42" si="2">B24*C24</f>
        <v>1248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219.92251823657412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30</v>
      </c>
      <c r="B25" s="181">
        <f>'Données projet'!D38</f>
        <v>140</v>
      </c>
      <c r="C25" s="193">
        <v>35</v>
      </c>
      <c r="D25" s="182">
        <f t="shared" si="2"/>
        <v>4900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-9494.4135303273597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40</v>
      </c>
      <c r="B26" s="181">
        <f>'Données projet'!D39</f>
        <v>140</v>
      </c>
      <c r="C26" s="193">
        <v>45</v>
      </c>
      <c r="D26" s="182">
        <f t="shared" si="2"/>
        <v>6300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50</v>
      </c>
      <c r="B27" s="181">
        <f>'Données projet'!D40</f>
        <v>129</v>
      </c>
      <c r="C27" s="193">
        <v>50</v>
      </c>
      <c r="D27" s="182">
        <f t="shared" si="2"/>
        <v>6450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60</v>
      </c>
      <c r="B28" s="181">
        <f>'Données projet'!D41</f>
        <v>96</v>
      </c>
      <c r="C28" s="193">
        <v>55</v>
      </c>
      <c r="D28" s="182">
        <f t="shared" si="2"/>
        <v>5280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70</v>
      </c>
      <c r="B29" s="181">
        <f>'Données projet'!D42</f>
        <v>80</v>
      </c>
      <c r="C29" s="193">
        <v>60</v>
      </c>
      <c r="D29" s="182">
        <f t="shared" si="2"/>
        <v>4800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80</v>
      </c>
      <c r="B30" s="181">
        <f>'Données projet'!D43</f>
        <v>790</v>
      </c>
      <c r="C30" s="193">
        <v>80</v>
      </c>
      <c r="D30" s="182">
        <f t="shared" si="2"/>
        <v>63200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Cèdre de l'Atlas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4623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12.5</v>
      </c>
      <c r="C54" s="191">
        <v>8</v>
      </c>
      <c r="D54" s="179">
        <f>B54*C54</f>
        <v>100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45.9</v>
      </c>
      <c r="C55" s="191">
        <v>8</v>
      </c>
      <c r="D55" s="179">
        <f t="shared" ref="D55:D73" si="4">B55*C55</f>
        <v>367.2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83.4</v>
      </c>
      <c r="C56" s="191">
        <v>15</v>
      </c>
      <c r="D56" s="179">
        <f t="shared" si="4"/>
        <v>1251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83.4</v>
      </c>
      <c r="C57" s="191">
        <v>25</v>
      </c>
      <c r="D57" s="179">
        <f t="shared" si="4"/>
        <v>2085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83.4</v>
      </c>
      <c r="C58" s="191">
        <v>30</v>
      </c>
      <c r="D58" s="179">
        <f t="shared" si="4"/>
        <v>2502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83.4</v>
      </c>
      <c r="C59" s="191">
        <v>35</v>
      </c>
      <c r="D59" s="179">
        <f t="shared" si="4"/>
        <v>2919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83.4</v>
      </c>
      <c r="C60" s="191">
        <v>40</v>
      </c>
      <c r="D60" s="179">
        <f t="shared" si="4"/>
        <v>3336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90</v>
      </c>
      <c r="B61" s="181">
        <f>'Données projet'!D69</f>
        <v>83.4</v>
      </c>
      <c r="C61" s="191">
        <v>50</v>
      </c>
      <c r="D61" s="179">
        <f t="shared" si="4"/>
        <v>4170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100</v>
      </c>
      <c r="B62" s="181">
        <f>'Données projet'!D70</f>
        <v>726.2</v>
      </c>
      <c r="C62" s="191">
        <v>70</v>
      </c>
      <c r="D62" s="179">
        <f t="shared" si="4"/>
        <v>50834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Mélèze d'Europe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30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2185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10</v>
      </c>
      <c r="B85" s="181">
        <f>'Données projet'!D88</f>
        <v>0</v>
      </c>
      <c r="C85" s="191">
        <v>0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15</v>
      </c>
      <c r="B86" s="181">
        <f>'Données projet'!D89</f>
        <v>0</v>
      </c>
      <c r="C86" s="191">
        <v>0</v>
      </c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20</v>
      </c>
      <c r="B87" s="181">
        <f>'Données projet'!D90</f>
        <v>60</v>
      </c>
      <c r="C87" s="191">
        <v>10</v>
      </c>
      <c r="D87" s="179">
        <f t="shared" si="6"/>
        <v>600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30</v>
      </c>
      <c r="B88" s="181">
        <f>'Données projet'!D91</f>
        <v>84</v>
      </c>
      <c r="C88" s="191">
        <v>25</v>
      </c>
      <c r="D88" s="179">
        <f t="shared" si="6"/>
        <v>2100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40</v>
      </c>
      <c r="B89" s="181">
        <f>'Données projet'!D92</f>
        <v>82</v>
      </c>
      <c r="C89" s="191">
        <v>30</v>
      </c>
      <c r="D89" s="179">
        <f t="shared" si="6"/>
        <v>2460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50</v>
      </c>
      <c r="B90" s="181">
        <f>'Données projet'!D93</f>
        <v>68</v>
      </c>
      <c r="C90" s="191">
        <v>35</v>
      </c>
      <c r="D90" s="179">
        <f t="shared" si="6"/>
        <v>2380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60</v>
      </c>
      <c r="B91" s="181">
        <f>'Données projet'!D94</f>
        <v>55</v>
      </c>
      <c r="C91" s="191">
        <v>40</v>
      </c>
      <c r="D91" s="179">
        <f t="shared" si="6"/>
        <v>2200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70</v>
      </c>
      <c r="B92" s="181">
        <f>'Données projet'!D95</f>
        <v>45</v>
      </c>
      <c r="C92" s="191">
        <v>45</v>
      </c>
      <c r="D92" s="179">
        <f t="shared" si="6"/>
        <v>2025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80</v>
      </c>
      <c r="B93" s="181">
        <f>'Données projet'!D96</f>
        <v>442</v>
      </c>
      <c r="C93" s="191">
        <v>50</v>
      </c>
      <c r="D93" s="179">
        <f t="shared" si="6"/>
        <v>22100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Pin laricio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30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3026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15</v>
      </c>
      <c r="B116" s="181">
        <f>'Données projet'!D114</f>
        <v>0</v>
      </c>
      <c r="C116" s="191">
        <v>0</v>
      </c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20</v>
      </c>
      <c r="B117" s="181">
        <f>'Données projet'!D115</f>
        <v>42</v>
      </c>
      <c r="C117" s="191">
        <v>10</v>
      </c>
      <c r="D117" s="179">
        <f t="shared" ref="D117:D135" si="8">B117*C117</f>
        <v>420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30</v>
      </c>
      <c r="B118" s="181">
        <f>'Données projet'!D116</f>
        <v>98</v>
      </c>
      <c r="C118" s="191">
        <v>15</v>
      </c>
      <c r="D118" s="179">
        <f t="shared" si="8"/>
        <v>1470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40</v>
      </c>
      <c r="B119" s="181">
        <f>'Données projet'!D117</f>
        <v>98</v>
      </c>
      <c r="C119" s="191">
        <v>25</v>
      </c>
      <c r="D119" s="179">
        <f t="shared" si="8"/>
        <v>2450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50</v>
      </c>
      <c r="B120" s="181">
        <f>'Données projet'!D118</f>
        <v>94</v>
      </c>
      <c r="C120" s="191">
        <v>35</v>
      </c>
      <c r="D120" s="179">
        <f t="shared" si="8"/>
        <v>3290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60</v>
      </c>
      <c r="B121" s="181">
        <f>'Données projet'!D119</f>
        <v>71</v>
      </c>
      <c r="C121" s="191">
        <v>40</v>
      </c>
      <c r="D121" s="179">
        <f t="shared" si="8"/>
        <v>2840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70</v>
      </c>
      <c r="B122" s="181">
        <f>'Données projet'!D120</f>
        <v>55</v>
      </c>
      <c r="C122" s="191">
        <v>50</v>
      </c>
      <c r="D122" s="179">
        <f t="shared" si="8"/>
        <v>2750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80</v>
      </c>
      <c r="B123" s="181">
        <f>'Données projet'!D121</f>
        <v>592</v>
      </c>
      <c r="C123" s="191">
        <v>60</v>
      </c>
      <c r="D123" s="179">
        <f t="shared" si="8"/>
        <v>35520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30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30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30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30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30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30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Constance MORISE</cp:lastModifiedBy>
  <dcterms:created xsi:type="dcterms:W3CDTF">2021-02-01T08:22:39Z</dcterms:created>
  <dcterms:modified xsi:type="dcterms:W3CDTF">2024-09-24T14:32:44Z</dcterms:modified>
</cp:coreProperties>
</file>