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Reboisement Hubert Pruvost_Servon-Melzicourt (51)\Dossier d_instruction\"/>
    </mc:Choice>
  </mc:AlternateContent>
  <xr:revisionPtr revIDLastSave="0" documentId="13_ncr:1_{324B12ED-98EE-4392-8522-9183C396AE43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D162" i="2" l="1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V190" i="2" l="1"/>
  <c r="EW190" i="2"/>
  <c r="HG190" i="2"/>
  <c r="EB190" i="2"/>
  <c r="ED190" i="2" s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DI192" i="2" l="1"/>
  <c r="EB193" i="2"/>
  <c r="ED193" i="2" s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W197" i="2"/>
  <c r="EA197" i="2"/>
  <c r="ED197" i="2" s="1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DI200" i="2" s="1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FS201" i="2" l="1"/>
  <c r="HH201" i="2"/>
  <c r="EA201" i="2"/>
  <c r="EB201" i="2"/>
  <c r="ED201" i="2" s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129" i="2" a="1"/>
  <c r="CS129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AH19" i="2" a="1"/>
  <c r="AH19" i="2" s="1"/>
  <c r="AH62" i="2" a="1"/>
  <c r="AH62" i="2" s="1"/>
  <c r="AH163" i="2" a="1"/>
  <c r="AH163" i="2" s="1"/>
  <c r="CS105" i="2" a="1"/>
  <c r="CS10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DN56" i="2" l="1" a="1"/>
  <c r="DN56" i="2" s="1"/>
  <c r="DN137" i="2" a="1"/>
  <c r="DN137" i="2" s="1"/>
  <c r="CS185" i="2" a="1"/>
  <c r="CS185" i="2" s="1"/>
  <c r="CS161" i="2" a="1"/>
  <c r="CS161" i="2" s="1"/>
  <c r="CS77" i="2" a="1"/>
  <c r="CS77" i="2" s="1"/>
  <c r="CS52" i="2" a="1"/>
  <c r="CS52" i="2" s="1"/>
  <c r="CS134" i="2" a="1"/>
  <c r="CS134" i="2" s="1"/>
  <c r="CS24" i="2" a="1"/>
  <c r="CS24" i="2" s="1"/>
  <c r="CS114" i="2" a="1"/>
  <c r="CS114" i="2" s="1"/>
  <c r="CS120" i="2" a="1"/>
  <c r="CS120" i="2" s="1"/>
  <c r="CS56" i="2" a="1"/>
  <c r="CS56" i="2" s="1"/>
  <c r="CS38" i="2" a="1"/>
  <c r="CS38" i="2" s="1"/>
  <c r="CS116" i="2" a="1"/>
  <c r="CS116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CD60" i="2" l="1"/>
  <c r="CD5" i="2"/>
  <c r="CD35" i="2"/>
  <c r="CD89" i="2"/>
  <c r="CD58" i="2"/>
  <c r="CD146" i="2"/>
  <c r="CD69" i="2"/>
  <c r="CD98" i="2"/>
  <c r="CD190" i="2"/>
  <c r="CD79" i="2"/>
  <c r="CD172" i="2"/>
  <c r="CD173" i="2"/>
  <c r="CD125" i="2"/>
  <c r="CD186" i="2"/>
  <c r="CD171" i="2"/>
  <c r="CD16" i="2"/>
  <c r="CD160" i="2"/>
  <c r="CD127" i="2"/>
  <c r="CD115" i="2"/>
  <c r="CD158" i="2"/>
  <c r="CD135" i="2"/>
  <c r="CD85" i="2"/>
  <c r="CD157" i="2"/>
  <c r="CD101" i="2"/>
  <c r="CD120" i="2"/>
  <c r="CD192" i="2"/>
  <c r="CD154" i="2"/>
  <c r="CD150" i="2"/>
  <c r="CD170" i="2"/>
  <c r="CD61" i="2"/>
  <c r="CD57" i="2"/>
  <c r="CD94" i="2"/>
  <c r="CD27" i="2"/>
  <c r="CD71" i="2"/>
  <c r="CD202" i="2"/>
  <c r="CD165" i="2"/>
  <c r="CD109" i="2"/>
  <c r="CD83" i="2"/>
  <c r="CD45" i="2"/>
  <c r="CD76" i="2"/>
  <c r="CD48" i="2"/>
  <c r="CD87" i="2"/>
  <c r="CD93" i="2"/>
  <c r="CD117" i="2"/>
  <c r="CD56" i="2"/>
  <c r="CD9" i="2"/>
  <c r="CD183" i="2"/>
  <c r="CD168" i="2"/>
  <c r="CD6" i="2"/>
  <c r="CD166" i="2"/>
  <c r="CD108" i="2"/>
  <c r="CD176" i="2"/>
  <c r="CD144" i="2"/>
  <c r="CD110" i="2"/>
  <c r="CD121" i="2"/>
  <c r="CD167" i="2"/>
  <c r="CD86" i="2"/>
  <c r="CD119" i="2"/>
  <c r="CD68" i="2"/>
  <c r="CD62" i="2"/>
  <c r="CD53" i="2"/>
  <c r="CD14" i="2"/>
  <c r="CD196" i="2"/>
  <c r="CD84" i="2"/>
  <c r="CD103" i="2"/>
  <c r="CD113" i="2"/>
  <c r="CD80" i="2"/>
  <c r="CD112" i="2"/>
  <c r="CD95" i="2"/>
  <c r="CD74" i="2"/>
  <c r="CD41" i="2"/>
  <c r="CD54" i="2"/>
  <c r="CD51" i="2"/>
  <c r="CD140" i="2"/>
  <c r="CD42" i="2"/>
  <c r="CD33" i="2"/>
  <c r="CD105" i="2"/>
  <c r="CD141" i="2"/>
  <c r="CD193" i="2"/>
  <c r="CD182" i="2"/>
  <c r="CD67" i="2"/>
  <c r="CD107" i="2"/>
  <c r="CD200" i="2"/>
  <c r="CD81" i="2"/>
  <c r="CD77" i="2"/>
  <c r="CD3" i="2"/>
  <c r="C9" i="4" s="1"/>
  <c r="E9" i="4" s="1"/>
  <c r="F9" i="4" s="1"/>
  <c r="G9" i="4" s="1"/>
  <c r="L9" i="4" s="1"/>
  <c r="CD31" i="2"/>
  <c r="CD18" i="2"/>
  <c r="CD174" i="2"/>
  <c r="CD137" i="2"/>
  <c r="CD128" i="2"/>
  <c r="CD47" i="2"/>
  <c r="CD90" i="2"/>
  <c r="CD26" i="2"/>
  <c r="CD10" i="2"/>
  <c r="CD32" i="2"/>
  <c r="CD194" i="2"/>
  <c r="CD156" i="2"/>
  <c r="CD118" i="2"/>
  <c r="CD152" i="2"/>
  <c r="CD104" i="2"/>
  <c r="CD28" i="2"/>
  <c r="CD4" i="2"/>
  <c r="CD191" i="2"/>
  <c r="CD151" i="2"/>
  <c r="CD24" i="2"/>
  <c r="CD181" i="2"/>
  <c r="CD12" i="2"/>
  <c r="CD199" i="2"/>
  <c r="CD198" i="2"/>
  <c r="CD195" i="2"/>
  <c r="CD134" i="2"/>
  <c r="CD138" i="2"/>
  <c r="CD75" i="2"/>
  <c r="CD133" i="2"/>
  <c r="CD78" i="2"/>
  <c r="CD122" i="2"/>
  <c r="CD38" i="2"/>
  <c r="CD169" i="2"/>
  <c r="CD39" i="2"/>
  <c r="CD142" i="2"/>
  <c r="CD65" i="2"/>
  <c r="CD66" i="2"/>
  <c r="CD111" i="2"/>
  <c r="CD155" i="2"/>
  <c r="CD13" i="2"/>
  <c r="CD44" i="2"/>
  <c r="CD82" i="2"/>
  <c r="CD63" i="2"/>
  <c r="CD163" i="2"/>
  <c r="CD97" i="2"/>
  <c r="CD159" i="2"/>
  <c r="CD96" i="2"/>
  <c r="CD143" i="2"/>
  <c r="CD162" i="2"/>
  <c r="CD50" i="2"/>
  <c r="CD55" i="2"/>
  <c r="CD164" i="2"/>
  <c r="CD188" i="2"/>
  <c r="CD22" i="2"/>
  <c r="CD126" i="2"/>
  <c r="CD185" i="2"/>
  <c r="CD102" i="2"/>
  <c r="CD180" i="2"/>
  <c r="CD130" i="2"/>
  <c r="CD17" i="2"/>
  <c r="CD59" i="2"/>
  <c r="CD30" i="2"/>
  <c r="CD201" i="2"/>
  <c r="CD20" i="2"/>
  <c r="CD197" i="2"/>
  <c r="CD129" i="2"/>
  <c r="CD29" i="2"/>
  <c r="CD11" i="2"/>
  <c r="CD132" i="2"/>
  <c r="CD34" i="2"/>
  <c r="CD136" i="2"/>
  <c r="CD179" i="2"/>
  <c r="CD148" i="2"/>
  <c r="CD106" i="2"/>
  <c r="CD36" i="2"/>
  <c r="CD64" i="2"/>
  <c r="CD139" i="2"/>
  <c r="CD145" i="2"/>
  <c r="CD124" i="2"/>
  <c r="CD116" i="2"/>
  <c r="CD52" i="2"/>
  <c r="CD147" i="2"/>
  <c r="CD46" i="2"/>
  <c r="CD187" i="2"/>
  <c r="CD7" i="2"/>
  <c r="CD88" i="2"/>
  <c r="CD43" i="2"/>
  <c r="CD72" i="2"/>
  <c r="CD184" i="2"/>
  <c r="CD70" i="2"/>
  <c r="CD123" i="2"/>
  <c r="CD189" i="2"/>
  <c r="CD73" i="2"/>
  <c r="CD23" i="2"/>
  <c r="CD40" i="2"/>
  <c r="CD19" i="2"/>
  <c r="CD92" i="2"/>
  <c r="CD100" i="2"/>
  <c r="CD49" i="2"/>
  <c r="CD25" i="2"/>
  <c r="CD177" i="2"/>
  <c r="CD131" i="2"/>
  <c r="CD175" i="2"/>
  <c r="CD178" i="2"/>
  <c r="CD91" i="2"/>
  <c r="CD37" i="2"/>
  <c r="CD15" i="2"/>
  <c r="CD8" i="2"/>
  <c r="CD149" i="2"/>
  <c r="CD21" i="2"/>
  <c r="CD161" i="2"/>
  <c r="CD203" i="2"/>
  <c r="CD99" i="2"/>
  <c r="CD114" i="2"/>
  <c r="CD153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11" i="2" l="1"/>
  <c r="BI47" i="2"/>
  <c r="BI33" i="2"/>
  <c r="BI19" i="2"/>
  <c r="BI30" i="2"/>
  <c r="BI165" i="2"/>
  <c r="BI53" i="2"/>
  <c r="BI44" i="2"/>
  <c r="BI39" i="2"/>
  <c r="BI119" i="2"/>
  <c r="BI172" i="2"/>
  <c r="BI97" i="2"/>
  <c r="BI196" i="2"/>
  <c r="BI200" i="2"/>
  <c r="BI121" i="2"/>
  <c r="BI203" i="2"/>
  <c r="BI28" i="2"/>
  <c r="BI76" i="2"/>
  <c r="BI82" i="2"/>
  <c r="BI113" i="2"/>
  <c r="BI201" i="2"/>
  <c r="BI7" i="2"/>
  <c r="BI68" i="2"/>
  <c r="BI130" i="2"/>
  <c r="BI192" i="2"/>
  <c r="BI157" i="2"/>
  <c r="BI31" i="2"/>
  <c r="BI46" i="2"/>
  <c r="BI86" i="2"/>
  <c r="BI34" i="2"/>
  <c r="BI161" i="2"/>
  <c r="BI95" i="2"/>
  <c r="BI163" i="2"/>
  <c r="BI202" i="2"/>
  <c r="BI134" i="2"/>
  <c r="BI51" i="2"/>
  <c r="BI77" i="2"/>
  <c r="BI178" i="2"/>
  <c r="BI59" i="2"/>
  <c r="BI112" i="2"/>
  <c r="BI183" i="2"/>
  <c r="BI167" i="2"/>
  <c r="BI108" i="2"/>
  <c r="BI38" i="2"/>
  <c r="BI128" i="2"/>
  <c r="BI103" i="2"/>
  <c r="BI122" i="2"/>
  <c r="BI27" i="2"/>
  <c r="BI29" i="2"/>
  <c r="BI22" i="2"/>
  <c r="BI87" i="2"/>
  <c r="BI58" i="2"/>
  <c r="BI137" i="2"/>
  <c r="BI98" i="2"/>
  <c r="BI101" i="2"/>
  <c r="BI175" i="2"/>
  <c r="BI143" i="2"/>
  <c r="BI52" i="2"/>
  <c r="BI159" i="2"/>
  <c r="BI120" i="2"/>
  <c r="BI198" i="2"/>
  <c r="BI129" i="2"/>
  <c r="BI63" i="2"/>
  <c r="BI189" i="2"/>
  <c r="BI66" i="2"/>
  <c r="BI127" i="2"/>
  <c r="BI26" i="2"/>
  <c r="BI40" i="2"/>
  <c r="BI71" i="2"/>
  <c r="BI114" i="2"/>
  <c r="BI176" i="2"/>
  <c r="BI158" i="2"/>
  <c r="BI173" i="2"/>
  <c r="BI85" i="2"/>
  <c r="BI14" i="2"/>
  <c r="BI104" i="2"/>
  <c r="BI164" i="2"/>
  <c r="BI60" i="2"/>
  <c r="BI156" i="2"/>
  <c r="BI180" i="2"/>
  <c r="BI107" i="2"/>
  <c r="BI84" i="2"/>
  <c r="BI61" i="2"/>
  <c r="BI197" i="2"/>
  <c r="BI72" i="2"/>
  <c r="BI56" i="2"/>
  <c r="BI83" i="2"/>
  <c r="BI141" i="2"/>
  <c r="BI15" i="2"/>
  <c r="BI174" i="2"/>
  <c r="BI145" i="2"/>
  <c r="BI79" i="2"/>
  <c r="BI124" i="2"/>
  <c r="BI12" i="2"/>
  <c r="BI73" i="2"/>
  <c r="BI10" i="2"/>
  <c r="BI55" i="2"/>
  <c r="BI23" i="2"/>
  <c r="BI69" i="2"/>
  <c r="BI142" i="2"/>
  <c r="BI89" i="2"/>
  <c r="BI78" i="2"/>
  <c r="BI17" i="2"/>
  <c r="BI20" i="2"/>
  <c r="BI100" i="2"/>
  <c r="BI152" i="2"/>
  <c r="BI184" i="2"/>
  <c r="BI125" i="2"/>
  <c r="BI5" i="2"/>
  <c r="BI50" i="2"/>
  <c r="BI4" i="2"/>
  <c r="BI187" i="2"/>
  <c r="BI118" i="2"/>
  <c r="BI57" i="2"/>
  <c r="BI147" i="2"/>
  <c r="BI9" i="2"/>
  <c r="BI45" i="2"/>
  <c r="BI138" i="2"/>
  <c r="BI93" i="2"/>
  <c r="BI80" i="2"/>
  <c r="BI64" i="2"/>
  <c r="BI199" i="2"/>
  <c r="BI8" i="2"/>
  <c r="BI168" i="2"/>
  <c r="BI16" i="2"/>
  <c r="BI116" i="2"/>
  <c r="BI126" i="2"/>
  <c r="BI106" i="2"/>
  <c r="BI41" i="2"/>
  <c r="BI144" i="2"/>
  <c r="BI123" i="2"/>
  <c r="BI148" i="2"/>
  <c r="BI62" i="2"/>
  <c r="BI186" i="2"/>
  <c r="BI149" i="2"/>
  <c r="BI18" i="2"/>
  <c r="BI11" i="2"/>
  <c r="BI195" i="2"/>
  <c r="BI21" i="2"/>
  <c r="BI75" i="2"/>
  <c r="BI37" i="2"/>
  <c r="BI102" i="2"/>
  <c r="BI65" i="2"/>
  <c r="BI35" i="2"/>
  <c r="BI110" i="2"/>
  <c r="BI94" i="2"/>
  <c r="BI92" i="2"/>
  <c r="BI169" i="2"/>
  <c r="BI32" i="2"/>
  <c r="BI185" i="2"/>
  <c r="BI146" i="2"/>
  <c r="BI171" i="2"/>
  <c r="BI70" i="2"/>
  <c r="BI54" i="2"/>
  <c r="BI136" i="2"/>
  <c r="BI74" i="2"/>
  <c r="BI177" i="2"/>
  <c r="BI48" i="2"/>
  <c r="BI3" i="2"/>
  <c r="C8" i="4" s="1"/>
  <c r="E8" i="4" s="1"/>
  <c r="F8" i="4" s="1"/>
  <c r="G8" i="4" s="1"/>
  <c r="L8" i="4" s="1"/>
  <c r="BI166" i="2"/>
  <c r="BI81" i="2"/>
  <c r="BI25" i="2"/>
  <c r="BI131" i="2"/>
  <c r="BI13" i="2"/>
  <c r="BI154" i="2"/>
  <c r="BI153" i="2"/>
  <c r="BI24" i="2"/>
  <c r="BI162" i="2"/>
  <c r="BI99" i="2"/>
  <c r="BI140" i="2"/>
  <c r="BI150" i="2"/>
  <c r="BI36" i="2"/>
  <c r="BI190" i="2"/>
  <c r="BI139" i="2"/>
  <c r="BI170" i="2"/>
  <c r="BI117" i="2"/>
  <c r="BI96" i="2"/>
  <c r="BI133" i="2"/>
  <c r="BI91" i="2"/>
  <c r="BI115" i="2"/>
  <c r="BI90" i="2"/>
  <c r="BI193" i="2"/>
  <c r="BI109" i="2"/>
  <c r="BI191" i="2"/>
  <c r="BI181" i="2"/>
  <c r="BI182" i="2"/>
  <c r="BI49" i="2"/>
  <c r="BI194" i="2"/>
  <c r="BI135" i="2"/>
  <c r="BI42" i="2"/>
  <c r="BI88" i="2"/>
  <c r="BI6" i="2"/>
  <c r="BI151" i="2"/>
  <c r="BI160" i="2"/>
  <c r="BI179" i="2"/>
  <c r="BI105" i="2"/>
  <c r="BI43" i="2"/>
  <c r="BI155" i="2"/>
  <c r="BI188" i="2"/>
  <c r="BI67" i="2"/>
  <c r="BI132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<sst xmlns="http://schemas.openxmlformats.org/spreadsheetml/2006/main" count="1175" uniqueCount="324">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</sst>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1.9458220534450461</c:v>
                </c:pt>
                <c:pt idx="2">
                  <c:v>2.6052688850930608</c:v>
                </c:pt>
                <c:pt idx="3">
                  <c:v>3.4891415557971848</c:v>
                </c:pt>
                <c:pt idx="4">
                  <c:v>4.6741181602470476</c:v>
                </c:pt>
                <c:pt idx="5">
                  <c:v>6.2631708985707881</c:v>
                </c:pt>
                <c:pt idx="6">
                  <c:v>8.3946132843882353</c:v>
                </c:pt>
                <c:pt idx="7">
                  <c:v>11.254269980071941</c:v>
                </c:pt>
                <c:pt idx="8">
                  <c:v>15.091850089369855</c:v>
                </c:pt>
                <c:pt idx="9">
                  <c:v>20.242979807927657</c:v>
                </c:pt>
                <c:pt idx="10">
                  <c:v>27.158855862714148</c:v>
                </c:pt>
                <c:pt idx="11">
                  <c:v>36.446162634511545</c:v>
                </c:pt>
                <c:pt idx="12">
                  <c:v>48.920814605502024</c:v>
                </c:pt>
                <c:pt idx="13">
                  <c:v>65.680324592462512</c:v>
                </c:pt>
                <c:pt idx="14">
                  <c:v>88.201268835208964</c:v>
                </c:pt>
                <c:pt idx="15">
                  <c:v>118.47057319245452</c:v>
                </c:pt>
                <c:pt idx="16">
                  <c:v>159.16238397770385</c:v>
                </c:pt>
                <c:pt idx="17">
                  <c:v>213.87638708828857</c:v>
                </c:pt>
                <c:pt idx="18">
                  <c:v>249.45083193351374</c:v>
                </c:pt>
                <c:pt idx="19">
                  <c:v>191.70629212824224</c:v>
                </c:pt>
                <c:pt idx="20">
                  <c:v>224.21412124760153</c:v>
                </c:pt>
                <c:pt idx="21">
                  <c:v>256.61377815964903</c:v>
                </c:pt>
                <c:pt idx="22">
                  <c:v>288.92084404193173</c:v>
                </c:pt>
                <c:pt idx="23">
                  <c:v>321.14712390710332</c:v>
                </c:pt>
                <c:pt idx="24">
                  <c:v>353.30185772822512</c:v>
                </c:pt>
                <c:pt idx="25">
                  <c:v>326.3543163378294</c:v>
                </c:pt>
                <c:pt idx="26">
                  <c:v>360.75594324759282</c:v>
                </c:pt>
                <c:pt idx="27">
                  <c:v>395.08583028956542</c:v>
                </c:pt>
                <c:pt idx="28">
                  <c:v>429.35107936368263</c:v>
                </c:pt>
                <c:pt idx="29">
                  <c:v>463.55756684766487</c:v>
                </c:pt>
                <c:pt idx="30">
                  <c:v>497.71023178052701</c:v>
                </c:pt>
                <c:pt idx="31">
                  <c:v>435.68351151059488</c:v>
                </c:pt>
                <c:pt idx="32">
                  <c:v>469.69197316489391</c:v>
                </c:pt>
                <c:pt idx="33">
                  <c:v>503.64799795470162</c:v>
                </c:pt>
                <c:pt idx="34">
                  <c:v>537.55561252775112</c:v>
                </c:pt>
                <c:pt idx="35">
                  <c:v>571.41829472308314</c:v>
                </c:pt>
                <c:pt idx="36">
                  <c:v>605.23907710876153</c:v>
                </c:pt>
                <c:pt idx="37">
                  <c:v>537.00784127826716</c:v>
                </c:pt>
                <c:pt idx="38">
                  <c:v>570.20016327230462</c:v>
                </c:pt>
                <c:pt idx="39">
                  <c:v>603.35213343256157</c:v>
                </c:pt>
                <c:pt idx="40">
                  <c:v>636.46627691773801</c:v>
                </c:pt>
                <c:pt idx="41">
                  <c:v>669.54483509592194</c:v>
                </c:pt>
                <c:pt idx="42">
                  <c:v>702.58981015801282</c:v>
                </c:pt>
                <c:pt idx="43">
                  <c:v>627.08345171628036</c:v>
                </c:pt>
                <c:pt idx="44">
                  <c:v>659.00252576221885</c:v>
                </c:pt>
                <c:pt idx="45">
                  <c:v>690.88977874756938</c:v>
                </c:pt>
                <c:pt idx="46">
                  <c:v>722.74688334869063</c:v>
                </c:pt>
                <c:pt idx="47">
                  <c:v>754.57535300520556</c:v>
                </c:pt>
                <c:pt idx="48">
                  <c:v>786.3765632872063</c:v>
                </c:pt>
                <c:pt idx="49">
                  <c:v>697.55164646215064</c:v>
                </c:pt>
                <c:pt idx="50">
                  <c:v>727.76378638109611</c:v>
                </c:pt>
                <c:pt idx="51">
                  <c:v>757.95036730683603</c:v>
                </c:pt>
                <c:pt idx="52">
                  <c:v>788.11254862353928</c:v>
                </c:pt>
                <c:pt idx="53">
                  <c:v>818.25139388662035</c:v>
                </c:pt>
                <c:pt idx="54">
                  <c:v>848.36788205009941</c:v>
                </c:pt>
                <c:pt idx="55">
                  <c:v>1.2574858937744013</c:v>
                </c:pt>
                <c:pt idx="56">
                  <c:v>1.2574858937744013</c:v>
                </c:pt>
                <c:pt idx="57">
                  <c:v>1.2574858937744013</c:v>
                </c:pt>
                <c:pt idx="58">
                  <c:v>1.2574858937744013</c:v>
                </c:pt>
                <c:pt idx="59">
                  <c:v>1.2574858937744013</c:v>
                </c:pt>
                <c:pt idx="60">
                  <c:v>1.2574858937744013</c:v>
                </c:pt>
                <c:pt idx="61">
                  <c:v>1.2574858937744013</c:v>
                </c:pt>
                <c:pt idx="62">
                  <c:v>1.2574858937744013</c:v>
                </c:pt>
                <c:pt idx="63">
                  <c:v>1.2574858937744013</c:v>
                </c:pt>
                <c:pt idx="64">
                  <c:v>1.2574858937744013</c:v>
                </c:pt>
                <c:pt idx="65">
                  <c:v>1.2574858937744013</c:v>
                </c:pt>
                <c:pt idx="66">
                  <c:v>1.2574858937744013</c:v>
                </c:pt>
                <c:pt idx="67">
                  <c:v>1.2574858937744013</c:v>
                </c:pt>
                <c:pt idx="68">
                  <c:v>1.2574858937744013</c:v>
                </c:pt>
                <c:pt idx="69">
                  <c:v>1.2574858937744013</c:v>
                </c:pt>
                <c:pt idx="70">
                  <c:v>1.2574858937744013</c:v>
                </c:pt>
                <c:pt idx="71">
                  <c:v>1.2574858937744013</c:v>
                </c:pt>
                <c:pt idx="72">
                  <c:v>1.2574858937744013</c:v>
                </c:pt>
                <c:pt idx="73">
                  <c:v>1.2574858937744013</c:v>
                </c:pt>
                <c:pt idx="74">
                  <c:v>1.2574858937744013</c:v>
                </c:pt>
                <c:pt idx="75">
                  <c:v>1.2574858937744013</c:v>
                </c:pt>
                <c:pt idx="76">
                  <c:v>1.2574858937744013</c:v>
                </c:pt>
                <c:pt idx="77">
                  <c:v>1.2574858937744013</c:v>
                </c:pt>
                <c:pt idx="78">
                  <c:v>1.2574858937744013</c:v>
                </c:pt>
                <c:pt idx="79">
                  <c:v>1.2574858937744013</c:v>
                </c:pt>
                <c:pt idx="80">
                  <c:v>1.2574858937744013</c:v>
                </c:pt>
                <c:pt idx="81">
                  <c:v>1.2574858937744013</c:v>
                </c:pt>
                <c:pt idx="82">
                  <c:v>1.2574858937744013</c:v>
                </c:pt>
                <c:pt idx="83">
                  <c:v>1.2574858937744013</c:v>
                </c:pt>
                <c:pt idx="84">
                  <c:v>1.2574858937744013</c:v>
                </c:pt>
                <c:pt idx="85">
                  <c:v>1.2574858937744013</c:v>
                </c:pt>
                <c:pt idx="86">
                  <c:v>1.2574858937744013</c:v>
                </c:pt>
                <c:pt idx="87">
                  <c:v>1.2574858937744013</c:v>
                </c:pt>
                <c:pt idx="88">
                  <c:v>1.2574858937744013</c:v>
                </c:pt>
                <c:pt idx="89">
                  <c:v>1.2574858937744013</c:v>
                </c:pt>
                <c:pt idx="90">
                  <c:v>1.2574858937744013</c:v>
                </c:pt>
                <c:pt idx="91">
                  <c:v>1.2574858937744013</c:v>
                </c:pt>
                <c:pt idx="92">
                  <c:v>1.2574858937744013</c:v>
                </c:pt>
                <c:pt idx="93">
                  <c:v>1.2574858937744013</c:v>
                </c:pt>
                <c:pt idx="94">
                  <c:v>1.2574858937744013</c:v>
                </c:pt>
                <c:pt idx="95">
                  <c:v>1.2574858937744013</c:v>
                </c:pt>
                <c:pt idx="96">
                  <c:v>1.2574858937744013</c:v>
                </c:pt>
                <c:pt idx="97">
                  <c:v>1.2574858937744013</c:v>
                </c:pt>
                <c:pt idx="98">
                  <c:v>1.2574858937744013</c:v>
                </c:pt>
                <c:pt idx="99">
                  <c:v>1.2574858937744013</c:v>
                </c:pt>
                <c:pt idx="100">
                  <c:v>1.2574858937744013</c:v>
                </c:pt>
                <c:pt idx="101">
                  <c:v>1.2574858937744013</c:v>
                </c:pt>
                <c:pt idx="102">
                  <c:v>1.2574858937744013</c:v>
                </c:pt>
                <c:pt idx="103">
                  <c:v>1.2574858937744013</c:v>
                </c:pt>
                <c:pt idx="104">
                  <c:v>1.2574858937744013</c:v>
                </c:pt>
                <c:pt idx="105">
                  <c:v>1.2574858937744013</c:v>
                </c:pt>
                <c:pt idx="106">
                  <c:v>1.2574858937744013</c:v>
                </c:pt>
                <c:pt idx="107">
                  <c:v>1.2574858937744013</c:v>
                </c:pt>
                <c:pt idx="108">
                  <c:v>1.2574858937744013</c:v>
                </c:pt>
                <c:pt idx="109">
                  <c:v>1.2574858937744013</c:v>
                </c:pt>
                <c:pt idx="110">
                  <c:v>1.2574858937744013</c:v>
                </c:pt>
                <c:pt idx="111">
                  <c:v>1.2574858937744013</c:v>
                </c:pt>
                <c:pt idx="112">
                  <c:v>1.2574858937744013</c:v>
                </c:pt>
                <c:pt idx="113">
                  <c:v>1.2574858937744013</c:v>
                </c:pt>
                <c:pt idx="114">
                  <c:v>1.2574858937744013</c:v>
                </c:pt>
                <c:pt idx="115">
                  <c:v>1.2574858937744013</c:v>
                </c:pt>
                <c:pt idx="116">
                  <c:v>1.2574858937744013</c:v>
                </c:pt>
                <c:pt idx="117">
                  <c:v>1.2574858937744013</c:v>
                </c:pt>
                <c:pt idx="118">
                  <c:v>1.2574858937744013</c:v>
                </c:pt>
                <c:pt idx="119">
                  <c:v>1.2574858937744013</c:v>
                </c:pt>
                <c:pt idx="120">
                  <c:v>1.2574858937744013</c:v>
                </c:pt>
                <c:pt idx="121">
                  <c:v>1.2574858937744013</c:v>
                </c:pt>
                <c:pt idx="122">
                  <c:v>1.2574858937744013</c:v>
                </c:pt>
                <c:pt idx="123">
                  <c:v>1.2574858937744013</c:v>
                </c:pt>
                <c:pt idx="124">
                  <c:v>1.2574858937744013</c:v>
                </c:pt>
                <c:pt idx="125">
                  <c:v>1.2574858937744013</c:v>
                </c:pt>
                <c:pt idx="126">
                  <c:v>1.2574858937744013</c:v>
                </c:pt>
                <c:pt idx="127">
                  <c:v>1.2574858937744013</c:v>
                </c:pt>
                <c:pt idx="128">
                  <c:v>1.2574858937744013</c:v>
                </c:pt>
                <c:pt idx="129">
                  <c:v>1.2574858937744013</c:v>
                </c:pt>
                <c:pt idx="130">
                  <c:v>1.2574858937744013</c:v>
                </c:pt>
                <c:pt idx="131">
                  <c:v>1.2574858937744013</c:v>
                </c:pt>
                <c:pt idx="132">
                  <c:v>1.2574858937744013</c:v>
                </c:pt>
                <c:pt idx="133">
                  <c:v>1.2574858937744013</c:v>
                </c:pt>
                <c:pt idx="134">
                  <c:v>1.2574858937744013</c:v>
                </c:pt>
                <c:pt idx="135">
                  <c:v>1.2574858937744013</c:v>
                </c:pt>
                <c:pt idx="136">
                  <c:v>1.2574858937744013</c:v>
                </c:pt>
                <c:pt idx="137">
                  <c:v>1.2574858937744013</c:v>
                </c:pt>
                <c:pt idx="138">
                  <c:v>1.2574858937744013</c:v>
                </c:pt>
                <c:pt idx="139">
                  <c:v>1.2574858937744013</c:v>
                </c:pt>
                <c:pt idx="140">
                  <c:v>1.2574858937744013</c:v>
                </c:pt>
                <c:pt idx="141">
                  <c:v>1.2574858937744013</c:v>
                </c:pt>
                <c:pt idx="142">
                  <c:v>1.2574858937744013</c:v>
                </c:pt>
                <c:pt idx="143">
                  <c:v>1.2574858937744013</c:v>
                </c:pt>
                <c:pt idx="144">
                  <c:v>1.2574858937744013</c:v>
                </c:pt>
                <c:pt idx="145">
                  <c:v>1.2574858937744013</c:v>
                </c:pt>
                <c:pt idx="146">
                  <c:v>1.2574858937744013</c:v>
                </c:pt>
                <c:pt idx="147">
                  <c:v>1.2574858937744013</c:v>
                </c:pt>
                <c:pt idx="148">
                  <c:v>1.2574858937744013</c:v>
                </c:pt>
                <c:pt idx="149">
                  <c:v>1.2574858937744013</c:v>
                </c:pt>
                <c:pt idx="150">
                  <c:v>1.2574858937744013</c:v>
                </c:pt>
                <c:pt idx="151">
                  <c:v>1.2574858937744013</c:v>
                </c:pt>
                <c:pt idx="152">
                  <c:v>1.2574858937744013</c:v>
                </c:pt>
                <c:pt idx="153">
                  <c:v>1.2574858937744013</c:v>
                </c:pt>
                <c:pt idx="154">
                  <c:v>1.2574858937744013</c:v>
                </c:pt>
                <c:pt idx="155">
                  <c:v>1.2574858937744013</c:v>
                </c:pt>
                <c:pt idx="156">
                  <c:v>1.2574858937744013</c:v>
                </c:pt>
                <c:pt idx="157">
                  <c:v>1.2574858937744013</c:v>
                </c:pt>
                <c:pt idx="158">
                  <c:v>1.2574858937744013</c:v>
                </c:pt>
                <c:pt idx="159">
                  <c:v>1.2574858937744013</c:v>
                </c:pt>
                <c:pt idx="160">
                  <c:v>1.2574858937744013</c:v>
                </c:pt>
                <c:pt idx="161">
                  <c:v>1.2574858937744013</c:v>
                </c:pt>
                <c:pt idx="162">
                  <c:v>1.2574858937744013</c:v>
                </c:pt>
                <c:pt idx="163">
                  <c:v>1.2574858937744013</c:v>
                </c:pt>
                <c:pt idx="164">
                  <c:v>1.2574858937744013</c:v>
                </c:pt>
                <c:pt idx="165">
                  <c:v>1.2574858937744013</c:v>
                </c:pt>
                <c:pt idx="166">
                  <c:v>1.2574858937744013</c:v>
                </c:pt>
                <c:pt idx="167">
                  <c:v>1.2574858937744013</c:v>
                </c:pt>
                <c:pt idx="168">
                  <c:v>1.2574858937744013</c:v>
                </c:pt>
                <c:pt idx="169">
                  <c:v>1.2574858937744013</c:v>
                </c:pt>
                <c:pt idx="170">
                  <c:v>1.2574858937744013</c:v>
                </c:pt>
                <c:pt idx="171">
                  <c:v>1.2574858937744013</c:v>
                </c:pt>
                <c:pt idx="172">
                  <c:v>1.2574858937744013</c:v>
                </c:pt>
                <c:pt idx="173">
                  <c:v>1.2574858937744013</c:v>
                </c:pt>
                <c:pt idx="174">
                  <c:v>1.2574858937744013</c:v>
                </c:pt>
                <c:pt idx="175">
                  <c:v>1.2574858937744013</c:v>
                </c:pt>
                <c:pt idx="176">
                  <c:v>1.2574858937744013</c:v>
                </c:pt>
                <c:pt idx="177">
                  <c:v>1.2574858937744013</c:v>
                </c:pt>
                <c:pt idx="178">
                  <c:v>1.2574858937744013</c:v>
                </c:pt>
                <c:pt idx="179">
                  <c:v>1.2574858937744013</c:v>
                </c:pt>
                <c:pt idx="180">
                  <c:v>1.2574858937744013</c:v>
                </c:pt>
                <c:pt idx="181">
                  <c:v>1.2574858937744013</c:v>
                </c:pt>
                <c:pt idx="182">
                  <c:v>1.2574858937744013</c:v>
                </c:pt>
                <c:pt idx="183">
                  <c:v>1.2574858937744013</c:v>
                </c:pt>
                <c:pt idx="184">
                  <c:v>1.2574858937744013</c:v>
                </c:pt>
                <c:pt idx="185">
                  <c:v>1.2574858937744013</c:v>
                </c:pt>
                <c:pt idx="186">
                  <c:v>1.2574858937744013</c:v>
                </c:pt>
                <c:pt idx="187">
                  <c:v>1.2574858937744013</c:v>
                </c:pt>
                <c:pt idx="188">
                  <c:v>1.2574858937744013</c:v>
                </c:pt>
                <c:pt idx="189">
                  <c:v>1.2574858937744013</c:v>
                </c:pt>
                <c:pt idx="190">
                  <c:v>1.2574858937744013</c:v>
                </c:pt>
                <c:pt idx="191">
                  <c:v>1.2574858937744013</c:v>
                </c:pt>
                <c:pt idx="192">
                  <c:v>1.2574858937744013</c:v>
                </c:pt>
                <c:pt idx="193">
                  <c:v>1.2574858937744013</c:v>
                </c:pt>
                <c:pt idx="194">
                  <c:v>1.2574858937744013</c:v>
                </c:pt>
                <c:pt idx="195">
                  <c:v>1.2574858937744013</c:v>
                </c:pt>
                <c:pt idx="196">
                  <c:v>1.2574858937744013</c:v>
                </c:pt>
                <c:pt idx="197">
                  <c:v>1.2574858937744013</c:v>
                </c:pt>
                <c:pt idx="198">
                  <c:v>1.2574858937744013</c:v>
                </c:pt>
                <c:pt idx="199">
                  <c:v>1.2574858937744013</c:v>
                </c:pt>
                <c:pt idx="200">
                  <c:v>1.2574858937744013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3.0215418478863434</c:v>
                </c:pt>
                <c:pt idx="2">
                  <c:v>4.0882142365615106</c:v>
                </c:pt>
                <c:pt idx="3">
                  <c:v>5.5330029449878415</c:v>
                </c:pt>
                <c:pt idx="4">
                  <c:v>7.4904619536777686</c:v>
                </c:pt>
                <c:pt idx="5">
                  <c:v>10.143198697027399</c:v>
                </c:pt>
                <c:pt idx="6">
                  <c:v>13.739092273584617</c:v>
                </c:pt>
                <c:pt idx="7">
                  <c:v>18.614699878988485</c:v>
                </c:pt>
                <c:pt idx="8">
                  <c:v>25.227081644422793</c:v>
                </c:pt>
                <c:pt idx="9">
                  <c:v>34.197079809673824</c:v>
                </c:pt>
                <c:pt idx="10">
                  <c:v>46.368185670270002</c:v>
                </c:pt>
                <c:pt idx="11">
                  <c:v>60.806387369363868</c:v>
                </c:pt>
                <c:pt idx="12">
                  <c:v>75.154841693095705</c:v>
                </c:pt>
                <c:pt idx="13">
                  <c:v>89.433224652663043</c:v>
                </c:pt>
                <c:pt idx="14">
                  <c:v>103.65434792362198</c:v>
                </c:pt>
                <c:pt idx="15">
                  <c:v>117.82719554138386</c:v>
                </c:pt>
                <c:pt idx="16">
                  <c:v>136.15232577620694</c:v>
                </c:pt>
                <c:pt idx="17">
                  <c:v>154.41803223213648</c:v>
                </c:pt>
                <c:pt idx="18">
                  <c:v>172.63234168697639</c:v>
                </c:pt>
                <c:pt idx="19">
                  <c:v>190.80144399249434</c:v>
                </c:pt>
                <c:pt idx="20">
                  <c:v>208.9302515139897</c:v>
                </c:pt>
                <c:pt idx="21">
                  <c:v>148.71585437138609</c:v>
                </c:pt>
                <c:pt idx="22">
                  <c:v>166.18689856434787</c:v>
                </c:pt>
                <c:pt idx="23">
                  <c:v>183.6145755041251</c:v>
                </c:pt>
                <c:pt idx="24">
                  <c:v>201.00358266422018</c:v>
                </c:pt>
                <c:pt idx="25">
                  <c:v>218.35773715529604</c:v>
                </c:pt>
                <c:pt idx="26">
                  <c:v>191.93562952471487</c:v>
                </c:pt>
                <c:pt idx="27">
                  <c:v>208.9302515139897</c:v>
                </c:pt>
                <c:pt idx="28">
                  <c:v>225.89297020726829</c:v>
                </c:pt>
                <c:pt idx="29">
                  <c:v>242.8265187332286</c:v>
                </c:pt>
                <c:pt idx="30">
                  <c:v>259.73321764902875</c:v>
                </c:pt>
                <c:pt idx="31">
                  <c:v>230.41133295181578</c:v>
                </c:pt>
                <c:pt idx="32">
                  <c:v>246.20993843849078</c:v>
                </c:pt>
                <c:pt idx="33">
                  <c:v>261.98552595095464</c:v>
                </c:pt>
                <c:pt idx="34">
                  <c:v>277.73967673325717</c:v>
                </c:pt>
                <c:pt idx="35">
                  <c:v>293.47377793906509</c:v>
                </c:pt>
                <c:pt idx="36">
                  <c:v>263.1115158976508</c:v>
                </c:pt>
                <c:pt idx="37">
                  <c:v>277.73967673325717</c:v>
                </c:pt>
                <c:pt idx="38">
                  <c:v>292.35055150938058</c:v>
                </c:pt>
                <c:pt idx="39">
                  <c:v>306.94512587259845</c:v>
                </c:pt>
                <c:pt idx="40">
                  <c:v>321.52428406625802</c:v>
                </c:pt>
                <c:pt idx="41">
                  <c:v>291.60168035874693</c:v>
                </c:pt>
                <c:pt idx="42">
                  <c:v>304.7008312271609</c:v>
                </c:pt>
                <c:pt idx="43">
                  <c:v>317.78746245668049</c:v>
                </c:pt>
                <c:pt idx="44">
                  <c:v>330.8621623472693</c:v>
                </c:pt>
                <c:pt idx="45">
                  <c:v>343.92546889640738</c:v>
                </c:pt>
                <c:pt idx="46">
                  <c:v>315.17110877697843</c:v>
                </c:pt>
                <c:pt idx="47">
                  <c:v>327.50120555867051</c:v>
                </c:pt>
                <c:pt idx="48">
                  <c:v>339.8210552385695</c:v>
                </c:pt>
                <c:pt idx="49">
                  <c:v>352.13108175057886</c:v>
                </c:pt>
                <c:pt idx="50">
                  <c:v>364.43167696167438</c:v>
                </c:pt>
                <c:pt idx="51">
                  <c:v>336.83534260693528</c:v>
                </c:pt>
                <c:pt idx="52">
                  <c:v>348.40178403373966</c:v>
                </c:pt>
                <c:pt idx="53">
                  <c:v>359.95980096859563</c:v>
                </c:pt>
                <c:pt idx="54">
                  <c:v>371.50970211515966</c:v>
                </c:pt>
                <c:pt idx="55">
                  <c:v>383.05177541071225</c:v>
                </c:pt>
                <c:pt idx="56">
                  <c:v>355.4867090941064</c:v>
                </c:pt>
                <c:pt idx="57">
                  <c:v>365.17687261995815</c:v>
                </c:pt>
                <c:pt idx="58">
                  <c:v>374.86142076164555</c:v>
                </c:pt>
                <c:pt idx="59">
                  <c:v>384.5405191164823</c:v>
                </c:pt>
                <c:pt idx="60">
                  <c:v>394.21432426135431</c:v>
                </c:pt>
                <c:pt idx="61">
                  <c:v>370.01983804377852</c:v>
                </c:pt>
                <c:pt idx="62">
                  <c:v>379.32936443758246</c:v>
                </c:pt>
                <c:pt idx="63">
                  <c:v>388.63392005694874</c:v>
                </c:pt>
                <c:pt idx="64">
                  <c:v>397.93364074958487</c:v>
                </c:pt>
                <c:pt idx="65">
                  <c:v>407.22865549260905</c:v>
                </c:pt>
                <c:pt idx="66">
                  <c:v>384.16834495549637</c:v>
                </c:pt>
                <c:pt idx="67">
                  <c:v>392.72638504489856</c:v>
                </c:pt>
                <c:pt idx="68">
                  <c:v>401.28038164783965</c:v>
                </c:pt>
                <c:pt idx="69">
                  <c:v>409.83043316117727</c:v>
                </c:pt>
                <c:pt idx="70">
                  <c:v>418.37663353903218</c:v>
                </c:pt>
                <c:pt idx="71">
                  <c:v>395.70214171866616</c:v>
                </c:pt>
                <c:pt idx="72">
                  <c:v>402.76762782233124</c:v>
                </c:pt>
                <c:pt idx="73">
                  <c:v>409.83043316117727</c:v>
                </c:pt>
                <c:pt idx="74">
                  <c:v>416.89061048442267</c:v>
                </c:pt>
                <c:pt idx="75">
                  <c:v>423.94821060760881</c:v>
                </c:pt>
                <c:pt idx="76">
                  <c:v>404.62651852552534</c:v>
                </c:pt>
                <c:pt idx="77">
                  <c:v>411.31700294422785</c:v>
                </c:pt>
                <c:pt idx="78">
                  <c:v>418.00513845794814</c:v>
                </c:pt>
                <c:pt idx="79">
                  <c:v>424.69096797933253</c:v>
                </c:pt>
                <c:pt idx="80">
                  <c:v>431.37453295867726</c:v>
                </c:pt>
                <c:pt idx="81">
                  <c:v>413.17505211911867</c:v>
                </c:pt>
                <c:pt idx="82">
                  <c:v>419.11960237942054</c:v>
                </c:pt>
                <c:pt idx="83">
                  <c:v>425.06233617824188</c:v>
                </c:pt>
                <c:pt idx="84">
                  <c:v>431.00328251520631</c:v>
                </c:pt>
                <c:pt idx="85">
                  <c:v>436.94246952460412</c:v>
                </c:pt>
                <c:pt idx="86">
                  <c:v>420.23400244347653</c:v>
                </c:pt>
                <c:pt idx="87">
                  <c:v>425.80505163704896</c:v>
                </c:pt>
                <c:pt idx="88">
                  <c:v>431.37453295867726</c:v>
                </c:pt>
                <c:pt idx="89">
                  <c:v>436.94246952460412</c:v>
                </c:pt>
                <c:pt idx="90">
                  <c:v>442.5088838133741</c:v>
                </c:pt>
                <c:pt idx="91">
                  <c:v>427.29039899318769</c:v>
                </c:pt>
                <c:pt idx="92">
                  <c:v>432.48824312398847</c:v>
                </c:pt>
                <c:pt idx="93">
                  <c:v>437.68474556682258</c:v>
                </c:pt>
                <c:pt idx="94">
                  <c:v>442.87992451288648</c:v>
                </c:pt>
                <c:pt idx="95">
                  <c:v>448.07379769140431</c:v>
                </c:pt>
                <c:pt idx="96">
                  <c:v>433.23068233058711</c:v>
                </c:pt>
                <c:pt idx="97">
                  <c:v>438.7981090039205</c:v>
                </c:pt>
                <c:pt idx="98">
                  <c:v>444.36402075569328</c:v>
                </c:pt>
                <c:pt idx="99">
                  <c:v>449.92843925372921</c:v>
                </c:pt>
                <c:pt idx="100">
                  <c:v>455.49138558575515</c:v>
                </c:pt>
                <c:pt idx="101">
                  <c:v>433.23068233058711</c:v>
                </c:pt>
                <c:pt idx="102">
                  <c:v>433.23068233058711</c:v>
                </c:pt>
                <c:pt idx="103">
                  <c:v>433.23068233058711</c:v>
                </c:pt>
                <c:pt idx="104">
                  <c:v>433.23068233058711</c:v>
                </c:pt>
                <c:pt idx="105">
                  <c:v>433.23068233058711</c:v>
                </c:pt>
                <c:pt idx="106">
                  <c:v>433.23068233058711</c:v>
                </c:pt>
                <c:pt idx="107">
                  <c:v>433.23068233058711</c:v>
                </c:pt>
                <c:pt idx="108">
                  <c:v>433.23068233058711</c:v>
                </c:pt>
                <c:pt idx="109">
                  <c:v>433.23068233058711</c:v>
                </c:pt>
                <c:pt idx="110">
                  <c:v>433.23068233058711</c:v>
                </c:pt>
                <c:pt idx="111">
                  <c:v>433.23068233058711</c:v>
                </c:pt>
                <c:pt idx="112">
                  <c:v>433.23068233058711</c:v>
                </c:pt>
                <c:pt idx="113">
                  <c:v>433.23068233058711</c:v>
                </c:pt>
                <c:pt idx="114">
                  <c:v>433.23068233058711</c:v>
                </c:pt>
                <c:pt idx="115">
                  <c:v>433.23068233058711</c:v>
                </c:pt>
                <c:pt idx="116">
                  <c:v>433.23068233058711</c:v>
                </c:pt>
                <c:pt idx="117">
                  <c:v>433.23068233058711</c:v>
                </c:pt>
                <c:pt idx="118">
                  <c:v>433.23068233058711</c:v>
                </c:pt>
                <c:pt idx="119">
                  <c:v>433.23068233058711</c:v>
                </c:pt>
                <c:pt idx="120">
                  <c:v>433.23068233058711</c:v>
                </c:pt>
                <c:pt idx="121">
                  <c:v>433.23068233058711</c:v>
                </c:pt>
                <c:pt idx="122">
                  <c:v>433.23068233058711</c:v>
                </c:pt>
                <c:pt idx="123">
                  <c:v>433.23068233058711</c:v>
                </c:pt>
                <c:pt idx="124">
                  <c:v>433.23068233058711</c:v>
                </c:pt>
                <c:pt idx="125">
                  <c:v>433.23068233058711</c:v>
                </c:pt>
                <c:pt idx="126">
                  <c:v>433.23068233058711</c:v>
                </c:pt>
                <c:pt idx="127">
                  <c:v>433.23068233058711</c:v>
                </c:pt>
                <c:pt idx="128">
                  <c:v>433.23068233058711</c:v>
                </c:pt>
                <c:pt idx="129">
                  <c:v>433.23068233058711</c:v>
                </c:pt>
                <c:pt idx="130">
                  <c:v>433.23068233058711</c:v>
                </c:pt>
                <c:pt idx="131">
                  <c:v>433.23068233058711</c:v>
                </c:pt>
                <c:pt idx="132">
                  <c:v>433.23068233058711</c:v>
                </c:pt>
                <c:pt idx="133">
                  <c:v>433.23068233058711</c:v>
                </c:pt>
                <c:pt idx="134">
                  <c:v>433.23068233058711</c:v>
                </c:pt>
                <c:pt idx="135">
                  <c:v>433.23068233058711</c:v>
                </c:pt>
                <c:pt idx="136">
                  <c:v>433.23068233058711</c:v>
                </c:pt>
                <c:pt idx="137">
                  <c:v>433.23068233058711</c:v>
                </c:pt>
                <c:pt idx="138">
                  <c:v>433.23068233058711</c:v>
                </c:pt>
                <c:pt idx="139">
                  <c:v>433.23068233058711</c:v>
                </c:pt>
                <c:pt idx="140">
                  <c:v>433.23068233058711</c:v>
                </c:pt>
                <c:pt idx="141">
                  <c:v>433.23068233058711</c:v>
                </c:pt>
                <c:pt idx="142">
                  <c:v>433.23068233058711</c:v>
                </c:pt>
                <c:pt idx="143">
                  <c:v>433.23068233058711</c:v>
                </c:pt>
                <c:pt idx="144">
                  <c:v>433.23068233058711</c:v>
                </c:pt>
                <c:pt idx="145">
                  <c:v>433.23068233058711</c:v>
                </c:pt>
                <c:pt idx="146">
                  <c:v>433.23068233058711</c:v>
                </c:pt>
                <c:pt idx="147">
                  <c:v>433.23068233058711</c:v>
                </c:pt>
                <c:pt idx="148">
                  <c:v>433.23068233058711</c:v>
                </c:pt>
                <c:pt idx="149">
                  <c:v>433.23068233058711</c:v>
                </c:pt>
                <c:pt idx="150">
                  <c:v>433.23068233058711</c:v>
                </c:pt>
                <c:pt idx="151">
                  <c:v>433.23068233058711</c:v>
                </c:pt>
                <c:pt idx="152">
                  <c:v>433.23068233058711</c:v>
                </c:pt>
                <c:pt idx="153">
                  <c:v>433.23068233058711</c:v>
                </c:pt>
                <c:pt idx="154">
                  <c:v>433.23068233058711</c:v>
                </c:pt>
                <c:pt idx="155">
                  <c:v>433.23068233058711</c:v>
                </c:pt>
                <c:pt idx="156">
                  <c:v>433.23068233058711</c:v>
                </c:pt>
                <c:pt idx="157">
                  <c:v>433.23068233058711</c:v>
                </c:pt>
                <c:pt idx="158">
                  <c:v>433.23068233058711</c:v>
                </c:pt>
                <c:pt idx="159">
                  <c:v>433.23068233058711</c:v>
                </c:pt>
                <c:pt idx="160">
                  <c:v>433.23068233058711</c:v>
                </c:pt>
                <c:pt idx="161">
                  <c:v>433.23068233058711</c:v>
                </c:pt>
                <c:pt idx="162">
                  <c:v>433.23068233058711</c:v>
                </c:pt>
                <c:pt idx="163">
                  <c:v>433.23068233058711</c:v>
                </c:pt>
                <c:pt idx="164">
                  <c:v>433.23068233058711</c:v>
                </c:pt>
                <c:pt idx="165">
                  <c:v>433.23068233058711</c:v>
                </c:pt>
                <c:pt idx="166">
                  <c:v>433.23068233058711</c:v>
                </c:pt>
                <c:pt idx="167">
                  <c:v>433.23068233058711</c:v>
                </c:pt>
                <c:pt idx="168">
                  <c:v>433.23068233058711</c:v>
                </c:pt>
                <c:pt idx="169">
                  <c:v>433.23068233058711</c:v>
                </c:pt>
                <c:pt idx="170">
                  <c:v>433.23068233058711</c:v>
                </c:pt>
                <c:pt idx="171">
                  <c:v>433.23068233058711</c:v>
                </c:pt>
                <c:pt idx="172">
                  <c:v>433.23068233058711</c:v>
                </c:pt>
                <c:pt idx="173">
                  <c:v>433.23068233058711</c:v>
                </c:pt>
                <c:pt idx="174">
                  <c:v>433.23068233058711</c:v>
                </c:pt>
                <c:pt idx="175">
                  <c:v>433.23068233058711</c:v>
                </c:pt>
                <c:pt idx="176">
                  <c:v>433.23068233058711</c:v>
                </c:pt>
                <c:pt idx="177">
                  <c:v>433.23068233058711</c:v>
                </c:pt>
                <c:pt idx="178">
                  <c:v>433.23068233058711</c:v>
                </c:pt>
                <c:pt idx="179">
                  <c:v>433.23068233058711</c:v>
                </c:pt>
                <c:pt idx="180">
                  <c:v>433.23068233058711</c:v>
                </c:pt>
                <c:pt idx="181">
                  <c:v>433.23068233058711</c:v>
                </c:pt>
                <c:pt idx="182">
                  <c:v>433.23068233058711</c:v>
                </c:pt>
                <c:pt idx="183">
                  <c:v>433.23068233058711</c:v>
                </c:pt>
                <c:pt idx="184">
                  <c:v>433.23068233058711</c:v>
                </c:pt>
                <c:pt idx="185">
                  <c:v>433.23068233058711</c:v>
                </c:pt>
                <c:pt idx="186">
                  <c:v>433.23068233058711</c:v>
                </c:pt>
                <c:pt idx="187">
                  <c:v>433.23068233058711</c:v>
                </c:pt>
                <c:pt idx="188">
                  <c:v>433.23068233058711</c:v>
                </c:pt>
                <c:pt idx="189">
                  <c:v>433.23068233058711</c:v>
                </c:pt>
                <c:pt idx="190">
                  <c:v>433.23068233058711</c:v>
                </c:pt>
                <c:pt idx="191">
                  <c:v>433.23068233058711</c:v>
                </c:pt>
                <c:pt idx="192">
                  <c:v>433.23068233058711</c:v>
                </c:pt>
                <c:pt idx="193">
                  <c:v>433.23068233058711</c:v>
                </c:pt>
                <c:pt idx="194">
                  <c:v>433.23068233058711</c:v>
                </c:pt>
                <c:pt idx="195">
                  <c:v>433.23068233058711</c:v>
                </c:pt>
                <c:pt idx="196">
                  <c:v>433.23068233058711</c:v>
                </c:pt>
                <c:pt idx="197">
                  <c:v>433.23068233058711</c:v>
                </c:pt>
                <c:pt idx="198">
                  <c:v>433.23068233058711</c:v>
                </c:pt>
                <c:pt idx="199">
                  <c:v>433.23068233058711</c:v>
                </c:pt>
                <c:pt idx="200">
                  <c:v>433.23068233058711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2.9770808019599735</c:v>
                </c:pt>
                <c:pt idx="2">
                  <c:v>3.4373570828714688</c:v>
                </c:pt>
                <c:pt idx="3">
                  <c:v>3.969049858352836</c:v>
                </c:pt>
                <c:pt idx="4">
                  <c:v>4.5832774414983648</c:v>
                </c:pt>
                <c:pt idx="5">
                  <c:v>5.2928945237969822</c:v>
                </c:pt>
                <c:pt idx="6">
                  <c:v>6.1127641431566362</c:v>
                </c:pt>
                <c:pt idx="7">
                  <c:v>7.0600723651439914</c:v>
                </c:pt>
                <c:pt idx="8">
                  <c:v>8.1546924022830094</c:v>
                </c:pt>
                <c:pt idx="9">
                  <c:v>9.4196059574262012</c:v>
                </c:pt>
                <c:pt idx="10">
                  <c:v>10.881390806178834</c:v>
                </c:pt>
                <c:pt idx="11">
                  <c:v>12.570785056701292</c:v>
                </c:pt>
                <c:pt idx="12">
                  <c:v>14.523340173738314</c:v>
                </c:pt>
                <c:pt idx="13">
                  <c:v>16.780176763115087</c:v>
                </c:pt>
                <c:pt idx="14">
                  <c:v>19.388859324553817</c:v>
                </c:pt>
                <c:pt idx="15">
                  <c:v>22.40440874242114</c:v>
                </c:pt>
                <c:pt idx="16">
                  <c:v>25.890474251448747</c:v>
                </c:pt>
                <c:pt idx="17">
                  <c:v>29.92069005192911</c:v>
                </c:pt>
                <c:pt idx="18">
                  <c:v>34.580245730952278</c:v>
                </c:pt>
                <c:pt idx="19">
                  <c:v>39.967704259345972</c:v>
                </c:pt>
                <c:pt idx="20">
                  <c:v>46.197106678273713</c:v>
                </c:pt>
                <c:pt idx="21">
                  <c:v>53.400408781022065</c:v>
                </c:pt>
                <c:pt idx="22">
                  <c:v>61.730302268911977</c:v>
                </c:pt>
                <c:pt idx="23">
                  <c:v>71.363481171441208</c:v>
                </c:pt>
                <c:pt idx="24">
                  <c:v>82.504423950448952</c:v>
                </c:pt>
                <c:pt idx="25">
                  <c:v>95.389772865783996</c:v>
                </c:pt>
                <c:pt idx="26">
                  <c:v>110.29340510848425</c:v>
                </c:pt>
                <c:pt idx="27">
                  <c:v>127.53230518830827</c:v>
                </c:pt>
                <c:pt idx="28">
                  <c:v>147.47336542186929</c:v>
                </c:pt>
                <c:pt idx="29">
                  <c:v>170.54126148381732</c:v>
                </c:pt>
                <c:pt idx="30">
                  <c:v>197.22757329492163</c:v>
                </c:pt>
                <c:pt idx="31">
                  <c:v>215.07335191402572</c:v>
                </c:pt>
                <c:pt idx="32">
                  <c:v>232.88505322380547</c:v>
                </c:pt>
                <c:pt idx="33">
                  <c:v>250.66565040553425</c:v>
                </c:pt>
                <c:pt idx="34">
                  <c:v>268.41766014763544</c:v>
                </c:pt>
                <c:pt idx="35">
                  <c:v>286.14323893929458</c:v>
                </c:pt>
                <c:pt idx="36">
                  <c:v>303.84425421892331</c:v>
                </c:pt>
                <c:pt idx="37">
                  <c:v>321.52233805617396</c:v>
                </c:pt>
                <c:pt idx="38">
                  <c:v>339.1789283995904</c:v>
                </c:pt>
                <c:pt idx="39">
                  <c:v>356.81530128054663</c:v>
                </c:pt>
                <c:pt idx="40">
                  <c:v>374.43259631434438</c:v>
                </c:pt>
                <c:pt idx="41">
                  <c:v>392.0318371496391</c:v>
                </c:pt>
                <c:pt idx="42">
                  <c:v>409.61394805329786</c:v>
                </c:pt>
                <c:pt idx="43">
                  <c:v>427.17976749885844</c:v>
                </c:pt>
                <c:pt idx="44">
                  <c:v>444.73005940335355</c:v>
                </c:pt>
                <c:pt idx="45">
                  <c:v>304.86138871632335</c:v>
                </c:pt>
                <c:pt idx="46">
                  <c:v>325.03382843049684</c:v>
                </c:pt>
                <c:pt idx="47">
                  <c:v>345.17861331979861</c:v>
                </c:pt>
                <c:pt idx="48">
                  <c:v>365.29758358379803</c:v>
                </c:pt>
                <c:pt idx="49">
                  <c:v>385.39236023794456</c:v>
                </c:pt>
                <c:pt idx="50">
                  <c:v>405.46438152379807</c:v>
                </c:pt>
                <c:pt idx="51">
                  <c:v>425.51493173134145</c:v>
                </c:pt>
                <c:pt idx="52">
                  <c:v>344.93350024615</c:v>
                </c:pt>
                <c:pt idx="53">
                  <c:v>364.02330227549237</c:v>
                </c:pt>
                <c:pt idx="54">
                  <c:v>383.09123870909747</c:v>
                </c:pt>
                <c:pt idx="55">
                  <c:v>402.13855049725038</c:v>
                </c:pt>
                <c:pt idx="56">
                  <c:v>421.16635148896103</c:v>
                </c:pt>
                <c:pt idx="57">
                  <c:v>440.17564672228156</c:v>
                </c:pt>
                <c:pt idx="58">
                  <c:v>459.16734739044205</c:v>
                </c:pt>
                <c:pt idx="59">
                  <c:v>478.14228320317648</c:v>
                </c:pt>
                <c:pt idx="60">
                  <c:v>390.09935870742038</c:v>
                </c:pt>
                <c:pt idx="61">
                  <c:v>407.56468328063971</c:v>
                </c:pt>
                <c:pt idx="62">
                  <c:v>425.01384318267543</c:v>
                </c:pt>
                <c:pt idx="63">
                  <c:v>442.44759519916101</c:v>
                </c:pt>
                <c:pt idx="64">
                  <c:v>459.86663163555028</c:v>
                </c:pt>
                <c:pt idx="65">
                  <c:v>477.27158809561774</c:v>
                </c:pt>
                <c:pt idx="66">
                  <c:v>494.6630500664387</c:v>
                </c:pt>
                <c:pt idx="67">
                  <c:v>512.0415585293307</c:v>
                </c:pt>
                <c:pt idx="68">
                  <c:v>441.46778086992703</c:v>
                </c:pt>
                <c:pt idx="69">
                  <c:v>458.2690027131211</c:v>
                </c:pt>
                <c:pt idx="70">
                  <c:v>475.05707529404276</c:v>
                </c:pt>
                <c:pt idx="71">
                  <c:v>491.83252850891512</c:v>
                </c:pt>
                <c:pt idx="72">
                  <c:v>508.59585317521925</c:v>
                </c:pt>
                <c:pt idx="73">
                  <c:v>525.34750513323877</c:v>
                </c:pt>
                <c:pt idx="74">
                  <c:v>542.08790879742162</c:v>
                </c:pt>
                <c:pt idx="75">
                  <c:v>558.81746024641291</c:v>
                </c:pt>
                <c:pt idx="76">
                  <c:v>490.29030699982809</c:v>
                </c:pt>
                <c:pt idx="77">
                  <c:v>506.61932966296064</c:v>
                </c:pt>
                <c:pt idx="78">
                  <c:v>522.93722899864156</c:v>
                </c:pt>
                <c:pt idx="79">
                  <c:v>539.24440080661702</c:v>
                </c:pt>
                <c:pt idx="80">
                  <c:v>555.5412150084918</c:v>
                </c:pt>
                <c:pt idx="81">
                  <c:v>571.82801806482451</c:v>
                </c:pt>
                <c:pt idx="82">
                  <c:v>588.10513510265343</c:v>
                </c:pt>
                <c:pt idx="83">
                  <c:v>604.37287179535883</c:v>
                </c:pt>
                <c:pt idx="84">
                  <c:v>620.63151602971266</c:v>
                </c:pt>
                <c:pt idx="85">
                  <c:v>539.85911119256559</c:v>
                </c:pt>
                <c:pt idx="86">
                  <c:v>555.21975930073961</c:v>
                </c:pt>
                <c:pt idx="87">
                  <c:v>570.57150759330023</c:v>
                </c:pt>
                <c:pt idx="88">
                  <c:v>585.91462913414216</c:v>
                </c:pt>
                <c:pt idx="89">
                  <c:v>601.24938152751224</c:v>
                </c:pt>
                <c:pt idx="90">
                  <c:v>616.57600817337755</c:v>
                </c:pt>
                <c:pt idx="91">
                  <c:v>631.89473939155096</c:v>
                </c:pt>
                <c:pt idx="92">
                  <c:v>647.20579343120642</c:v>
                </c:pt>
                <c:pt idx="93">
                  <c:v>662.50937737995594</c:v>
                </c:pt>
                <c:pt idx="94">
                  <c:v>595.65026224157589</c:v>
                </c:pt>
                <c:pt idx="95">
                  <c:v>611.24812567027868</c:v>
                </c:pt>
                <c:pt idx="96">
                  <c:v>626.83773333140982</c:v>
                </c:pt>
                <c:pt idx="97">
                  <c:v>642.41931934019124</c:v>
                </c:pt>
                <c:pt idx="98">
                  <c:v>657.99310553666612</c:v>
                </c:pt>
                <c:pt idx="99">
                  <c:v>673.55930241059457</c:v>
                </c:pt>
                <c:pt idx="100">
                  <c:v>689.11810993646657</c:v>
                </c:pt>
                <c:pt idx="101">
                  <c:v>704.66971832923628</c:v>
                </c:pt>
                <c:pt idx="102">
                  <c:v>720.21430872992494</c:v>
                </c:pt>
                <c:pt idx="103">
                  <c:v>735.75205382900367</c:v>
                </c:pt>
                <c:pt idx="104">
                  <c:v>642.67784187940526</c:v>
                </c:pt>
                <c:pt idx="105">
                  <c:v>657.38448118736176</c:v>
                </c:pt>
                <c:pt idx="106">
                  <c:v>672.08434579224229</c:v>
                </c:pt>
                <c:pt idx="107">
                  <c:v>686.77760465090432</c:v>
                </c:pt>
                <c:pt idx="108">
                  <c:v>701.46441890614199</c:v>
                </c:pt>
                <c:pt idx="109">
                  <c:v>716.14494240749389</c:v>
                </c:pt>
                <c:pt idx="110">
                  <c:v>730.81932218715508</c:v>
                </c:pt>
                <c:pt idx="111">
                  <c:v>745.4876988957102</c:v>
                </c:pt>
                <c:pt idx="112">
                  <c:v>760.1502072018144</c:v>
                </c:pt>
                <c:pt idx="113">
                  <c:v>774.8069761594611</c:v>
                </c:pt>
                <c:pt idx="114">
                  <c:v>704.37543183679179</c:v>
                </c:pt>
                <c:pt idx="115">
                  <c:v>720.19512476410262</c:v>
                </c:pt>
                <c:pt idx="116">
                  <c:v>736.00772777854354</c:v>
                </c:pt>
                <c:pt idx="117">
                  <c:v>751.8134145329683</c:v>
                </c:pt>
                <c:pt idx="118">
                  <c:v>767.61235078968241</c:v>
                </c:pt>
                <c:pt idx="119">
                  <c:v>783.40469493732496</c:v>
                </c:pt>
                <c:pt idx="120">
                  <c:v>799.19059846394669</c:v>
                </c:pt>
                <c:pt idx="121">
                  <c:v>814.97020639080131</c:v>
                </c:pt>
                <c:pt idx="122">
                  <c:v>830.74365767082998</c:v>
                </c:pt>
                <c:pt idx="123">
                  <c:v>846.51108555533528</c:v>
                </c:pt>
                <c:pt idx="124">
                  <c:v>862.27261793194759</c:v>
                </c:pt>
                <c:pt idx="125">
                  <c:v>878.02837763662217</c:v>
                </c:pt>
                <c:pt idx="126">
                  <c:v>762.32548796712342</c:v>
                </c:pt>
                <c:pt idx="127">
                  <c:v>777.38933134776346</c:v>
                </c:pt>
                <c:pt idx="128">
                  <c:v>792.44726461706762</c:v>
                </c:pt>
                <c:pt idx="129">
                  <c:v>807.49941580205314</c:v>
                </c:pt>
                <c:pt idx="130">
                  <c:v>822.54590777194346</c:v>
                </c:pt>
                <c:pt idx="131">
                  <c:v>837.58685853844145</c:v>
                </c:pt>
                <c:pt idx="132">
                  <c:v>852.62238153333374</c:v>
                </c:pt>
                <c:pt idx="133">
                  <c:v>867.6525858655159</c:v>
                </c:pt>
                <c:pt idx="134">
                  <c:v>882.67757655930188</c:v>
                </c:pt>
                <c:pt idx="135">
                  <c:v>897.69745477567892</c:v>
                </c:pt>
                <c:pt idx="136">
                  <c:v>912.71231801800513</c:v>
                </c:pt>
                <c:pt idx="137">
                  <c:v>927.72226032347942</c:v>
                </c:pt>
                <c:pt idx="138">
                  <c:v>803.07936932009841</c:v>
                </c:pt>
                <c:pt idx="139">
                  <c:v>817.62079956799516</c:v>
                </c:pt>
                <c:pt idx="140">
                  <c:v>832.15702000141926</c:v>
                </c:pt>
                <c:pt idx="141">
                  <c:v>846.68813436649782</c:v>
                </c:pt>
                <c:pt idx="142">
                  <c:v>861.21424256129728</c:v>
                </c:pt>
                <c:pt idx="143">
                  <c:v>875.73544084237972</c:v>
                </c:pt>
                <c:pt idx="144">
                  <c:v>890.25182201696396</c:v>
                </c:pt>
                <c:pt idx="145">
                  <c:v>904.76347562191461</c:v>
                </c:pt>
                <c:pt idx="146">
                  <c:v>919.27048809066093</c:v>
                </c:pt>
                <c:pt idx="147">
                  <c:v>933.77294290904638</c:v>
                </c:pt>
                <c:pt idx="148">
                  <c:v>948.27092076100234</c:v>
                </c:pt>
                <c:pt idx="149">
                  <c:v>962.7644996648595</c:v>
                </c:pt>
                <c:pt idx="150">
                  <c:v>633.57483923230006</c:v>
                </c:pt>
                <c:pt idx="151">
                  <c:v>631.06356045419932</c:v>
                </c:pt>
                <c:pt idx="152">
                  <c:v>628.55207495763523</c:v>
                </c:pt>
                <c:pt idx="153">
                  <c:v>626.0403817991064</c:v>
                </c:pt>
                <c:pt idx="154">
                  <c:v>433.13746462342851</c:v>
                </c:pt>
                <c:pt idx="155">
                  <c:v>431.79632479690844</c:v>
                </c:pt>
                <c:pt idx="156">
                  <c:v>430.45509546534709</c:v>
                </c:pt>
                <c:pt idx="157">
                  <c:v>429.11377630993087</c:v>
                </c:pt>
                <c:pt idx="158">
                  <c:v>302.54678082036321</c:v>
                </c:pt>
                <c:pt idx="159">
                  <c:v>301.29277353626486</c:v>
                </c:pt>
                <c:pt idx="160">
                  <c:v>300.03865000732878</c:v>
                </c:pt>
                <c:pt idx="161">
                  <c:v>298.78440967759246</c:v>
                </c:pt>
                <c:pt idx="162">
                  <c:v>44.126735043514621</c:v>
                </c:pt>
                <c:pt idx="163">
                  <c:v>44.126735043514621</c:v>
                </c:pt>
                <c:pt idx="164">
                  <c:v>44.126735043514621</c:v>
                </c:pt>
                <c:pt idx="165">
                  <c:v>44.126735043514621</c:v>
                </c:pt>
                <c:pt idx="166">
                  <c:v>44.126735043514621</c:v>
                </c:pt>
                <c:pt idx="167">
                  <c:v>44.126735043514621</c:v>
                </c:pt>
                <c:pt idx="168">
                  <c:v>44.126735043514621</c:v>
                </c:pt>
                <c:pt idx="169">
                  <c:v>44.126735043514621</c:v>
                </c:pt>
                <c:pt idx="170">
                  <c:v>44.126735043514621</c:v>
                </c:pt>
                <c:pt idx="171">
                  <c:v>44.126735043514621</c:v>
                </c:pt>
                <c:pt idx="172">
                  <c:v>44.126735043514621</c:v>
                </c:pt>
                <c:pt idx="173">
                  <c:v>44.126735043514621</c:v>
                </c:pt>
                <c:pt idx="174">
                  <c:v>44.126735043514621</c:v>
                </c:pt>
                <c:pt idx="175">
                  <c:v>44.126735043514621</c:v>
                </c:pt>
                <c:pt idx="176">
                  <c:v>44.126735043514621</c:v>
                </c:pt>
                <c:pt idx="177">
                  <c:v>44.126735043514621</c:v>
                </c:pt>
                <c:pt idx="178">
                  <c:v>44.126735043514621</c:v>
                </c:pt>
                <c:pt idx="179">
                  <c:v>44.126735043514621</c:v>
                </c:pt>
                <c:pt idx="180">
                  <c:v>44.126735043514621</c:v>
                </c:pt>
                <c:pt idx="181">
                  <c:v>44.126735043514621</c:v>
                </c:pt>
                <c:pt idx="182">
                  <c:v>44.126735043514621</c:v>
                </c:pt>
                <c:pt idx="183">
                  <c:v>44.126735043514621</c:v>
                </c:pt>
                <c:pt idx="184">
                  <c:v>44.126735043514621</c:v>
                </c:pt>
                <c:pt idx="185">
                  <c:v>44.126735043514621</c:v>
                </c:pt>
                <c:pt idx="186">
                  <c:v>44.126735043514621</c:v>
                </c:pt>
                <c:pt idx="187">
                  <c:v>44.126735043514621</c:v>
                </c:pt>
                <c:pt idx="188">
                  <c:v>44.126735043514621</c:v>
                </c:pt>
                <c:pt idx="189">
                  <c:v>44.126735043514621</c:v>
                </c:pt>
                <c:pt idx="190">
                  <c:v>44.126735043514621</c:v>
                </c:pt>
                <c:pt idx="191">
                  <c:v>44.126735043514621</c:v>
                </c:pt>
                <c:pt idx="192">
                  <c:v>44.126735043514621</c:v>
                </c:pt>
                <c:pt idx="193">
                  <c:v>44.126735043514621</c:v>
                </c:pt>
                <c:pt idx="194">
                  <c:v>44.126735043514621</c:v>
                </c:pt>
                <c:pt idx="195">
                  <c:v>44.126735043514621</c:v>
                </c:pt>
                <c:pt idx="196">
                  <c:v>44.126735043514621</c:v>
                </c:pt>
                <c:pt idx="197">
                  <c:v>44.126735043514621</c:v>
                </c:pt>
                <c:pt idx="198">
                  <c:v>44.126735043514621</c:v>
                </c:pt>
                <c:pt idx="199">
                  <c:v>44.126735043514621</c:v>
                </c:pt>
                <c:pt idx="200">
                  <c:v>44.126735043514621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2.6675160418488701</c:v>
                </c:pt>
                <c:pt idx="2">
                  <c:v>3.0797796475340888</c:v>
                </c:pt>
                <c:pt idx="3">
                  <c:v>3.5559878385050854</c:v>
                </c:pt>
                <c:pt idx="4">
                  <c:v>4.1060924309989639</c:v>
                </c:pt>
                <c:pt idx="5">
                  <c:v>4.7415989716746161</c:v>
                </c:pt>
                <c:pt idx="6">
                  <c:v>5.4758100289950429</c:v>
                </c:pt>
                <c:pt idx="7">
                  <c:v>6.3241066841717739</c:v>
                </c:pt>
                <c:pt idx="8">
                  <c:v>7.3042742344467291</c:v>
                </c:pt>
                <c:pt idx="9">
                  <c:v>8.4368790700879845</c:v>
                </c:pt>
                <c:pt idx="10">
                  <c:v>9.7457047850437757</c:v>
                </c:pt>
                <c:pt idx="11">
                  <c:v>11.258256853487337</c:v>
                </c:pt>
                <c:pt idx="12">
                  <c:v>13.006346678015461</c:v>
                </c:pt>
                <c:pt idx="13">
                  <c:v>15.026767521926386</c:v>
                </c:pt>
                <c:pt idx="14">
                  <c:v>17.362076814748239</c:v>
                </c:pt>
                <c:pt idx="15">
                  <c:v>20.06150160983681</c:v>
                </c:pt>
                <c:pt idx="16">
                  <c:v>23.181986625026479</c:v>
                </c:pt>
                <c:pt idx="17">
                  <c:v>26.789407369499227</c:v>
                </c:pt>
                <c:pt idx="18">
                  <c:v>30.959974418863357</c:v>
                </c:pt>
                <c:pt idx="19">
                  <c:v>35.781859023124703</c:v>
                </c:pt>
                <c:pt idx="20">
                  <c:v>41.357075008275459</c:v>
                </c:pt>
                <c:pt idx="21">
                  <c:v>47.803657465333458</c:v>
                </c:pt>
                <c:pt idx="22">
                  <c:v>55.258185131035383</c:v>
                </c:pt>
                <c:pt idx="23">
                  <c:v>63.878700791334211</c:v>
                </c:pt>
                <c:pt idx="24">
                  <c:v>73.848092643840616</c:v>
                </c:pt>
                <c:pt idx="25">
                  <c:v>85.37800952552827</c:v>
                </c:pt>
                <c:pt idx="26">
                  <c:v>98.71339446431891</c:v>
                </c:pt>
                <c:pt idx="27">
                  <c:v>114.13773439901051</c:v>
                </c:pt>
                <c:pt idx="28">
                  <c:v>131.9791394228651</c:v>
                </c:pt>
                <c:pt idx="29">
                  <c:v>152.61738287987308</c:v>
                </c:pt>
                <c:pt idx="30">
                  <c:v>176.49205447088363</c:v>
                </c:pt>
                <c:pt idx="31">
                  <c:v>192.45716418747534</c:v>
                </c:pt>
                <c:pt idx="32">
                  <c:v>208.39146047512614</c:v>
                </c:pt>
                <c:pt idx="33">
                  <c:v>224.29763174767254</c:v>
                </c:pt>
                <c:pt idx="34">
                  <c:v>240.1779536483925</c:v>
                </c:pt>
                <c:pt idx="35">
                  <c:v>256.03437612074089</c:v>
                </c:pt>
                <c:pt idx="36">
                  <c:v>271.86858774230649</c:v>
                </c:pt>
                <c:pt idx="37">
                  <c:v>287.68206426523193</c:v>
                </c:pt>
                <c:pt idx="38">
                  <c:v>303.47610591321904</c:v>
                </c:pt>
                <c:pt idx="39">
                  <c:v>319.25186650101574</c:v>
                </c:pt>
                <c:pt idx="40">
                  <c:v>335.01037649305175</c:v>
                </c:pt>
                <c:pt idx="41">
                  <c:v>350.75256149424541</c:v>
                </c:pt>
                <c:pt idx="42">
                  <c:v>366.47925724638475</c:v>
                </c:pt>
                <c:pt idx="43">
                  <c:v>382.19122191510195</c:v>
                </c:pt>
                <c:pt idx="44">
                  <c:v>397.88914625044964</c:v>
                </c:pt>
                <c:pt idx="45">
                  <c:v>272.77844520578668</c:v>
                </c:pt>
                <c:pt idx="46">
                  <c:v>290.82315267599387</c:v>
                </c:pt>
                <c:pt idx="47">
                  <c:v>308.84285406450175</c:v>
                </c:pt>
                <c:pt idx="48">
                  <c:v>326.83921331895732</c:v>
                </c:pt>
                <c:pt idx="49">
                  <c:v>344.81369619605789</c:v>
                </c:pt>
                <c:pt idx="50">
                  <c:v>362.76760318445622</c:v>
                </c:pt>
                <c:pt idx="51">
                  <c:v>380.70209556651065</c:v>
                </c:pt>
                <c:pt idx="52">
                  <c:v>308.62359963400883</c:v>
                </c:pt>
                <c:pt idx="53">
                  <c:v>325.69937960503347</c:v>
                </c:pt>
                <c:pt idx="54">
                  <c:v>342.75538823865321</c:v>
                </c:pt>
                <c:pt idx="55">
                  <c:v>359.79274762854806</c:v>
                </c:pt>
                <c:pt idx="56">
                  <c:v>376.81246494071826</c:v>
                </c:pt>
                <c:pt idx="57">
                  <c:v>393.81544895197766</c:v>
                </c:pt>
                <c:pt idx="58">
                  <c:v>410.80252358265346</c:v>
                </c:pt>
                <c:pt idx="59">
                  <c:v>427.77443907395991</c:v>
                </c:pt>
                <c:pt idx="60">
                  <c:v>349.02400472703471</c:v>
                </c:pt>
                <c:pt idx="61">
                  <c:v>364.64625680044315</c:v>
                </c:pt>
                <c:pt idx="62">
                  <c:v>380.25389243385854</c:v>
                </c:pt>
                <c:pt idx="63">
                  <c:v>395.84759592897012</c:v>
                </c:pt>
                <c:pt idx="64">
                  <c:v>411.42799328311526</c:v>
                </c:pt>
                <c:pt idx="65">
                  <c:v>426.99565922276543</c:v>
                </c:pt>
                <c:pt idx="66">
                  <c:v>442.55112315780502</c:v>
                </c:pt>
                <c:pt idx="67">
                  <c:v>458.09487425506433</c:v>
                </c:pt>
                <c:pt idx="68">
                  <c:v>394.97120015463861</c:v>
                </c:pt>
                <c:pt idx="69">
                  <c:v>409.99900540187923</c:v>
                </c:pt>
                <c:pt idx="70">
                  <c:v>425.01492080609273</c:v>
                </c:pt>
                <c:pt idx="71">
                  <c:v>440.0194255107308</c:v>
                </c:pt>
                <c:pt idx="72">
                  <c:v>455.01296332341434</c:v>
                </c:pt>
                <c:pt idx="73">
                  <c:v>469.995946424637</c:v>
                </c:pt>
                <c:pt idx="74">
                  <c:v>484.96875857898294</c:v>
                </c:pt>
                <c:pt idx="75">
                  <c:v>499.93175792919948</c:v>
                </c:pt>
                <c:pt idx="76">
                  <c:v>438.64001803659812</c:v>
                </c:pt>
                <c:pt idx="77">
                  <c:v>453.24511717726608</c:v>
                </c:pt>
                <c:pt idx="78">
                  <c:v>467.84015836832441</c:v>
                </c:pt>
                <c:pt idx="79">
                  <c:v>482.42549950033413</c:v>
                </c:pt>
                <c:pt idx="80">
                  <c:v>497.00147506428971</c:v>
                </c:pt>
                <c:pt idx="81">
                  <c:v>511.56839833720784</c:v>
                </c:pt>
                <c:pt idx="82">
                  <c:v>526.12656330588163</c:v>
                </c:pt>
                <c:pt idx="83">
                  <c:v>540.67624636669234</c:v>
                </c:pt>
                <c:pt idx="84">
                  <c:v>555.21770783299155</c:v>
                </c:pt>
                <c:pt idx="85">
                  <c:v>482.97530225028208</c:v>
                </c:pt>
                <c:pt idx="86">
                  <c:v>496.71396397035818</c:v>
                </c:pt>
                <c:pt idx="87">
                  <c:v>510.44457828758931</c:v>
                </c:pt>
                <c:pt idx="88">
                  <c:v>524.16739211216611</c:v>
                </c:pt>
                <c:pt idx="89">
                  <c:v>537.88263837533498</c:v>
                </c:pt>
                <c:pt idx="90">
                  <c:v>551.59053716453093</c:v>
                </c:pt>
                <c:pt idx="91">
                  <c:v>565.29129673983459</c:v>
                </c:pt>
                <c:pt idx="92">
                  <c:v>578.98511444679775</c:v>
                </c:pt>
                <c:pt idx="93">
                  <c:v>592.67217753844977</c:v>
                </c:pt>
                <c:pt idx="94">
                  <c:v>532.8748525304037</c:v>
                </c:pt>
                <c:pt idx="95">
                  <c:v>546.82537004150845</c:v>
                </c:pt>
                <c:pt idx="96">
                  <c:v>560.76842251172604</c:v>
                </c:pt>
                <c:pt idx="97">
                  <c:v>574.70422163302715</c:v>
                </c:pt>
                <c:pt idx="98">
                  <c:v>588.63296799790385</c:v>
                </c:pt>
                <c:pt idx="99">
                  <c:v>602.55485193568109</c:v>
                </c:pt>
                <c:pt idx="100">
                  <c:v>616.47005426755175</c:v>
                </c:pt>
                <c:pt idx="101">
                  <c:v>630.37874698992903</c:v>
                </c:pt>
                <c:pt idx="102">
                  <c:v>644.28109389438271</c:v>
                </c:pt>
                <c:pt idx="103">
                  <c:v>658.17725113131507</c:v>
                </c:pt>
                <c:pt idx="104">
                  <c:v>574.93543737626794</c:v>
                </c:pt>
                <c:pt idx="105">
                  <c:v>588.08863330521103</c:v>
                </c:pt>
                <c:pt idx="106">
                  <c:v>601.23570340333106</c:v>
                </c:pt>
                <c:pt idx="107">
                  <c:v>614.37680044501712</c:v>
                </c:pt>
                <c:pt idx="108">
                  <c:v>627.51207013901626</c:v>
                </c:pt>
                <c:pt idx="109">
                  <c:v>640.64165159935794</c:v>
                </c:pt>
                <c:pt idx="110">
                  <c:v>653.76567777568562</c:v>
                </c:pt>
                <c:pt idx="111">
                  <c:v>666.88427584725275</c:v>
                </c:pt>
                <c:pt idx="112">
                  <c:v>679.99756758432659</c:v>
                </c:pt>
                <c:pt idx="113">
                  <c:v>693.10566968027661</c:v>
                </c:pt>
                <c:pt idx="114">
                  <c:v>630.11555039886105</c:v>
                </c:pt>
                <c:pt idx="115">
                  <c:v>644.26393670410914</c:v>
                </c:pt>
                <c:pt idx="116">
                  <c:v>658.40591215912434</c:v>
                </c:pt>
                <c:pt idx="117">
                  <c:v>672.54163378451631</c:v>
                </c:pt>
                <c:pt idx="118">
                  <c:v>686.6712514660918</c:v>
                </c:pt>
                <c:pt idx="119">
                  <c:v>700.79490842223231</c:v>
                </c:pt>
                <c:pt idx="120">
                  <c:v>714.91274163165997</c:v>
                </c:pt>
                <c:pt idx="121">
                  <c:v>729.02488222568138</c:v>
                </c:pt>
                <c:pt idx="122">
                  <c:v>743.13145584850554</c:v>
                </c:pt>
                <c:pt idx="123">
                  <c:v>757.23258298879853</c:v>
                </c:pt>
                <c:pt idx="124">
                  <c:v>771.32837928528022</c:v>
                </c:pt>
                <c:pt idx="125">
                  <c:v>785.41895580883693</c:v>
                </c:pt>
                <c:pt idx="126">
                  <c:v>681.94300689171985</c:v>
                </c:pt>
                <c:pt idx="127">
                  <c:v>695.41516167981626</c:v>
                </c:pt>
                <c:pt idx="128">
                  <c:v>708.88197241935666</c:v>
                </c:pt>
                <c:pt idx="129">
                  <c:v>722.34355487509686</c:v>
                </c:pt>
                <c:pt idx="130">
                  <c:v>735.80002014800664</c:v>
                </c:pt>
                <c:pt idx="131">
                  <c:v>749.2514749467806</c:v>
                </c:pt>
                <c:pt idx="132">
                  <c:v>762.69802183885679</c:v>
                </c:pt>
                <c:pt idx="133">
                  <c:v>776.13975948282268</c:v>
                </c:pt>
                <c:pt idx="134">
                  <c:v>789.57678284389931</c:v>
                </c:pt>
                <c:pt idx="135">
                  <c:v>803.00918339400687</c:v>
                </c:pt>
                <c:pt idx="136">
                  <c:v>816.43704929775822</c:v>
                </c:pt>
                <c:pt idx="137">
                  <c:v>829.86046558559156</c:v>
                </c:pt>
                <c:pt idx="138">
                  <c:v>718.3905828882215</c:v>
                </c:pt>
                <c:pt idx="139">
                  <c:v>731.3953751340182</c:v>
                </c:pt>
                <c:pt idx="140">
                  <c:v>744.39545655459904</c:v>
                </c:pt>
                <c:pt idx="141">
                  <c:v>757.39092095942215</c:v>
                </c:pt>
                <c:pt idx="142">
                  <c:v>770.3818586784472</c:v>
                </c:pt>
                <c:pt idx="143">
                  <c:v>783.36835674890744</c:v>
                </c:pt>
                <c:pt idx="144">
                  <c:v>796.35049908906751</c:v>
                </c:pt>
                <c:pt idx="145">
                  <c:v>809.32836666006699</c:v>
                </c:pt>
                <c:pt idx="146">
                  <c:v>822.3020376168538</c:v>
                </c:pt>
                <c:pt idx="147">
                  <c:v>835.27158744910605</c:v>
                </c:pt>
                <c:pt idx="148">
                  <c:v>848.23708911295273</c:v>
                </c:pt>
                <c:pt idx="149">
                  <c:v>861.19861315423111</c:v>
                </c:pt>
                <c:pt idx="150">
                  <c:v>566.79393900309731</c:v>
                </c:pt>
                <c:pt idx="151">
                  <c:v>564.54790927322631</c:v>
                </c:pt>
                <c:pt idx="152">
                  <c:v>562.30169262411789</c:v>
                </c:pt>
                <c:pt idx="153">
                  <c:v>560.05528820263726</c:v>
                </c:pt>
                <c:pt idx="154">
                  <c:v>387.52012307257951</c:v>
                </c:pt>
                <c:pt idx="155">
                  <c:v>386.32053329186266</c:v>
                </c:pt>
                <c:pt idx="156">
                  <c:v>385.12086257878104</c:v>
                </c:pt>
                <c:pt idx="157">
                  <c:v>383.92111064505661</c:v>
                </c:pt>
                <c:pt idx="158">
                  <c:v>270.70795761656831</c:v>
                </c:pt>
                <c:pt idx="159">
                  <c:v>269.5862081354241</c:v>
                </c:pt>
                <c:pt idx="160">
                  <c:v>268.46435354322176</c:v>
                </c:pt>
                <c:pt idx="161">
                  <c:v>267.34239333724776</c:v>
                </c:pt>
                <c:pt idx="162">
                  <c:v>39.504150020945822</c:v>
                </c:pt>
                <c:pt idx="163">
                  <c:v>39.504150020945822</c:v>
                </c:pt>
                <c:pt idx="164">
                  <c:v>39.504150020945822</c:v>
                </c:pt>
                <c:pt idx="165">
                  <c:v>39.504150020945822</c:v>
                </c:pt>
                <c:pt idx="166">
                  <c:v>39.504150020945822</c:v>
                </c:pt>
                <c:pt idx="167">
                  <c:v>39.504150020945822</c:v>
                </c:pt>
                <c:pt idx="168">
                  <c:v>39.504150020945822</c:v>
                </c:pt>
                <c:pt idx="169">
                  <c:v>39.504150020945822</c:v>
                </c:pt>
                <c:pt idx="170">
                  <c:v>39.504150020945822</c:v>
                </c:pt>
                <c:pt idx="171">
                  <c:v>39.504150020945822</c:v>
                </c:pt>
                <c:pt idx="172">
                  <c:v>39.504150020945822</c:v>
                </c:pt>
                <c:pt idx="173">
                  <c:v>39.504150020945822</c:v>
                </c:pt>
                <c:pt idx="174">
                  <c:v>39.504150020945822</c:v>
                </c:pt>
                <c:pt idx="175">
                  <c:v>39.504150020945822</c:v>
                </c:pt>
                <c:pt idx="176">
                  <c:v>39.504150020945822</c:v>
                </c:pt>
                <c:pt idx="177">
                  <c:v>39.504150020945822</c:v>
                </c:pt>
                <c:pt idx="178">
                  <c:v>39.504150020945822</c:v>
                </c:pt>
                <c:pt idx="179">
                  <c:v>39.504150020945822</c:v>
                </c:pt>
                <c:pt idx="180">
                  <c:v>39.504150020945822</c:v>
                </c:pt>
                <c:pt idx="181">
                  <c:v>39.504150020945822</c:v>
                </c:pt>
                <c:pt idx="182">
                  <c:v>39.504150020945822</c:v>
                </c:pt>
                <c:pt idx="183">
                  <c:v>39.504150020945822</c:v>
                </c:pt>
                <c:pt idx="184">
                  <c:v>39.504150020945822</c:v>
                </c:pt>
                <c:pt idx="185">
                  <c:v>39.504150020945822</c:v>
                </c:pt>
                <c:pt idx="186">
                  <c:v>39.504150020945822</c:v>
                </c:pt>
                <c:pt idx="187">
                  <c:v>39.504150020945822</c:v>
                </c:pt>
                <c:pt idx="188">
                  <c:v>39.504150020945822</c:v>
                </c:pt>
                <c:pt idx="189">
                  <c:v>39.504150020945822</c:v>
                </c:pt>
                <c:pt idx="190">
                  <c:v>39.504150020945822</c:v>
                </c:pt>
                <c:pt idx="191">
                  <c:v>39.504150020945822</c:v>
                </c:pt>
                <c:pt idx="192">
                  <c:v>39.504150020945822</c:v>
                </c:pt>
                <c:pt idx="193">
                  <c:v>39.504150020945822</c:v>
                </c:pt>
                <c:pt idx="194">
                  <c:v>39.504150020945822</c:v>
                </c:pt>
                <c:pt idx="195">
                  <c:v>39.504150020945822</c:v>
                </c:pt>
                <c:pt idx="196">
                  <c:v>39.504150020945822</c:v>
                </c:pt>
                <c:pt idx="197">
                  <c:v>39.504150020945822</c:v>
                </c:pt>
                <c:pt idx="198">
                  <c:v>39.504150020945822</c:v>
                </c:pt>
                <c:pt idx="199">
                  <c:v>39.504150020945822</c:v>
                </c:pt>
                <c:pt idx="200">
                  <c:v>39.504150020945822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2.6226570787660513</c:v>
                </c:pt>
                <c:pt idx="2">
                  <c:v>3.3074676524347191</c:v>
                </c:pt>
                <c:pt idx="3">
                  <c:v>4.1717902478374764</c:v>
                </c:pt>
                <c:pt idx="4">
                  <c:v>5.2628537100246024</c:v>
                </c:pt>
                <c:pt idx="5">
                  <c:v>6.6403550855833053</c:v>
                </c:pt>
                <c:pt idx="6">
                  <c:v>8.3797615911680001</c:v>
                </c:pt>
                <c:pt idx="7">
                  <c:v>10.576489592474234</c:v>
                </c:pt>
                <c:pt idx="8">
                  <c:v>13.351194149895173</c:v>
                </c:pt>
                <c:pt idx="9">
                  <c:v>16.856465036001829</c:v>
                </c:pt>
                <c:pt idx="10">
                  <c:v>21.285304159707806</c:v>
                </c:pt>
                <c:pt idx="11">
                  <c:v>26.881859514119139</c:v>
                </c:pt>
                <c:pt idx="12">
                  <c:v>33.955017772055356</c:v>
                </c:pt>
                <c:pt idx="13">
                  <c:v>42.895618681292397</c:v>
                </c:pt>
                <c:pt idx="14">
                  <c:v>54.198258590746377</c:v>
                </c:pt>
                <c:pt idx="15">
                  <c:v>68.488909353343658</c:v>
                </c:pt>
                <c:pt idx="16">
                  <c:v>62.361466590328156</c:v>
                </c:pt>
                <c:pt idx="17">
                  <c:v>83.211344052224646</c:v>
                </c:pt>
                <c:pt idx="18">
                  <c:v>103.92838758980967</c:v>
                </c:pt>
                <c:pt idx="19">
                  <c:v>124.54300535423552</c:v>
                </c:pt>
                <c:pt idx="20">
                  <c:v>145.07460486529598</c:v>
                </c:pt>
                <c:pt idx="21">
                  <c:v>117.79987679600281</c:v>
                </c:pt>
                <c:pt idx="22">
                  <c:v>140.12550916282296</c:v>
                </c:pt>
                <c:pt idx="23">
                  <c:v>162.36560837552486</c:v>
                </c:pt>
                <c:pt idx="24">
                  <c:v>184.5335587844996</c:v>
                </c:pt>
                <c:pt idx="25">
                  <c:v>206.63925413557965</c:v>
                </c:pt>
                <c:pt idx="26">
                  <c:v>178.2065931117728</c:v>
                </c:pt>
                <c:pt idx="27">
                  <c:v>198.92636489646625</c:v>
                </c:pt>
                <c:pt idx="28">
                  <c:v>219.5960728520653</c:v>
                </c:pt>
                <c:pt idx="29">
                  <c:v>240.22109256685007</c:v>
                </c:pt>
                <c:pt idx="30">
                  <c:v>260.80580020638388</c:v>
                </c:pt>
                <c:pt idx="31">
                  <c:v>230.78777111964931</c:v>
                </c:pt>
                <c:pt idx="32">
                  <c:v>249.64598194061804</c:v>
                </c:pt>
                <c:pt idx="33">
                  <c:v>268.47188986404808</c:v>
                </c:pt>
                <c:pt idx="34">
                  <c:v>287.26807832489447</c:v>
                </c:pt>
                <c:pt idx="35">
                  <c:v>306.03676500452588</c:v>
                </c:pt>
                <c:pt idx="36">
                  <c:v>274.04412300873832</c:v>
                </c:pt>
                <c:pt idx="37">
                  <c:v>290.74577498968887</c:v>
                </c:pt>
                <c:pt idx="38">
                  <c:v>307.42599859997205</c:v>
                </c:pt>
                <c:pt idx="39">
                  <c:v>324.0861199880448</c:v>
                </c:pt>
                <c:pt idx="40">
                  <c:v>340.72731782352463</c:v>
                </c:pt>
                <c:pt idx="41">
                  <c:v>306.38408652237484</c:v>
                </c:pt>
                <c:pt idx="42">
                  <c:v>320.6168590632679</c:v>
                </c:pt>
                <c:pt idx="43">
                  <c:v>334.83565591359422</c:v>
                </c:pt>
                <c:pt idx="44">
                  <c:v>349.04115416302778</c:v>
                </c:pt>
                <c:pt idx="45">
                  <c:v>363.23397128485459</c:v>
                </c:pt>
                <c:pt idx="46">
                  <c:v>337.6084846109411</c:v>
                </c:pt>
                <c:pt idx="47">
                  <c:v>350.08007582809643</c:v>
                </c:pt>
                <c:pt idx="48">
                  <c:v>362.54192422951866</c:v>
                </c:pt>
                <c:pt idx="49">
                  <c:v>374.99441195677679</c:v>
                </c:pt>
                <c:pt idx="50">
                  <c:v>387.43789369626387</c:v>
                </c:pt>
                <c:pt idx="51">
                  <c:v>368.42340983207049</c:v>
                </c:pt>
                <c:pt idx="52">
                  <c:v>378.79752673207048</c:v>
                </c:pt>
                <c:pt idx="53">
                  <c:v>389.16546165993583</c:v>
                </c:pt>
                <c:pt idx="54">
                  <c:v>399.52740258860331</c:v>
                </c:pt>
                <c:pt idx="55">
                  <c:v>409.88352694182026</c:v>
                </c:pt>
                <c:pt idx="56">
                  <c:v>396.41943892845512</c:v>
                </c:pt>
                <c:pt idx="57">
                  <c:v>405.39657623414723</c:v>
                </c:pt>
                <c:pt idx="58">
                  <c:v>414.36941703418364</c:v>
                </c:pt>
                <c:pt idx="59">
                  <c:v>423.33806752801564</c:v>
                </c:pt>
                <c:pt idx="60">
                  <c:v>432.30262904622094</c:v>
                </c:pt>
                <c:pt idx="61">
                  <c:v>419.19920449941787</c:v>
                </c:pt>
                <c:pt idx="62">
                  <c:v>426.78645432329751</c:v>
                </c:pt>
                <c:pt idx="63">
                  <c:v>434.37080363760282</c:v>
                </c:pt>
                <c:pt idx="64">
                  <c:v>441.95231025909084</c:v>
                </c:pt>
                <c:pt idx="65">
                  <c:v>449.53102985794345</c:v>
                </c:pt>
                <c:pt idx="66">
                  <c:v>437.12804107015171</c:v>
                </c:pt>
                <c:pt idx="67">
                  <c:v>443.67498930140238</c:v>
                </c:pt>
                <c:pt idx="68">
                  <c:v>450.21986803667011</c:v>
                </c:pt>
                <c:pt idx="69">
                  <c:v>456.7627116241062</c:v>
                </c:pt>
                <c:pt idx="70">
                  <c:v>463.30355334692064</c:v>
                </c:pt>
                <c:pt idx="71">
                  <c:v>451.94186491705608</c:v>
                </c:pt>
                <c:pt idx="72">
                  <c:v>457.79560835488581</c:v>
                </c:pt>
                <c:pt idx="73">
                  <c:v>463.64775333711032</c:v>
                </c:pt>
                <c:pt idx="74">
                  <c:v>469.49832289995226</c:v>
                </c:pt>
                <c:pt idx="75">
                  <c:v>475.34733945827821</c:v>
                </c:pt>
                <c:pt idx="76">
                  <c:v>464.68032061955677</c:v>
                </c:pt>
                <c:pt idx="77">
                  <c:v>469.49832289995226</c:v>
                </c:pt>
                <c:pt idx="78">
                  <c:v>474.31527194246542</c:v>
                </c:pt>
                <c:pt idx="79">
                  <c:v>479.13117996114801</c:v>
                </c:pt>
                <c:pt idx="80">
                  <c:v>483.94605890429216</c:v>
                </c:pt>
                <c:pt idx="81">
                  <c:v>470.18652267359886</c:v>
                </c:pt>
                <c:pt idx="82">
                  <c:v>470.18652267359886</c:v>
                </c:pt>
                <c:pt idx="83">
                  <c:v>470.18652267359886</c:v>
                </c:pt>
                <c:pt idx="84">
                  <c:v>470.18652267359886</c:v>
                </c:pt>
                <c:pt idx="85">
                  <c:v>470.18652267359886</c:v>
                </c:pt>
                <c:pt idx="86">
                  <c:v>470.18652267359886</c:v>
                </c:pt>
                <c:pt idx="87">
                  <c:v>470.18652267359886</c:v>
                </c:pt>
                <c:pt idx="88">
                  <c:v>470.18652267359886</c:v>
                </c:pt>
                <c:pt idx="89">
                  <c:v>470.18652267359886</c:v>
                </c:pt>
                <c:pt idx="90">
                  <c:v>470.18652267359886</c:v>
                </c:pt>
                <c:pt idx="91">
                  <c:v>470.18652267359886</c:v>
                </c:pt>
                <c:pt idx="92">
                  <c:v>470.18652267359886</c:v>
                </c:pt>
                <c:pt idx="93">
                  <c:v>470.18652267359886</c:v>
                </c:pt>
                <c:pt idx="94">
                  <c:v>470.18652267359886</c:v>
                </c:pt>
                <c:pt idx="95">
                  <c:v>470.18652267359886</c:v>
                </c:pt>
                <c:pt idx="96">
                  <c:v>470.18652267359886</c:v>
                </c:pt>
                <c:pt idx="97">
                  <c:v>470.18652267359886</c:v>
                </c:pt>
                <c:pt idx="98">
                  <c:v>470.18652267359886</c:v>
                </c:pt>
                <c:pt idx="99">
                  <c:v>470.18652267359886</c:v>
                </c:pt>
                <c:pt idx="100">
                  <c:v>470.18652267359886</c:v>
                </c:pt>
                <c:pt idx="101">
                  <c:v>470.18652267359886</c:v>
                </c:pt>
                <c:pt idx="102">
                  <c:v>470.18652267359886</c:v>
                </c:pt>
                <c:pt idx="103">
                  <c:v>470.18652267359886</c:v>
                </c:pt>
                <c:pt idx="104">
                  <c:v>470.18652267359886</c:v>
                </c:pt>
                <c:pt idx="105">
                  <c:v>470.18652267359886</c:v>
                </c:pt>
                <c:pt idx="106">
                  <c:v>470.18652267359886</c:v>
                </c:pt>
                <c:pt idx="107">
                  <c:v>470.18652267359886</c:v>
                </c:pt>
                <c:pt idx="108">
                  <c:v>470.18652267359886</c:v>
                </c:pt>
                <c:pt idx="109">
                  <c:v>470.18652267359886</c:v>
                </c:pt>
                <c:pt idx="110">
                  <c:v>470.18652267359886</c:v>
                </c:pt>
                <c:pt idx="111">
                  <c:v>470.18652267359886</c:v>
                </c:pt>
                <c:pt idx="112">
                  <c:v>470.18652267359886</c:v>
                </c:pt>
                <c:pt idx="113">
                  <c:v>470.18652267359886</c:v>
                </c:pt>
                <c:pt idx="114">
                  <c:v>470.18652267359886</c:v>
                </c:pt>
                <c:pt idx="115">
                  <c:v>470.18652267359886</c:v>
                </c:pt>
                <c:pt idx="116">
                  <c:v>470.18652267359886</c:v>
                </c:pt>
                <c:pt idx="117">
                  <c:v>470.18652267359886</c:v>
                </c:pt>
                <c:pt idx="118">
                  <c:v>470.18652267359886</c:v>
                </c:pt>
                <c:pt idx="119">
                  <c:v>470.18652267359886</c:v>
                </c:pt>
                <c:pt idx="120">
                  <c:v>470.18652267359886</c:v>
                </c:pt>
                <c:pt idx="121">
                  <c:v>470.18652267359886</c:v>
                </c:pt>
                <c:pt idx="122">
                  <c:v>470.18652267359886</c:v>
                </c:pt>
                <c:pt idx="123">
                  <c:v>470.18652267359886</c:v>
                </c:pt>
                <c:pt idx="124">
                  <c:v>470.18652267359886</c:v>
                </c:pt>
                <c:pt idx="125">
                  <c:v>470.18652267359886</c:v>
                </c:pt>
                <c:pt idx="126">
                  <c:v>470.18652267359886</c:v>
                </c:pt>
                <c:pt idx="127">
                  <c:v>470.18652267359886</c:v>
                </c:pt>
                <c:pt idx="128">
                  <c:v>470.18652267359886</c:v>
                </c:pt>
                <c:pt idx="129">
                  <c:v>470.18652267359886</c:v>
                </c:pt>
                <c:pt idx="130">
                  <c:v>470.18652267359886</c:v>
                </c:pt>
                <c:pt idx="131">
                  <c:v>470.18652267359886</c:v>
                </c:pt>
                <c:pt idx="132">
                  <c:v>470.18652267359886</c:v>
                </c:pt>
                <c:pt idx="133">
                  <c:v>470.18652267359886</c:v>
                </c:pt>
                <c:pt idx="134">
                  <c:v>470.18652267359886</c:v>
                </c:pt>
                <c:pt idx="135">
                  <c:v>470.18652267359886</c:v>
                </c:pt>
                <c:pt idx="136">
                  <c:v>470.18652267359886</c:v>
                </c:pt>
                <c:pt idx="137">
                  <c:v>470.18652267359886</c:v>
                </c:pt>
                <c:pt idx="138">
                  <c:v>470.18652267359886</c:v>
                </c:pt>
                <c:pt idx="139">
                  <c:v>470.18652267359886</c:v>
                </c:pt>
                <c:pt idx="140">
                  <c:v>470.18652267359886</c:v>
                </c:pt>
                <c:pt idx="141">
                  <c:v>470.18652267359886</c:v>
                </c:pt>
                <c:pt idx="142">
                  <c:v>470.18652267359886</c:v>
                </c:pt>
                <c:pt idx="143">
                  <c:v>470.18652267359886</c:v>
                </c:pt>
                <c:pt idx="144">
                  <c:v>470.18652267359886</c:v>
                </c:pt>
                <c:pt idx="145">
                  <c:v>470.18652267359886</c:v>
                </c:pt>
                <c:pt idx="146">
                  <c:v>470.18652267359886</c:v>
                </c:pt>
                <c:pt idx="147">
                  <c:v>470.18652267359886</c:v>
                </c:pt>
                <c:pt idx="148">
                  <c:v>470.18652267359886</c:v>
                </c:pt>
                <c:pt idx="149">
                  <c:v>470.18652267359886</c:v>
                </c:pt>
                <c:pt idx="150">
                  <c:v>470.18652267359886</c:v>
                </c:pt>
                <c:pt idx="151">
                  <c:v>470.18652267359886</c:v>
                </c:pt>
                <c:pt idx="152">
                  <c:v>470.18652267359886</c:v>
                </c:pt>
                <c:pt idx="153">
                  <c:v>470.18652267359886</c:v>
                </c:pt>
                <c:pt idx="154">
                  <c:v>470.18652267359886</c:v>
                </c:pt>
                <c:pt idx="155">
                  <c:v>470.18652267359886</c:v>
                </c:pt>
                <c:pt idx="156">
                  <c:v>470.18652267359886</c:v>
                </c:pt>
                <c:pt idx="157">
                  <c:v>470.18652267359886</c:v>
                </c:pt>
                <c:pt idx="158">
                  <c:v>470.18652267359886</c:v>
                </c:pt>
                <c:pt idx="159">
                  <c:v>470.18652267359886</c:v>
                </c:pt>
                <c:pt idx="160">
                  <c:v>470.18652267359886</c:v>
                </c:pt>
                <c:pt idx="161">
                  <c:v>470.18652267359886</c:v>
                </c:pt>
                <c:pt idx="162">
                  <c:v>470.18652267359886</c:v>
                </c:pt>
                <c:pt idx="163">
                  <c:v>470.18652267359886</c:v>
                </c:pt>
                <c:pt idx="164">
                  <c:v>470.18652267359886</c:v>
                </c:pt>
                <c:pt idx="165">
                  <c:v>470.18652267359886</c:v>
                </c:pt>
                <c:pt idx="166">
                  <c:v>470.18652267359886</c:v>
                </c:pt>
                <c:pt idx="167">
                  <c:v>470.18652267359886</c:v>
                </c:pt>
                <c:pt idx="168">
                  <c:v>470.18652267359886</c:v>
                </c:pt>
                <c:pt idx="169">
                  <c:v>470.18652267359886</c:v>
                </c:pt>
                <c:pt idx="170">
                  <c:v>470.18652267359886</c:v>
                </c:pt>
                <c:pt idx="171">
                  <c:v>470.18652267359886</c:v>
                </c:pt>
                <c:pt idx="172">
                  <c:v>470.18652267359886</c:v>
                </c:pt>
                <c:pt idx="173">
                  <c:v>470.18652267359886</c:v>
                </c:pt>
                <c:pt idx="174">
                  <c:v>470.18652267359886</c:v>
                </c:pt>
                <c:pt idx="175">
                  <c:v>470.18652267359886</c:v>
                </c:pt>
                <c:pt idx="176">
                  <c:v>470.18652267359886</c:v>
                </c:pt>
                <c:pt idx="177">
                  <c:v>470.18652267359886</c:v>
                </c:pt>
                <c:pt idx="178">
                  <c:v>470.18652267359886</c:v>
                </c:pt>
                <c:pt idx="179">
                  <c:v>470.18652267359886</c:v>
                </c:pt>
                <c:pt idx="180">
                  <c:v>470.18652267359886</c:v>
                </c:pt>
                <c:pt idx="181">
                  <c:v>470.18652267359886</c:v>
                </c:pt>
                <c:pt idx="182">
                  <c:v>470.18652267359886</c:v>
                </c:pt>
                <c:pt idx="183">
                  <c:v>470.18652267359886</c:v>
                </c:pt>
                <c:pt idx="184">
                  <c:v>470.18652267359886</c:v>
                </c:pt>
                <c:pt idx="185">
                  <c:v>470.18652267359886</c:v>
                </c:pt>
                <c:pt idx="186">
                  <c:v>470.18652267359886</c:v>
                </c:pt>
                <c:pt idx="187">
                  <c:v>470.18652267359886</c:v>
                </c:pt>
                <c:pt idx="188">
                  <c:v>470.18652267359886</c:v>
                </c:pt>
                <c:pt idx="189">
                  <c:v>470.18652267359886</c:v>
                </c:pt>
                <c:pt idx="190">
                  <c:v>470.18652267359886</c:v>
                </c:pt>
                <c:pt idx="191">
                  <c:v>470.18652267359886</c:v>
                </c:pt>
                <c:pt idx="192">
                  <c:v>470.18652267359886</c:v>
                </c:pt>
                <c:pt idx="193">
                  <c:v>470.18652267359886</c:v>
                </c:pt>
                <c:pt idx="194">
                  <c:v>470.18652267359886</c:v>
                </c:pt>
                <c:pt idx="195">
                  <c:v>470.18652267359886</c:v>
                </c:pt>
                <c:pt idx="196">
                  <c:v>470.18652267359886</c:v>
                </c:pt>
                <c:pt idx="197">
                  <c:v>470.18652267359886</c:v>
                </c:pt>
                <c:pt idx="198">
                  <c:v>470.18652267359886</c:v>
                </c:pt>
                <c:pt idx="199">
                  <c:v>470.18652267359886</c:v>
                </c:pt>
                <c:pt idx="200">
                  <c:v>470.18652267359886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1.6471914456677315</c:v>
                </c:pt>
                <c:pt idx="2">
                  <c:v>1.7492627169885504</c:v>
                </c:pt>
                <c:pt idx="3">
                  <c:v>1.8576806002286792</c:v>
                </c:pt>
                <c:pt idx="4">
                  <c:v>1.9728409913773934</c:v>
                </c:pt>
                <c:pt idx="5">
                  <c:v>2.0951645571298552</c:v>
                </c:pt>
                <c:pt idx="6">
                  <c:v>2.225098289164531</c:v>
                </c:pt>
                <c:pt idx="7">
                  <c:v>2.3631171562040492</c:v>
                </c:pt>
                <c:pt idx="8">
                  <c:v>2.5097258600263359</c:v>
                </c:pt>
                <c:pt idx="9">
                  <c:v>2.6654607019826653</c:v>
                </c:pt>
                <c:pt idx="10">
                  <c:v>2.8308915669937602</c:v>
                </c:pt>
                <c:pt idx="11">
                  <c:v>3.00662403243579</c:v>
                </c:pt>
                <c:pt idx="12">
                  <c:v>3.1933016097967961</c:v>
                </c:pt>
                <c:pt idx="13">
                  <c:v>3.3916081274824403</c:v>
                </c:pt>
                <c:pt idx="14">
                  <c:v>3.6022702636798734</c:v>
                </c:pt>
                <c:pt idx="15">
                  <c:v>3.8260602387520897</c:v>
                </c:pt>
                <c:pt idx="16">
                  <c:v>4.0637986772343284</c:v>
                </c:pt>
                <c:pt idx="17">
                  <c:v>4.3163576501413159</c:v>
                </c:pt>
                <c:pt idx="18">
                  <c:v>4.584663908971792</c:v>
                </c:pt>
                <c:pt idx="19">
                  <c:v>4.8697023235172834</c:v>
                </c:pt>
                <c:pt idx="20">
                  <c:v>5.1725195363484184</c:v>
                </c:pt>
                <c:pt idx="21">
                  <c:v>14.038392266222763</c:v>
                </c:pt>
                <c:pt idx="22">
                  <c:v>22.724486678397056</c:v>
                </c:pt>
                <c:pt idx="23">
                  <c:v>31.313781963562189</c:v>
                </c:pt>
                <c:pt idx="24">
                  <c:v>39.837200548504242</c:v>
                </c:pt>
                <c:pt idx="25">
                  <c:v>48.310991405990364</c:v>
                </c:pt>
                <c:pt idx="26">
                  <c:v>58.030222117998541</c:v>
                </c:pt>
                <c:pt idx="27">
                  <c:v>67.706813349249757</c:v>
                </c:pt>
                <c:pt idx="28">
                  <c:v>77.347742869234267</c:v>
                </c:pt>
                <c:pt idx="29">
                  <c:v>86.95809563191834</c:v>
                </c:pt>
                <c:pt idx="30">
                  <c:v>96.541735290439291</c:v>
                </c:pt>
                <c:pt idx="31">
                  <c:v>107.77860548390754</c:v>
                </c:pt>
                <c:pt idx="32">
                  <c:v>118.98662031695353</c:v>
                </c:pt>
                <c:pt idx="33">
                  <c:v>130.1688848384911</c:v>
                </c:pt>
                <c:pt idx="34">
                  <c:v>141.32792566692532</c:v>
                </c:pt>
                <c:pt idx="35">
                  <c:v>152.46583697153577</c:v>
                </c:pt>
                <c:pt idx="36">
                  <c:v>163.96360168045766</c:v>
                </c:pt>
                <c:pt idx="37">
                  <c:v>175.44231159871978</c:v>
                </c:pt>
                <c:pt idx="38">
                  <c:v>186.90339014215934</c:v>
                </c:pt>
                <c:pt idx="39">
                  <c:v>198.34807167661006</c:v>
                </c:pt>
                <c:pt idx="40">
                  <c:v>209.77743632609</c:v>
                </c:pt>
                <c:pt idx="41">
                  <c:v>221.6953811918959</c:v>
                </c:pt>
                <c:pt idx="42">
                  <c:v>233.59862745194377</c:v>
                </c:pt>
                <c:pt idx="43">
                  <c:v>245.48803004091474</c:v>
                </c:pt>
                <c:pt idx="44">
                  <c:v>257.36435425844041</c:v>
                </c:pt>
                <c:pt idx="45">
                  <c:v>269.22828895869657</c:v>
                </c:pt>
                <c:pt idx="46">
                  <c:v>183.40959154211293</c:v>
                </c:pt>
                <c:pt idx="47">
                  <c:v>193.01453617165967</c:v>
                </c:pt>
                <c:pt idx="48">
                  <c:v>202.60836444308441</c:v>
                </c:pt>
                <c:pt idx="49">
                  <c:v>212.19167747269475</c:v>
                </c:pt>
                <c:pt idx="50">
                  <c:v>221.76501758244117</c:v>
                </c:pt>
                <c:pt idx="51">
                  <c:v>231.50408523288809</c:v>
                </c:pt>
                <c:pt idx="52">
                  <c:v>241.23379300679383</c:v>
                </c:pt>
                <c:pt idx="53">
                  <c:v>250.95457196412045</c:v>
                </c:pt>
                <c:pt idx="54">
                  <c:v>260.66681701267163</c:v>
                </c:pt>
                <c:pt idx="55">
                  <c:v>270.37089120353011</c:v>
                </c:pt>
                <c:pt idx="56">
                  <c:v>280.23388518488736</c:v>
                </c:pt>
                <c:pt idx="57">
                  <c:v>290.08909692438982</c:v>
                </c:pt>
                <c:pt idx="58">
                  <c:v>299.93682826648899</c:v>
                </c:pt>
                <c:pt idx="59">
                  <c:v>309.77735960282342</c:v>
                </c:pt>
                <c:pt idx="60">
                  <c:v>319.61095204475936</c:v>
                </c:pt>
                <c:pt idx="61">
                  <c:v>236.11511801281895</c:v>
                </c:pt>
                <c:pt idx="62">
                  <c:v>244.6311416809707</c:v>
                </c:pt>
                <c:pt idx="63">
                  <c:v>253.14042918208028</c:v>
                </c:pt>
                <c:pt idx="64">
                  <c:v>261.6432391183381</c:v>
                </c:pt>
                <c:pt idx="65">
                  <c:v>270.13981189402108</c:v>
                </c:pt>
                <c:pt idx="66">
                  <c:v>279.00497082025043</c:v>
                </c:pt>
                <c:pt idx="67">
                  <c:v>287.86381186124225</c:v>
                </c:pt>
                <c:pt idx="68">
                  <c:v>296.7165570306106</c:v>
                </c:pt>
                <c:pt idx="69">
                  <c:v>305.56341400129753</c:v>
                </c:pt>
                <c:pt idx="70">
                  <c:v>314.40457742935979</c:v>
                </c:pt>
                <c:pt idx="71">
                  <c:v>323.27347513863009</c:v>
                </c:pt>
                <c:pt idx="72">
                  <c:v>332.13699446386562</c:v>
                </c:pt>
                <c:pt idx="73">
                  <c:v>340.99529927753844</c:v>
                </c:pt>
                <c:pt idx="74">
                  <c:v>349.8485442371836</c:v>
                </c:pt>
                <c:pt idx="75">
                  <c:v>358.69687552874603</c:v>
                </c:pt>
                <c:pt idx="76">
                  <c:v>270.73033907227955</c:v>
                </c:pt>
                <c:pt idx="77">
                  <c:v>278.84076430725924</c:v>
                </c:pt>
                <c:pt idx="78">
                  <c:v>286.94589803910009</c:v>
                </c:pt>
                <c:pt idx="79">
                  <c:v>295.0459109606216</c:v>
                </c:pt>
                <c:pt idx="80">
                  <c:v>303.14096361823647</c:v>
                </c:pt>
                <c:pt idx="81">
                  <c:v>311.10835275151049</c:v>
                </c:pt>
                <c:pt idx="82">
                  <c:v>319.0712142929271</c:v>
                </c:pt>
                <c:pt idx="83">
                  <c:v>327.02967727324824</c:v>
                </c:pt>
                <c:pt idx="84">
                  <c:v>334.98386392506364</c:v>
                </c:pt>
                <c:pt idx="85">
                  <c:v>342.93389019743546</c:v>
                </c:pt>
                <c:pt idx="86">
                  <c:v>351.13768631862075</c:v>
                </c:pt>
                <c:pt idx="87">
                  <c:v>359.33728016380593</c:v>
                </c:pt>
                <c:pt idx="88">
                  <c:v>367.53278121716579</c:v>
                </c:pt>
                <c:pt idx="89">
                  <c:v>375.72429367826726</c:v>
                </c:pt>
                <c:pt idx="90">
                  <c:v>383.91191682932617</c:v>
                </c:pt>
                <c:pt idx="91">
                  <c:v>307.25580273498827</c:v>
                </c:pt>
                <c:pt idx="92">
                  <c:v>314.6706986634693</c:v>
                </c:pt>
                <c:pt idx="93">
                  <c:v>322.0817218320297</c:v>
                </c:pt>
                <c:pt idx="94">
                  <c:v>329.48897400913796</c:v>
                </c:pt>
                <c:pt idx="95">
                  <c:v>336.89255200972099</c:v>
                </c:pt>
                <c:pt idx="96">
                  <c:v>344.71391232126308</c:v>
                </c:pt>
                <c:pt idx="97">
                  <c:v>352.53137465046967</c:v>
                </c:pt>
                <c:pt idx="98">
                  <c:v>360.34503769770708</c:v>
                </c:pt>
                <c:pt idx="99">
                  <c:v>368.15499553027024</c:v>
                </c:pt>
                <c:pt idx="100">
                  <c:v>375.96133789569603</c:v>
                </c:pt>
                <c:pt idx="101">
                  <c:v>264.30485716374625</c:v>
                </c:pt>
                <c:pt idx="102">
                  <c:v>270.61737090028811</c:v>
                </c:pt>
                <c:pt idx="103">
                  <c:v>276.92657168093962</c:v>
                </c:pt>
                <c:pt idx="104">
                  <c:v>283.23254573649007</c:v>
                </c:pt>
                <c:pt idx="105">
                  <c:v>289.53537513945395</c:v>
                </c:pt>
                <c:pt idx="106">
                  <c:v>296.36809606909128</c:v>
                </c:pt>
                <c:pt idx="107">
                  <c:v>303.1973045526571</c:v>
                </c:pt>
                <c:pt idx="108">
                  <c:v>310.02309095655977</c:v>
                </c:pt>
                <c:pt idx="109">
                  <c:v>316.84554133874673</c:v>
                </c:pt>
                <c:pt idx="110">
                  <c:v>323.66473774454067</c:v>
                </c:pt>
                <c:pt idx="111">
                  <c:v>4.4841505471551795</c:v>
                </c:pt>
                <c:pt idx="112">
                  <c:v>4.4841505471551795</c:v>
                </c:pt>
                <c:pt idx="113">
                  <c:v>4.4841505471551795</c:v>
                </c:pt>
                <c:pt idx="114">
                  <c:v>4.4841505471551795</c:v>
                </c:pt>
                <c:pt idx="115">
                  <c:v>4.4841505471551795</c:v>
                </c:pt>
                <c:pt idx="116">
                  <c:v>4.4841505471551795</c:v>
                </c:pt>
                <c:pt idx="117">
                  <c:v>4.4841505471551795</c:v>
                </c:pt>
                <c:pt idx="118">
                  <c:v>4.4841505471551795</c:v>
                </c:pt>
                <c:pt idx="119">
                  <c:v>4.4841505471551795</c:v>
                </c:pt>
                <c:pt idx="120">
                  <c:v>4.4841505471551795</c:v>
                </c:pt>
                <c:pt idx="121">
                  <c:v>4.4841505471551795</c:v>
                </c:pt>
                <c:pt idx="122">
                  <c:v>4.4841505471551795</c:v>
                </c:pt>
                <c:pt idx="123">
                  <c:v>4.4841505471551795</c:v>
                </c:pt>
                <c:pt idx="124">
                  <c:v>4.4841505471551795</c:v>
                </c:pt>
                <c:pt idx="125">
                  <c:v>4.4841505471551795</c:v>
                </c:pt>
                <c:pt idx="126">
                  <c:v>4.4841505471551795</c:v>
                </c:pt>
                <c:pt idx="127">
                  <c:v>4.4841505471551795</c:v>
                </c:pt>
                <c:pt idx="128">
                  <c:v>4.4841505471551795</c:v>
                </c:pt>
                <c:pt idx="129">
                  <c:v>4.4841505471551795</c:v>
                </c:pt>
                <c:pt idx="130">
                  <c:v>4.4841505471551795</c:v>
                </c:pt>
                <c:pt idx="131">
                  <c:v>4.4841505471551795</c:v>
                </c:pt>
                <c:pt idx="132">
                  <c:v>4.4841505471551795</c:v>
                </c:pt>
                <c:pt idx="133">
                  <c:v>4.4841505471551795</c:v>
                </c:pt>
                <c:pt idx="134">
                  <c:v>4.4841505471551795</c:v>
                </c:pt>
                <c:pt idx="135">
                  <c:v>4.4841505471551795</c:v>
                </c:pt>
                <c:pt idx="136">
                  <c:v>4.4841505471551795</c:v>
                </c:pt>
                <c:pt idx="137">
                  <c:v>4.4841505471551795</c:v>
                </c:pt>
                <c:pt idx="138">
                  <c:v>4.4841505471551795</c:v>
                </c:pt>
                <c:pt idx="139">
                  <c:v>4.4841505471551795</c:v>
                </c:pt>
                <c:pt idx="140">
                  <c:v>4.4841505471551795</c:v>
                </c:pt>
                <c:pt idx="141">
                  <c:v>4.4841505471551795</c:v>
                </c:pt>
                <c:pt idx="142">
                  <c:v>4.4841505471551795</c:v>
                </c:pt>
                <c:pt idx="143">
                  <c:v>4.4841505471551795</c:v>
                </c:pt>
                <c:pt idx="144">
                  <c:v>4.4841505471551795</c:v>
                </c:pt>
                <c:pt idx="145">
                  <c:v>4.4841505471551795</c:v>
                </c:pt>
                <c:pt idx="146">
                  <c:v>4.4841505471551795</c:v>
                </c:pt>
                <c:pt idx="147">
                  <c:v>4.4841505471551795</c:v>
                </c:pt>
                <c:pt idx="148">
                  <c:v>4.4841505471551795</c:v>
                </c:pt>
                <c:pt idx="149">
                  <c:v>4.4841505471551795</c:v>
                </c:pt>
                <c:pt idx="150">
                  <c:v>4.4841505471551795</c:v>
                </c:pt>
                <c:pt idx="151">
                  <c:v>4.4841505471551795</c:v>
                </c:pt>
                <c:pt idx="152">
                  <c:v>4.4841505471551795</c:v>
                </c:pt>
                <c:pt idx="153">
                  <c:v>4.4841505471551795</c:v>
                </c:pt>
                <c:pt idx="154">
                  <c:v>4.4841505471551795</c:v>
                </c:pt>
                <c:pt idx="155">
                  <c:v>4.4841505471551795</c:v>
                </c:pt>
                <c:pt idx="156">
                  <c:v>4.4841505471551795</c:v>
                </c:pt>
                <c:pt idx="157">
                  <c:v>4.4841505471551795</c:v>
                </c:pt>
                <c:pt idx="158">
                  <c:v>4.4841505471551795</c:v>
                </c:pt>
                <c:pt idx="159">
                  <c:v>4.4841505471551795</c:v>
                </c:pt>
                <c:pt idx="160">
                  <c:v>4.4841505471551795</c:v>
                </c:pt>
                <c:pt idx="161">
                  <c:v>4.4841505471551795</c:v>
                </c:pt>
                <c:pt idx="162">
                  <c:v>4.4841505471551795</c:v>
                </c:pt>
                <c:pt idx="163">
                  <c:v>4.4841505471551795</c:v>
                </c:pt>
                <c:pt idx="164">
                  <c:v>4.4841505471551795</c:v>
                </c:pt>
                <c:pt idx="165">
                  <c:v>4.4841505471551795</c:v>
                </c:pt>
                <c:pt idx="166">
                  <c:v>4.4841505471551795</c:v>
                </c:pt>
                <c:pt idx="167">
                  <c:v>4.4841505471551795</c:v>
                </c:pt>
                <c:pt idx="168">
                  <c:v>4.4841505471551795</c:v>
                </c:pt>
                <c:pt idx="169">
                  <c:v>4.4841505471551795</c:v>
                </c:pt>
                <c:pt idx="170">
                  <c:v>4.4841505471551795</c:v>
                </c:pt>
                <c:pt idx="171">
                  <c:v>4.4841505471551795</c:v>
                </c:pt>
                <c:pt idx="172">
                  <c:v>4.4841505471551795</c:v>
                </c:pt>
                <c:pt idx="173">
                  <c:v>4.4841505471551795</c:v>
                </c:pt>
                <c:pt idx="174">
                  <c:v>4.4841505471551795</c:v>
                </c:pt>
                <c:pt idx="175">
                  <c:v>4.4841505471551795</c:v>
                </c:pt>
                <c:pt idx="176">
                  <c:v>4.4841505471551795</c:v>
                </c:pt>
                <c:pt idx="177">
                  <c:v>4.4841505471551795</c:v>
                </c:pt>
                <c:pt idx="178">
                  <c:v>4.4841505471551795</c:v>
                </c:pt>
                <c:pt idx="179">
                  <c:v>4.4841505471551795</c:v>
                </c:pt>
                <c:pt idx="180">
                  <c:v>4.4841505471551795</c:v>
                </c:pt>
                <c:pt idx="181">
                  <c:v>4.4841505471551795</c:v>
                </c:pt>
                <c:pt idx="182">
                  <c:v>4.4841505471551795</c:v>
                </c:pt>
                <c:pt idx="183">
                  <c:v>4.4841505471551795</c:v>
                </c:pt>
                <c:pt idx="184">
                  <c:v>4.4841505471551795</c:v>
                </c:pt>
                <c:pt idx="185">
                  <c:v>4.4841505471551795</c:v>
                </c:pt>
                <c:pt idx="186">
                  <c:v>4.4841505471551795</c:v>
                </c:pt>
                <c:pt idx="187">
                  <c:v>4.4841505471551795</c:v>
                </c:pt>
                <c:pt idx="188">
                  <c:v>4.4841505471551795</c:v>
                </c:pt>
                <c:pt idx="189">
                  <c:v>4.4841505471551795</c:v>
                </c:pt>
                <c:pt idx="190">
                  <c:v>4.4841505471551795</c:v>
                </c:pt>
                <c:pt idx="191">
                  <c:v>4.4841505471551795</c:v>
                </c:pt>
                <c:pt idx="192">
                  <c:v>4.4841505471551795</c:v>
                </c:pt>
                <c:pt idx="193">
                  <c:v>4.4841505471551795</c:v>
                </c:pt>
                <c:pt idx="194">
                  <c:v>4.4841505471551795</c:v>
                </c:pt>
                <c:pt idx="195">
                  <c:v>4.4841505471551795</c:v>
                </c:pt>
                <c:pt idx="196">
                  <c:v>4.4841505471551795</c:v>
                </c:pt>
                <c:pt idx="197">
                  <c:v>4.4841505471551795</c:v>
                </c:pt>
                <c:pt idx="198">
                  <c:v>4.4841505471551795</c:v>
                </c:pt>
                <c:pt idx="199">
                  <c:v>4.4841505471551795</c:v>
                </c:pt>
                <c:pt idx="200">
                  <c:v>4.4841505471551795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F22" sqref="F2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34.296100000000003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18</v>
      </c>
      <c r="C9" s="264">
        <v>0.21790000000000001</v>
      </c>
      <c r="D9" s="33">
        <f t="shared" ref="D9:D18" si="0">C9*$C$5</f>
        <v>7.4731201900000013</v>
      </c>
      <c r="E9" s="265">
        <v>54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13</v>
      </c>
      <c r="C10" s="264">
        <v>0.22090000000000001</v>
      </c>
      <c r="D10" s="33">
        <f t="shared" si="0"/>
        <v>7.5760084900000013</v>
      </c>
      <c r="E10" s="265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12</v>
      </c>
      <c r="C11" s="264">
        <v>0.18240000000000001</v>
      </c>
      <c r="D11" s="33">
        <f t="shared" si="0"/>
        <v>6.2556086400000011</v>
      </c>
      <c r="E11" s="265">
        <v>161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14</v>
      </c>
      <c r="C12" s="264">
        <v>0.1953</v>
      </c>
      <c r="D12" s="33">
        <f t="shared" si="0"/>
        <v>6.6980283300000005</v>
      </c>
      <c r="E12" s="265">
        <v>161</v>
      </c>
      <c r="F12" s="35" t="str">
        <f t="array" ref="F12">IF(E12="","",IF(INDEX(A:A,MAX(IF(ISNUMBER($A$114:$A$133),ROW($A$114:$A$133),"")))&lt;&gt;E12,"Corrigez : révolution incorrecte","OK"))</f>
        <v>OK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30</v>
      </c>
      <c r="C13" s="32">
        <v>0.129</v>
      </c>
      <c r="D13" s="33">
        <f t="shared" si="0"/>
        <v>4.4241969000000001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40</v>
      </c>
      <c r="C14" s="32">
        <v>5.4399999999999997E-2</v>
      </c>
      <c r="D14" s="33">
        <f t="shared" si="0"/>
        <v>1.86570784</v>
      </c>
      <c r="E14" s="34">
        <v>110</v>
      </c>
      <c r="F14" s="35" t="str">
        <f t="array" ref="F14">IF(E14="","",IF(INDEX(A:A,MAX(IF(ISNUMBER($A$166:$A$185),ROW($A$166:$A$185),"")))&lt;&gt;E14,"Corrigez : révolution incorrecte","OK"))</f>
        <v>OK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0.99990000000000001</v>
      </c>
      <c r="D19" s="38">
        <f>SUM(D9:D18)</f>
        <v>34.292670390000005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17</v>
      </c>
      <c r="B36" s="259">
        <v>172.88</v>
      </c>
      <c r="C36" s="259"/>
      <c r="D36" s="259"/>
      <c r="E36" s="260"/>
      <c r="F36" s="260"/>
      <c r="G36" s="260"/>
      <c r="H36" s="260"/>
      <c r="I36" s="49">
        <f>IFERROR(B36/A36,"")</f>
        <v>10.169411764705883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18</v>
      </c>
      <c r="B37" s="259">
        <v>202.42</v>
      </c>
      <c r="C37" s="259">
        <v>1</v>
      </c>
      <c r="D37" s="259">
        <v>74.819999999999993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29.539999999999992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24</v>
      </c>
      <c r="B38" s="259">
        <v>289.16000000000003</v>
      </c>
      <c r="C38" s="259">
        <v>2</v>
      </c>
      <c r="D38" s="259">
        <v>51.39</v>
      </c>
      <c r="E38" s="260"/>
      <c r="F38" s="260">
        <v>1</v>
      </c>
      <c r="G38" s="260"/>
      <c r="H38" s="260"/>
      <c r="I38" s="53">
        <f t="shared" si="1"/>
        <v>26.926666666666673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30</v>
      </c>
      <c r="B39" s="259">
        <v>410.69</v>
      </c>
      <c r="C39" s="259">
        <v>3</v>
      </c>
      <c r="D39" s="259">
        <v>80.97</v>
      </c>
      <c r="E39" s="260"/>
      <c r="F39" s="260">
        <v>1</v>
      </c>
      <c r="G39" s="260"/>
      <c r="H39" s="260"/>
      <c r="I39" s="49">
        <f t="shared" si="1"/>
        <v>28.819999999999993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36</v>
      </c>
      <c r="B40" s="259">
        <v>501.69</v>
      </c>
      <c r="C40" s="259">
        <v>4</v>
      </c>
      <c r="D40" s="259">
        <v>85.88</v>
      </c>
      <c r="E40" s="260">
        <v>1</v>
      </c>
      <c r="F40" s="260"/>
      <c r="G40" s="260"/>
      <c r="H40" s="260"/>
      <c r="I40" s="49">
        <f t="shared" si="1"/>
        <v>28.661666666666662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42</v>
      </c>
      <c r="B41" s="259">
        <v>584.37</v>
      </c>
      <c r="C41" s="259">
        <v>5</v>
      </c>
      <c r="D41" s="259">
        <v>91.25</v>
      </c>
      <c r="E41" s="260">
        <v>1</v>
      </c>
      <c r="F41" s="260"/>
      <c r="G41" s="260"/>
      <c r="H41" s="260"/>
      <c r="I41" s="53">
        <f t="shared" si="1"/>
        <v>28.093333333333334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48</v>
      </c>
      <c r="B42" s="259">
        <v>655.72</v>
      </c>
      <c r="C42" s="259">
        <v>6</v>
      </c>
      <c r="D42" s="259">
        <v>101.34</v>
      </c>
      <c r="E42" s="260">
        <v>1</v>
      </c>
      <c r="F42" s="260"/>
      <c r="G42" s="260"/>
      <c r="H42" s="260"/>
      <c r="I42" s="53">
        <f t="shared" si="1"/>
        <v>27.100000000000005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54</v>
      </c>
      <c r="B43" s="259">
        <v>708.61</v>
      </c>
      <c r="C43" s="259">
        <v>7</v>
      </c>
      <c r="D43" s="259">
        <v>707.75</v>
      </c>
      <c r="E43" s="260">
        <v>1</v>
      </c>
      <c r="F43" s="260"/>
      <c r="G43" s="260"/>
      <c r="H43" s="260"/>
      <c r="I43" s="49">
        <f t="shared" si="1"/>
        <v>25.705000000000002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/>
      <c r="B44" s="259"/>
      <c r="C44" s="259"/>
      <c r="D44" s="259"/>
      <c r="E44" s="260"/>
      <c r="F44" s="260"/>
      <c r="G44" s="260"/>
      <c r="H44" s="260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rouge d'Amérique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10</v>
      </c>
      <c r="B62" s="261">
        <v>23</v>
      </c>
      <c r="C62" s="261"/>
      <c r="D62" s="261">
        <v>0</v>
      </c>
      <c r="E62" s="260"/>
      <c r="F62" s="260"/>
      <c r="G62" s="260"/>
      <c r="H62" s="260"/>
      <c r="I62" s="53">
        <f>IFERROR(B62/A62,"")</f>
        <v>2.2999999999999998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15</v>
      </c>
      <c r="B63" s="261">
        <v>60</v>
      </c>
      <c r="C63" s="261"/>
      <c r="D63" s="261">
        <v>0</v>
      </c>
      <c r="E63" s="260"/>
      <c r="F63" s="260"/>
      <c r="G63" s="260"/>
      <c r="H63" s="260"/>
      <c r="I63" s="49">
        <f>IF(A63&lt;&gt;0,(B63-(B62-D62))/(A63-A62),"")</f>
        <v>7.4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20</v>
      </c>
      <c r="B64" s="261">
        <v>108</v>
      </c>
      <c r="C64" s="261">
        <v>1</v>
      </c>
      <c r="D64" s="261">
        <v>41</v>
      </c>
      <c r="E64" s="260"/>
      <c r="F64" s="260"/>
      <c r="G64" s="260"/>
      <c r="H64" s="260">
        <v>1</v>
      </c>
      <c r="I64" s="49">
        <f>IF(A64&lt;&gt;0,(B64-(B63-D63))/(A64-A63),"")</f>
        <v>9.6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25</v>
      </c>
      <c r="B65" s="261">
        <v>113</v>
      </c>
      <c r="C65" s="261">
        <v>2</v>
      </c>
      <c r="D65" s="261">
        <v>23</v>
      </c>
      <c r="E65" s="260"/>
      <c r="F65" s="260"/>
      <c r="G65" s="260"/>
      <c r="H65" s="260">
        <v>1</v>
      </c>
      <c r="I65" s="49">
        <f>IF(A65&lt;&gt;0,(B65-(B64-D64))/(A65-A64),"")</f>
        <v>9.1999999999999993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30</v>
      </c>
      <c r="B66" s="261">
        <v>135</v>
      </c>
      <c r="C66" s="261">
        <v>3</v>
      </c>
      <c r="D66" s="261">
        <v>24</v>
      </c>
      <c r="E66" s="260"/>
      <c r="F66" s="260"/>
      <c r="G66" s="260"/>
      <c r="H66" s="260">
        <v>1</v>
      </c>
      <c r="I66" s="49">
        <f t="shared" ref="I66:I81" si="2">IF(A66&lt;&gt;0,(B66-(B65-D65))/(A66-A65),"")</f>
        <v>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35</v>
      </c>
      <c r="B67" s="261">
        <v>153</v>
      </c>
      <c r="C67" s="261">
        <v>4</v>
      </c>
      <c r="D67" s="261">
        <v>24</v>
      </c>
      <c r="E67" s="260">
        <v>1</v>
      </c>
      <c r="F67" s="260"/>
      <c r="G67" s="260"/>
      <c r="H67" s="260"/>
      <c r="I67" s="49">
        <f t="shared" si="2"/>
        <v>8.4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40</v>
      </c>
      <c r="B68" s="261">
        <v>168</v>
      </c>
      <c r="C68" s="261">
        <v>5</v>
      </c>
      <c r="D68" s="261">
        <v>23</v>
      </c>
      <c r="E68" s="260">
        <v>1</v>
      </c>
      <c r="F68" s="260"/>
      <c r="G68" s="260"/>
      <c r="H68" s="260"/>
      <c r="I68" s="49">
        <f t="shared" si="2"/>
        <v>7.8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45</v>
      </c>
      <c r="B69" s="261">
        <v>180</v>
      </c>
      <c r="C69" s="261">
        <v>6</v>
      </c>
      <c r="D69" s="261">
        <v>22</v>
      </c>
      <c r="E69" s="260">
        <v>1</v>
      </c>
      <c r="F69" s="260"/>
      <c r="G69" s="260"/>
      <c r="H69" s="260"/>
      <c r="I69" s="49">
        <f t="shared" si="2"/>
        <v>7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50</v>
      </c>
      <c r="B70" s="261">
        <v>191</v>
      </c>
      <c r="C70" s="261">
        <v>7</v>
      </c>
      <c r="D70" s="261">
        <v>21</v>
      </c>
      <c r="E70" s="260">
        <v>1</v>
      </c>
      <c r="F70" s="260"/>
      <c r="G70" s="260"/>
      <c r="H70" s="260"/>
      <c r="I70" s="49">
        <f t="shared" si="2"/>
        <v>6.6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55</v>
      </c>
      <c r="B71" s="261">
        <v>201</v>
      </c>
      <c r="C71" s="261">
        <v>8</v>
      </c>
      <c r="D71" s="261">
        <v>20</v>
      </c>
      <c r="E71" s="260">
        <v>1</v>
      </c>
      <c r="F71" s="260"/>
      <c r="G71" s="260"/>
      <c r="H71" s="260"/>
      <c r="I71" s="49">
        <f t="shared" si="2"/>
        <v>6.2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60</v>
      </c>
      <c r="B72" s="261">
        <v>207</v>
      </c>
      <c r="C72" s="261">
        <v>9</v>
      </c>
      <c r="D72" s="261">
        <v>18</v>
      </c>
      <c r="E72" s="260">
        <v>1</v>
      </c>
      <c r="F72" s="260"/>
      <c r="G72" s="260"/>
      <c r="H72" s="260"/>
      <c r="I72" s="49">
        <f t="shared" si="2"/>
        <v>5.2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65</v>
      </c>
      <c r="B73" s="261">
        <v>214</v>
      </c>
      <c r="C73" s="261">
        <v>10</v>
      </c>
      <c r="D73" s="261">
        <v>17</v>
      </c>
      <c r="E73" s="260">
        <v>1</v>
      </c>
      <c r="F73" s="260"/>
      <c r="G73" s="260"/>
      <c r="H73" s="260"/>
      <c r="I73" s="49">
        <f t="shared" si="2"/>
        <v>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70</v>
      </c>
      <c r="B74" s="261">
        <v>220</v>
      </c>
      <c r="C74" s="261">
        <v>11</v>
      </c>
      <c r="D74" s="261">
        <v>16</v>
      </c>
      <c r="E74" s="260">
        <v>1</v>
      </c>
      <c r="F74" s="260"/>
      <c r="G74" s="260"/>
      <c r="H74" s="260"/>
      <c r="I74" s="49">
        <f t="shared" si="2"/>
        <v>4.5999999999999996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75</v>
      </c>
      <c r="B75" s="261">
        <v>223</v>
      </c>
      <c r="C75" s="261">
        <v>12</v>
      </c>
      <c r="D75" s="261">
        <v>14</v>
      </c>
      <c r="E75" s="260">
        <v>1</v>
      </c>
      <c r="F75" s="260"/>
      <c r="G75" s="260"/>
      <c r="H75" s="260"/>
      <c r="I75" s="49">
        <f t="shared" si="2"/>
        <v>3.8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80</v>
      </c>
      <c r="B76" s="261">
        <v>227</v>
      </c>
      <c r="C76" s="261">
        <v>13</v>
      </c>
      <c r="D76" s="261">
        <v>13</v>
      </c>
      <c r="E76" s="260">
        <v>1</v>
      </c>
      <c r="F76" s="260"/>
      <c r="G76" s="260"/>
      <c r="H76" s="260"/>
      <c r="I76" s="49">
        <f t="shared" si="2"/>
        <v>3.6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85</v>
      </c>
      <c r="B77" s="257">
        <v>230</v>
      </c>
      <c r="C77" s="256">
        <v>14</v>
      </c>
      <c r="D77" s="256">
        <v>12</v>
      </c>
      <c r="E77" s="255">
        <v>1</v>
      </c>
      <c r="F77" s="255"/>
      <c r="G77" s="255"/>
      <c r="H77" s="255"/>
      <c r="I77" s="49">
        <f t="shared" si="2"/>
        <v>3.2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90</v>
      </c>
      <c r="B78" s="257">
        <v>233</v>
      </c>
      <c r="C78" s="256">
        <v>15</v>
      </c>
      <c r="D78" s="256">
        <v>11</v>
      </c>
      <c r="E78" s="255">
        <v>1</v>
      </c>
      <c r="F78" s="255"/>
      <c r="G78" s="255"/>
      <c r="H78" s="255"/>
      <c r="I78" s="49">
        <f t="shared" si="2"/>
        <v>3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95</v>
      </c>
      <c r="B79" s="257">
        <v>236</v>
      </c>
      <c r="C79" s="256">
        <v>16</v>
      </c>
      <c r="D79" s="256">
        <v>11</v>
      </c>
      <c r="E79" s="255">
        <v>1</v>
      </c>
      <c r="F79" s="255"/>
      <c r="G79" s="255"/>
      <c r="H79" s="255"/>
      <c r="I79" s="49">
        <f t="shared" si="2"/>
        <v>2.8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100</v>
      </c>
      <c r="B80" s="257">
        <v>240</v>
      </c>
      <c r="C80" s="256">
        <v>17</v>
      </c>
      <c r="D80" s="256">
        <v>12</v>
      </c>
      <c r="E80" s="255">
        <v>1</v>
      </c>
      <c r="F80" s="255"/>
      <c r="G80" s="255"/>
      <c r="H80" s="255"/>
      <c r="I80" s="49">
        <f t="shared" si="2"/>
        <v>3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pubescent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30</v>
      </c>
      <c r="B88" s="261">
        <v>87.705128205128204</v>
      </c>
      <c r="C88" s="261"/>
      <c r="D88" s="261"/>
      <c r="E88" s="260"/>
      <c r="F88" s="260"/>
      <c r="G88" s="260"/>
      <c r="H88" s="260"/>
      <c r="I88" s="53">
        <f>IFERROR(B88/A88,"")</f>
        <v>2.9235042735042733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44</v>
      </c>
      <c r="B89" s="261">
        <v>201.77</v>
      </c>
      <c r="C89" s="261">
        <v>1</v>
      </c>
      <c r="D89" s="261">
        <v>74.010000000000005</v>
      </c>
      <c r="E89" s="260">
        <v>1</v>
      </c>
      <c r="F89" s="260"/>
      <c r="G89" s="260"/>
      <c r="H89" s="260"/>
      <c r="I89" s="53">
        <f t="shared" ref="I89:I107" si="3">IF(A89&lt;&gt;0,(B89-(B88-D88))/(A89-A88),"")</f>
        <v>8.1474908424908428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51</v>
      </c>
      <c r="B90" s="261">
        <v>192.85</v>
      </c>
      <c r="C90" s="261">
        <v>2</v>
      </c>
      <c r="D90" s="261">
        <v>46.13</v>
      </c>
      <c r="E90" s="260">
        <v>1</v>
      </c>
      <c r="F90" s="260"/>
      <c r="G90" s="260"/>
      <c r="H90" s="260"/>
      <c r="I90" s="53">
        <f t="shared" si="3"/>
        <v>9.2985714285714263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59</v>
      </c>
      <c r="B91" s="261">
        <v>217.3</v>
      </c>
      <c r="C91" s="261">
        <v>3</v>
      </c>
      <c r="D91" s="261">
        <v>48.96</v>
      </c>
      <c r="E91" s="260">
        <v>1</v>
      </c>
      <c r="F91" s="260"/>
      <c r="G91" s="260"/>
      <c r="H91" s="260"/>
      <c r="I91" s="53">
        <f t="shared" si="3"/>
        <v>8.8225000000000016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67</v>
      </c>
      <c r="B92" s="261">
        <v>233.08</v>
      </c>
      <c r="C92" s="261">
        <v>4</v>
      </c>
      <c r="D92" s="261">
        <v>40.630000000000003</v>
      </c>
      <c r="E92" s="260">
        <v>1</v>
      </c>
      <c r="F92" s="260"/>
      <c r="G92" s="260"/>
      <c r="H92" s="260"/>
      <c r="I92" s="53">
        <f t="shared" si="3"/>
        <v>8.0925000000000011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75</v>
      </c>
      <c r="B93" s="261">
        <v>254.89</v>
      </c>
      <c r="C93" s="261">
        <v>5</v>
      </c>
      <c r="D93" s="261">
        <v>39.54</v>
      </c>
      <c r="E93" s="260">
        <v>1</v>
      </c>
      <c r="F93" s="260"/>
      <c r="G93" s="260"/>
      <c r="H93" s="260"/>
      <c r="I93" s="53">
        <f t="shared" si="3"/>
        <v>7.8049999999999962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84</v>
      </c>
      <c r="B94" s="261">
        <v>283.77</v>
      </c>
      <c r="C94" s="261">
        <v>6</v>
      </c>
      <c r="D94" s="261">
        <v>44.89</v>
      </c>
      <c r="E94" s="260">
        <v>1</v>
      </c>
      <c r="F94" s="260"/>
      <c r="G94" s="260"/>
      <c r="H94" s="260"/>
      <c r="I94" s="53">
        <f t="shared" si="3"/>
        <v>7.6022222222222204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93</v>
      </c>
      <c r="B95" s="261">
        <v>303.37</v>
      </c>
      <c r="C95" s="261">
        <v>7</v>
      </c>
      <c r="D95" s="261">
        <v>38.57</v>
      </c>
      <c r="E95" s="260">
        <v>1</v>
      </c>
      <c r="F95" s="260"/>
      <c r="G95" s="260"/>
      <c r="H95" s="260"/>
      <c r="I95" s="53">
        <f t="shared" si="3"/>
        <v>7.1655555555555566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103</v>
      </c>
      <c r="B96" s="261">
        <v>337.71</v>
      </c>
      <c r="C96" s="261">
        <v>8</v>
      </c>
      <c r="D96" s="261">
        <v>50.51</v>
      </c>
      <c r="E96" s="260">
        <v>1</v>
      </c>
      <c r="F96" s="260"/>
      <c r="G96" s="260"/>
      <c r="H96" s="260"/>
      <c r="I96" s="53">
        <f t="shared" si="3"/>
        <v>7.2909999999999968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113</v>
      </c>
      <c r="B97" s="261">
        <v>356.05</v>
      </c>
      <c r="C97" s="261">
        <v>9</v>
      </c>
      <c r="D97" s="261">
        <v>40.479999999999997</v>
      </c>
      <c r="E97" s="260">
        <v>1</v>
      </c>
      <c r="F97" s="260"/>
      <c r="G97" s="260"/>
      <c r="H97" s="260"/>
      <c r="I97" s="53">
        <f t="shared" si="3"/>
        <v>6.8850000000000025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125</v>
      </c>
      <c r="B98" s="261">
        <v>404.61</v>
      </c>
      <c r="C98" s="261">
        <v>10</v>
      </c>
      <c r="D98" s="261">
        <v>61.5</v>
      </c>
      <c r="E98" s="260">
        <v>1</v>
      </c>
      <c r="F98" s="260"/>
      <c r="G98" s="260"/>
      <c r="H98" s="260"/>
      <c r="I98" s="53">
        <f t="shared" si="3"/>
        <v>7.4200000000000017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137</v>
      </c>
      <c r="B99" s="261">
        <v>428.03</v>
      </c>
      <c r="C99" s="261">
        <v>11</v>
      </c>
      <c r="D99" s="261">
        <v>65.53</v>
      </c>
      <c r="E99" s="260">
        <v>1</v>
      </c>
      <c r="F99" s="260"/>
      <c r="G99" s="260"/>
      <c r="H99" s="260"/>
      <c r="I99" s="53">
        <f t="shared" si="3"/>
        <v>7.0766666666666636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149</v>
      </c>
      <c r="B100" s="261">
        <v>444.56</v>
      </c>
      <c r="C100" s="261">
        <v>12</v>
      </c>
      <c r="D100" s="261">
        <v>153.56</v>
      </c>
      <c r="E100" s="260">
        <v>1</v>
      </c>
      <c r="F100" s="260"/>
      <c r="G100" s="260"/>
      <c r="H100" s="260"/>
      <c r="I100" s="53">
        <f t="shared" si="3"/>
        <v>6.8383333333333338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153</v>
      </c>
      <c r="B101" s="261">
        <v>286.3</v>
      </c>
      <c r="C101" s="261">
        <v>13</v>
      </c>
      <c r="D101" s="261">
        <v>89.29</v>
      </c>
      <c r="E101" s="260">
        <v>1</v>
      </c>
      <c r="F101" s="260"/>
      <c r="G101" s="260"/>
      <c r="H101" s="260"/>
      <c r="I101" s="53">
        <f t="shared" si="3"/>
        <v>-1.1749999999999972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157</v>
      </c>
      <c r="B102" s="261">
        <v>194.52</v>
      </c>
      <c r="C102" s="261">
        <v>14</v>
      </c>
      <c r="D102" s="261">
        <v>57.95</v>
      </c>
      <c r="E102" s="260">
        <v>1</v>
      </c>
      <c r="F102" s="260"/>
      <c r="G102" s="260"/>
      <c r="H102" s="260"/>
      <c r="I102" s="53">
        <f t="shared" si="3"/>
        <v>-0.62249999999999517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>
        <v>161</v>
      </c>
      <c r="B103" s="257">
        <v>134.26</v>
      </c>
      <c r="C103" s="256">
        <v>15</v>
      </c>
      <c r="D103" s="256">
        <v>115.43</v>
      </c>
      <c r="E103" s="255">
        <v>1</v>
      </c>
      <c r="F103" s="255"/>
      <c r="G103" s="255"/>
      <c r="H103" s="255"/>
      <c r="I103" s="53">
        <f t="shared" si="3"/>
        <v>-0.57750000000000057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sessile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30</v>
      </c>
      <c r="B114" s="261">
        <v>87.705128205128204</v>
      </c>
      <c r="C114" s="261"/>
      <c r="D114" s="261"/>
      <c r="E114" s="260"/>
      <c r="F114" s="260"/>
      <c r="G114" s="260"/>
      <c r="H114" s="260"/>
      <c r="I114" s="53">
        <f>IFERROR(B114/A114,"")</f>
        <v>2.9235042735042733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44</v>
      </c>
      <c r="B115" s="261">
        <v>201.77</v>
      </c>
      <c r="C115" s="261">
        <v>1</v>
      </c>
      <c r="D115" s="261">
        <v>74.010000000000005</v>
      </c>
      <c r="E115" s="260">
        <v>1</v>
      </c>
      <c r="F115" s="260"/>
      <c r="G115" s="260"/>
      <c r="H115" s="260"/>
      <c r="I115" s="53">
        <f t="shared" ref="I115:I133" si="4">IF(A115&lt;&gt;0,(B115-(B114-D114))/(A115-A114),"")</f>
        <v>8.1474908424908428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51</v>
      </c>
      <c r="B116" s="261">
        <v>192.85</v>
      </c>
      <c r="C116" s="261">
        <v>2</v>
      </c>
      <c r="D116" s="261">
        <v>46.13</v>
      </c>
      <c r="E116" s="260">
        <v>1</v>
      </c>
      <c r="F116" s="260"/>
      <c r="G116" s="260"/>
      <c r="H116" s="260"/>
      <c r="I116" s="53">
        <f t="shared" si="4"/>
        <v>9.2985714285714263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59</v>
      </c>
      <c r="B117" s="261">
        <v>217.3</v>
      </c>
      <c r="C117" s="261">
        <v>3</v>
      </c>
      <c r="D117" s="261">
        <v>48.96</v>
      </c>
      <c r="E117" s="260">
        <v>1</v>
      </c>
      <c r="F117" s="260"/>
      <c r="G117" s="260"/>
      <c r="H117" s="260"/>
      <c r="I117" s="53">
        <f t="shared" si="4"/>
        <v>8.8225000000000016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67</v>
      </c>
      <c r="B118" s="261">
        <v>233.08</v>
      </c>
      <c r="C118" s="261">
        <v>4</v>
      </c>
      <c r="D118" s="261">
        <v>40.630000000000003</v>
      </c>
      <c r="E118" s="260">
        <v>1</v>
      </c>
      <c r="F118" s="260"/>
      <c r="G118" s="260"/>
      <c r="H118" s="260"/>
      <c r="I118" s="53">
        <f t="shared" si="4"/>
        <v>8.0925000000000011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75</v>
      </c>
      <c r="B119" s="261">
        <v>254.89</v>
      </c>
      <c r="C119" s="261">
        <v>5</v>
      </c>
      <c r="D119" s="261">
        <v>39.54</v>
      </c>
      <c r="E119" s="260">
        <v>1</v>
      </c>
      <c r="F119" s="260"/>
      <c r="G119" s="260"/>
      <c r="H119" s="260"/>
      <c r="I119" s="53">
        <f t="shared" si="4"/>
        <v>7.8049999999999962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84</v>
      </c>
      <c r="B120" s="261">
        <v>283.77</v>
      </c>
      <c r="C120" s="261">
        <v>6</v>
      </c>
      <c r="D120" s="261">
        <v>44.89</v>
      </c>
      <c r="E120" s="260">
        <v>1</v>
      </c>
      <c r="F120" s="260"/>
      <c r="G120" s="260"/>
      <c r="H120" s="260"/>
      <c r="I120" s="53">
        <f t="shared" si="4"/>
        <v>7.6022222222222204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93</v>
      </c>
      <c r="B121" s="261">
        <v>303.37</v>
      </c>
      <c r="C121" s="261">
        <v>7</v>
      </c>
      <c r="D121" s="261">
        <v>38.57</v>
      </c>
      <c r="E121" s="260">
        <v>1</v>
      </c>
      <c r="F121" s="260"/>
      <c r="G121" s="260"/>
      <c r="H121" s="260"/>
      <c r="I121" s="53">
        <f t="shared" si="4"/>
        <v>7.1655555555555566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103</v>
      </c>
      <c r="B122" s="261">
        <v>337.71</v>
      </c>
      <c r="C122" s="261">
        <v>8</v>
      </c>
      <c r="D122" s="261">
        <v>50.51</v>
      </c>
      <c r="E122" s="260">
        <v>1</v>
      </c>
      <c r="F122" s="260"/>
      <c r="G122" s="260"/>
      <c r="H122" s="260"/>
      <c r="I122" s="53">
        <f t="shared" si="4"/>
        <v>7.2909999999999968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113</v>
      </c>
      <c r="B123" s="261">
        <v>356.05</v>
      </c>
      <c r="C123" s="261">
        <v>9</v>
      </c>
      <c r="D123" s="261">
        <v>40.479999999999997</v>
      </c>
      <c r="E123" s="260">
        <v>1</v>
      </c>
      <c r="F123" s="260"/>
      <c r="G123" s="260"/>
      <c r="H123" s="260"/>
      <c r="I123" s="53">
        <f t="shared" si="4"/>
        <v>6.8850000000000025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125</v>
      </c>
      <c r="B124" s="261">
        <v>404.61</v>
      </c>
      <c r="C124" s="261">
        <v>10</v>
      </c>
      <c r="D124" s="261">
        <v>61.5</v>
      </c>
      <c r="E124" s="260">
        <v>1</v>
      </c>
      <c r="F124" s="260"/>
      <c r="G124" s="260"/>
      <c r="H124" s="260"/>
      <c r="I124" s="53">
        <f t="shared" si="4"/>
        <v>7.4200000000000017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137</v>
      </c>
      <c r="B125" s="261">
        <v>428.03</v>
      </c>
      <c r="C125" s="261">
        <v>11</v>
      </c>
      <c r="D125" s="261">
        <v>65.53</v>
      </c>
      <c r="E125" s="260">
        <v>1</v>
      </c>
      <c r="F125" s="260"/>
      <c r="G125" s="260"/>
      <c r="H125" s="260"/>
      <c r="I125" s="53">
        <f t="shared" si="4"/>
        <v>7.0766666666666636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149</v>
      </c>
      <c r="B126" s="261">
        <v>444.56</v>
      </c>
      <c r="C126" s="261">
        <v>12</v>
      </c>
      <c r="D126" s="261">
        <v>153.56</v>
      </c>
      <c r="E126" s="260">
        <v>1</v>
      </c>
      <c r="F126" s="260"/>
      <c r="G126" s="260"/>
      <c r="H126" s="260"/>
      <c r="I126" s="53">
        <f t="shared" si="4"/>
        <v>6.8383333333333338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153</v>
      </c>
      <c r="B127" s="261">
        <v>286.3</v>
      </c>
      <c r="C127" s="261">
        <v>13</v>
      </c>
      <c r="D127" s="261">
        <v>89.29</v>
      </c>
      <c r="E127" s="260">
        <v>1</v>
      </c>
      <c r="F127" s="260"/>
      <c r="G127" s="260"/>
      <c r="H127" s="260"/>
      <c r="I127" s="53">
        <f t="shared" si="4"/>
        <v>-1.1749999999999972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157</v>
      </c>
      <c r="B128" s="261">
        <v>194.52</v>
      </c>
      <c r="C128" s="261">
        <v>14</v>
      </c>
      <c r="D128" s="261">
        <v>57.95</v>
      </c>
      <c r="E128" s="260">
        <v>1</v>
      </c>
      <c r="F128" s="260"/>
      <c r="G128" s="260"/>
      <c r="H128" s="260"/>
      <c r="I128" s="53">
        <f t="shared" si="4"/>
        <v>-0.62249999999999517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>
        <v>161</v>
      </c>
      <c r="B129" s="261">
        <v>134.26</v>
      </c>
      <c r="C129" s="261">
        <v>15</v>
      </c>
      <c r="D129" s="261">
        <v>115.43</v>
      </c>
      <c r="E129" s="260">
        <v>1</v>
      </c>
      <c r="F129" s="260"/>
      <c r="G129" s="260"/>
      <c r="H129" s="260"/>
      <c r="I129" s="53">
        <f t="shared" si="4"/>
        <v>-0.57750000000000057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Noyer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15</v>
      </c>
      <c r="B140" s="60">
        <v>37</v>
      </c>
      <c r="C140" s="50">
        <v>1</v>
      </c>
      <c r="D140" s="60">
        <v>15</v>
      </c>
      <c r="E140" s="51"/>
      <c r="F140" s="51"/>
      <c r="G140" s="51"/>
      <c r="H140" s="51">
        <v>1</v>
      </c>
      <c r="I140" s="57">
        <f>IFERROR(B140/A140,"")</f>
        <v>2.4666666666666668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20</v>
      </c>
      <c r="B141" s="60">
        <v>80</v>
      </c>
      <c r="C141" s="50">
        <v>2</v>
      </c>
      <c r="D141" s="60">
        <v>28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11.6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25</v>
      </c>
      <c r="B142" s="60">
        <v>115</v>
      </c>
      <c r="C142" s="50">
        <v>3</v>
      </c>
      <c r="D142" s="60">
        <v>28</v>
      </c>
      <c r="E142" s="51"/>
      <c r="F142" s="51"/>
      <c r="G142" s="51"/>
      <c r="H142" s="51">
        <v>1</v>
      </c>
      <c r="I142" s="57">
        <f t="shared" si="5"/>
        <v>12.6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30</v>
      </c>
      <c r="B143" s="60">
        <v>146</v>
      </c>
      <c r="C143" s="50">
        <v>4</v>
      </c>
      <c r="D143" s="60">
        <v>28</v>
      </c>
      <c r="E143" s="51"/>
      <c r="F143" s="51"/>
      <c r="G143" s="51"/>
      <c r="H143" s="51">
        <v>1</v>
      </c>
      <c r="I143" s="57">
        <f t="shared" si="5"/>
        <v>11.8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35</v>
      </c>
      <c r="B144" s="60">
        <v>172</v>
      </c>
      <c r="C144" s="50">
        <v>5</v>
      </c>
      <c r="D144" s="60">
        <v>28</v>
      </c>
      <c r="E144" s="51">
        <v>1</v>
      </c>
      <c r="F144" s="51"/>
      <c r="G144" s="51"/>
      <c r="H144" s="51"/>
      <c r="I144" s="57">
        <f t="shared" si="5"/>
        <v>10.8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40</v>
      </c>
      <c r="B145" s="60">
        <v>192</v>
      </c>
      <c r="C145" s="50">
        <v>6</v>
      </c>
      <c r="D145" s="60">
        <v>28</v>
      </c>
      <c r="E145" s="51">
        <v>1</v>
      </c>
      <c r="F145" s="51"/>
      <c r="G145" s="51"/>
      <c r="H145" s="51"/>
      <c r="I145" s="57">
        <f t="shared" si="5"/>
        <v>9.6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45</v>
      </c>
      <c r="B146" s="60">
        <v>205</v>
      </c>
      <c r="C146" s="50">
        <v>7</v>
      </c>
      <c r="D146" s="60">
        <v>22</v>
      </c>
      <c r="E146" s="51">
        <v>1</v>
      </c>
      <c r="F146" s="51"/>
      <c r="G146" s="51"/>
      <c r="H146" s="51"/>
      <c r="I146" s="57">
        <f t="shared" si="5"/>
        <v>8.1999999999999993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50</v>
      </c>
      <c r="B147" s="60">
        <v>219</v>
      </c>
      <c r="C147" s="50">
        <v>8</v>
      </c>
      <c r="D147" s="60">
        <v>17</v>
      </c>
      <c r="E147" s="51">
        <v>1</v>
      </c>
      <c r="F147" s="51"/>
      <c r="G147" s="51"/>
      <c r="H147" s="51"/>
      <c r="I147" s="57">
        <f>IF(A147&lt;&gt;0,(B147-(B146-D146))/(A147-A146),"")</f>
        <v>7.2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55</v>
      </c>
      <c r="B148" s="60">
        <v>232</v>
      </c>
      <c r="C148" s="50">
        <v>9</v>
      </c>
      <c r="D148" s="60">
        <v>13</v>
      </c>
      <c r="E148" s="51">
        <v>1</v>
      </c>
      <c r="F148" s="51"/>
      <c r="G148" s="51"/>
      <c r="H148" s="51"/>
      <c r="I148" s="57">
        <f t="shared" si="5"/>
        <v>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60</v>
      </c>
      <c r="B149" s="60">
        <v>245</v>
      </c>
      <c r="C149" s="50">
        <v>10</v>
      </c>
      <c r="D149" s="60">
        <v>12</v>
      </c>
      <c r="E149" s="51">
        <v>1</v>
      </c>
      <c r="F149" s="51"/>
      <c r="G149" s="51"/>
      <c r="H149" s="51"/>
      <c r="I149" s="57">
        <f t="shared" si="5"/>
        <v>5.2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65</v>
      </c>
      <c r="B150" s="60">
        <v>255</v>
      </c>
      <c r="C150" s="50">
        <v>11</v>
      </c>
      <c r="D150" s="60">
        <v>11</v>
      </c>
      <c r="E150" s="51">
        <v>1</v>
      </c>
      <c r="F150" s="51"/>
      <c r="G150" s="51"/>
      <c r="H150" s="51"/>
      <c r="I150" s="57">
        <f t="shared" si="5"/>
        <v>4.4000000000000004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70</v>
      </c>
      <c r="B151" s="60">
        <v>263</v>
      </c>
      <c r="C151" s="50">
        <v>12</v>
      </c>
      <c r="D151" s="60">
        <v>10</v>
      </c>
      <c r="E151" s="51">
        <v>1</v>
      </c>
      <c r="F151" s="51"/>
      <c r="G151" s="51"/>
      <c r="H151" s="51"/>
      <c r="I151" s="57">
        <f t="shared" si="5"/>
        <v>3.8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75</v>
      </c>
      <c r="B152" s="60">
        <v>270</v>
      </c>
      <c r="C152" s="50">
        <v>13</v>
      </c>
      <c r="D152" s="60">
        <v>9</v>
      </c>
      <c r="E152" s="54">
        <v>1</v>
      </c>
      <c r="F152" s="54"/>
      <c r="G152" s="54"/>
      <c r="H152" s="54"/>
      <c r="I152" s="57">
        <f t="shared" si="5"/>
        <v>3.4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80</v>
      </c>
      <c r="B153" s="60">
        <v>275</v>
      </c>
      <c r="C153" s="50">
        <v>14</v>
      </c>
      <c r="D153" s="60">
        <v>8</v>
      </c>
      <c r="E153" s="54">
        <v>1</v>
      </c>
      <c r="F153" s="54"/>
      <c r="G153" s="54"/>
      <c r="H153" s="54"/>
      <c r="I153" s="57">
        <f t="shared" si="5"/>
        <v>2.8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Pin de Salzmann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20</v>
      </c>
      <c r="B166" s="60">
        <v>3.49</v>
      </c>
      <c r="C166" s="60"/>
      <c r="D166" s="60"/>
      <c r="E166" s="51"/>
      <c r="F166" s="51"/>
      <c r="G166" s="51"/>
      <c r="H166" s="51"/>
      <c r="I166" s="49">
        <f>IFERROR(B166/A166,"")</f>
        <v>0.17450000000000002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25</v>
      </c>
      <c r="B167" s="60">
        <v>35.049999999999997</v>
      </c>
      <c r="C167" s="60"/>
      <c r="D167" s="60"/>
      <c r="E167" s="51"/>
      <c r="F167" s="51"/>
      <c r="G167" s="51"/>
      <c r="H167" s="51"/>
      <c r="I167" s="49">
        <f t="shared" ref="I167:I185" si="6">IF(A167&lt;&gt;0,(B167-(B166-D166))/(A167-A166),"")</f>
        <v>6.3119999999999994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30</v>
      </c>
      <c r="B168" s="60">
        <v>71.430000000000007</v>
      </c>
      <c r="C168" s="60"/>
      <c r="D168" s="60"/>
      <c r="E168" s="51"/>
      <c r="F168" s="51"/>
      <c r="G168" s="51"/>
      <c r="H168" s="51"/>
      <c r="I168" s="49">
        <f t="shared" si="6"/>
        <v>7.2760000000000016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35</v>
      </c>
      <c r="B169" s="60">
        <v>114.2</v>
      </c>
      <c r="C169" s="60"/>
      <c r="D169" s="60"/>
      <c r="E169" s="51"/>
      <c r="F169" s="51"/>
      <c r="G169" s="51"/>
      <c r="H169" s="51"/>
      <c r="I169" s="49">
        <f t="shared" si="6"/>
        <v>8.5539999999999985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40</v>
      </c>
      <c r="B170" s="60">
        <v>158.43</v>
      </c>
      <c r="C170" s="60"/>
      <c r="D170" s="60"/>
      <c r="E170" s="51"/>
      <c r="F170" s="51"/>
      <c r="G170" s="51"/>
      <c r="H170" s="51"/>
      <c r="I170" s="49">
        <f t="shared" si="6"/>
        <v>8.8460000000000001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45</v>
      </c>
      <c r="B171" s="60">
        <v>204.61</v>
      </c>
      <c r="C171" s="60">
        <v>1</v>
      </c>
      <c r="D171" s="60">
        <v>73.989999999999995</v>
      </c>
      <c r="E171" s="51">
        <v>1</v>
      </c>
      <c r="F171" s="51"/>
      <c r="G171" s="51"/>
      <c r="H171" s="51"/>
      <c r="I171" s="49">
        <f t="shared" si="6"/>
        <v>9.2360000000000007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50</v>
      </c>
      <c r="B172" s="60">
        <v>167.72</v>
      </c>
      <c r="C172" s="60"/>
      <c r="D172" s="60"/>
      <c r="E172" s="51"/>
      <c r="F172" s="51"/>
      <c r="G172" s="51"/>
      <c r="H172" s="51"/>
      <c r="I172" s="49">
        <f t="shared" si="6"/>
        <v>7.419999999999999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55</v>
      </c>
      <c r="B173" s="50">
        <v>205.5</v>
      </c>
      <c r="C173" s="50"/>
      <c r="D173" s="50"/>
      <c r="E173" s="51"/>
      <c r="F173" s="51"/>
      <c r="G173" s="51"/>
      <c r="H173" s="51"/>
      <c r="I173" s="49">
        <f t="shared" si="6"/>
        <v>7.556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60</v>
      </c>
      <c r="B174" s="50">
        <v>243.93</v>
      </c>
      <c r="C174" s="50">
        <v>2</v>
      </c>
      <c r="D174" s="50">
        <v>71.69</v>
      </c>
      <c r="E174" s="51">
        <v>1</v>
      </c>
      <c r="F174" s="51"/>
      <c r="G174" s="51"/>
      <c r="H174" s="51"/>
      <c r="I174" s="49">
        <f t="shared" si="6"/>
        <v>7.6860000000000017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65</v>
      </c>
      <c r="B175" s="50">
        <v>205.32</v>
      </c>
      <c r="C175" s="50"/>
      <c r="D175" s="50"/>
      <c r="E175" s="51"/>
      <c r="F175" s="51"/>
      <c r="G175" s="51"/>
      <c r="H175" s="51"/>
      <c r="I175" s="49">
        <f t="shared" si="6"/>
        <v>6.615999999999997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70</v>
      </c>
      <c r="B176" s="50">
        <v>239.86</v>
      </c>
      <c r="C176" s="50"/>
      <c r="D176" s="50"/>
      <c r="E176" s="51"/>
      <c r="F176" s="51"/>
      <c r="G176" s="51"/>
      <c r="H176" s="51"/>
      <c r="I176" s="49">
        <f t="shared" si="6"/>
        <v>6.9080000000000039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75</v>
      </c>
      <c r="B177" s="50">
        <v>274.52999999999997</v>
      </c>
      <c r="C177" s="50">
        <v>3</v>
      </c>
      <c r="D177" s="50">
        <v>75.069999999999993</v>
      </c>
      <c r="E177" s="51">
        <v>1</v>
      </c>
      <c r="F177" s="51"/>
      <c r="G177" s="51"/>
      <c r="H177" s="51"/>
      <c r="I177" s="49">
        <f t="shared" si="6"/>
        <v>6.9339999999999922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80</v>
      </c>
      <c r="B178" s="50">
        <v>231.06</v>
      </c>
      <c r="C178" s="50"/>
      <c r="D178" s="50"/>
      <c r="E178" s="51"/>
      <c r="F178" s="51"/>
      <c r="G178" s="51"/>
      <c r="H178" s="51"/>
      <c r="I178" s="49">
        <f t="shared" si="6"/>
        <v>6.3200000000000047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85</v>
      </c>
      <c r="B179" s="50">
        <v>262.18</v>
      </c>
      <c r="C179" s="50"/>
      <c r="D179" s="50"/>
      <c r="E179" s="51"/>
      <c r="F179" s="51"/>
      <c r="G179" s="51"/>
      <c r="H179" s="51"/>
      <c r="I179" s="49">
        <f t="shared" si="6"/>
        <v>6.2240000000000011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90</v>
      </c>
      <c r="B180" s="50">
        <v>294.31</v>
      </c>
      <c r="C180" s="50">
        <v>4</v>
      </c>
      <c r="D180" s="50">
        <v>65.83</v>
      </c>
      <c r="E180" s="51">
        <v>1</v>
      </c>
      <c r="F180" s="51"/>
      <c r="G180" s="51"/>
      <c r="H180" s="51"/>
      <c r="I180" s="49">
        <f t="shared" si="6"/>
        <v>6.4259999999999993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>
        <v>95</v>
      </c>
      <c r="B181" s="50">
        <v>257.45</v>
      </c>
      <c r="C181" s="50"/>
      <c r="D181" s="50"/>
      <c r="E181" s="51"/>
      <c r="F181" s="51"/>
      <c r="G181" s="51"/>
      <c r="H181" s="51"/>
      <c r="I181" s="49">
        <f t="shared" si="6"/>
        <v>5.7939999999999943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>
        <v>100</v>
      </c>
      <c r="B182" s="50">
        <v>288.07</v>
      </c>
      <c r="C182" s="50">
        <v>5</v>
      </c>
      <c r="D182" s="50">
        <v>92.21</v>
      </c>
      <c r="E182" s="51">
        <v>1</v>
      </c>
      <c r="F182" s="51"/>
      <c r="G182" s="51"/>
      <c r="H182" s="51"/>
      <c r="I182" s="49">
        <f t="shared" si="6"/>
        <v>6.1240000000000006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>
        <v>105</v>
      </c>
      <c r="B183" s="50">
        <v>220.44</v>
      </c>
      <c r="C183" s="50"/>
      <c r="D183" s="50"/>
      <c r="E183" s="51"/>
      <c r="F183" s="51"/>
      <c r="G183" s="51"/>
      <c r="H183" s="51"/>
      <c r="I183" s="49">
        <f t="shared" si="6"/>
        <v>4.9159999999999968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>
        <v>110</v>
      </c>
      <c r="B184" s="50">
        <v>247.1</v>
      </c>
      <c r="C184" s="50">
        <v>6</v>
      </c>
      <c r="D184" s="50">
        <v>244.09</v>
      </c>
      <c r="E184" s="51">
        <v>1</v>
      </c>
      <c r="F184" s="51"/>
      <c r="G184" s="51"/>
      <c r="H184" s="51"/>
      <c r="I184" s="49">
        <f t="shared" si="6"/>
        <v>5.331999999999999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F9" sqref="F9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Douglas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rouge d'Amérique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Chêne pubescent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Chêne sessile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Noyer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Pin de Salzmann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350.01600895263641</v>
      </c>
      <c r="T3" s="59">
        <f>IF('Données projet'!E9&gt;30,$R$33-$H$33,LOOKUP('Données projet'!$E$9,$A$3:$A$203,R3:R203)-LOOKUP('Données projet'!$E$9,$A$3:$A$203,$H$3:$H$203))</f>
        <v>464.08921044376882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242.48830542479988</v>
      </c>
      <c r="AO3" s="59">
        <f>IF('Données projet'!E10&gt;30,$AM$33-$H$33,LOOKUP('Données projet'!$E$10,$A$3:$A$203,AM3:AM203)-LOOKUP('Données projet'!$E$10,$A$3:$A$203,$H$3:$H$203))</f>
        <v>226.11219631227061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402.5435069258703</v>
      </c>
      <c r="BJ3" s="59">
        <f>IF('Données projet'!E11&gt;30,$BH$33-$H$33,LOOKUP('Données projet'!$E$11,$A$3:$A$203,BH3:BH203)-LOOKUP('Données projet'!$E$11,$A$3:$A$203,$H$3:$H$203))</f>
        <v>163.60655195816349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350.91577977538822</v>
      </c>
      <c r="CE3" s="59">
        <f>IF('Données projet'!E12&gt;30,$CC$33-$H$33,LOOKUP('Données projet'!$E$12,$A$3:$A$203,CC3:CC203)-LOOKUP('Données projet'!$E$12,$A$3:$A$203,$H$3:$H$203))</f>
        <v>142.87103313412547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230.38929580146208</v>
      </c>
      <c r="CZ3" s="59">
        <f>IF('Données projet'!E13&gt;30,$CX$33-$H$33,LOOKUP('Données projet'!$E$13,$A$3:$A$203,CX3:CX203)-LOOKUP('Données projet'!$E$13,$A$3:$A$203,$H$3:$H$203))</f>
        <v>227.1847788696258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145.97103392561058</v>
      </c>
      <c r="DU3" s="59">
        <f>IF('Données projet'!E14&gt;30,$DS$33-$H$33,LOOKUP('Données projet'!$E$14,$A$3:$A$203,DS3:DS203)-LOOKUP('Données projet'!$E$14,$A$3:$A$203,$H$3:$H$203))</f>
        <v>62.920713953681172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10.169411764705883</v>
      </c>
      <c r="N4" s="13">
        <f>IF('Données projet'!$A$36&gt;35,N3+M4-V3,IF(A4&lt;'Données projet'!$A$36,$K$205^A4,IF(A4='Données projet'!$A$36,'Données projet'!$B$36,N3+M4-V3)))</f>
        <v>1.3540417154604885</v>
      </c>
      <c r="O4" s="13">
        <f>N4*VLOOKUP('Données projet'!$B$9,Paramètres!$A$1:$I$89,3,0)*VLOOKUP('Données projet'!$B$9,Paramètres!$A$1:$I$89,5,0)</f>
        <v>0.75690931894241309</v>
      </c>
      <c r="P4" s="13">
        <f>EXP(-1.0587+0.8836*LN(O4)+0.284)</f>
        <v>0.36030908494947955</v>
      </c>
      <c r="Q4" s="20">
        <f t="shared" ref="Q4:Q34" si="2">(O4+P4)*0.475*44/12</f>
        <v>1.9458220534450461</v>
      </c>
      <c r="R4" s="59">
        <f t="shared" si="0"/>
        <v>295.27915538677837</v>
      </c>
      <c r="S4" s="59">
        <f ca="1">AVERAGE(OFFSET($R$3,0,0,'Données projet'!$E$9+1,1))-AVERAGE(OFFSET($H$3,0,0,'Données projet'!$E$9+1,1))</f>
        <v>350.01600895263641</v>
      </c>
      <c r="T4" s="59">
        <f>$T$3</f>
        <v>464.08921044376882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2.2999999999999998</v>
      </c>
      <c r="AI4" s="13">
        <f>IF('Données projet'!$A$62&gt;35,AI3+AH4-AQ3,IF(A4&lt;'Données projet'!$A$62,$AF$205^A4,IF(A4='Données projet'!$A$62,'Données projet'!$B$62,AI3+AH4-AQ3)))</f>
        <v>1.3682730833261529</v>
      </c>
      <c r="AJ4" s="13">
        <f>AI4*VLOOKUP('Données projet'!$B$10,Paramètres!$A$1:$I$89,3,0)*VLOOKUP('Données projet'!$B$10,Paramètres!$A$1:$I$89,5,0)</f>
        <v>1.1953233655937274</v>
      </c>
      <c r="AK4" s="13">
        <f>EXP(-1.0587+0.8836*LN(AJ4)+0.284)</f>
        <v>0.53953319778599107</v>
      </c>
      <c r="AL4" s="20">
        <f t="shared" ref="AL4:AL67" si="4">(AJ4+AK4)*0.475*44/12</f>
        <v>3.0215418478863434</v>
      </c>
      <c r="AM4" s="59">
        <f t="shared" ref="AM4:AM67" si="5">AL4+(AD4+AE4)*44/12</f>
        <v>296.35487518121965</v>
      </c>
      <c r="AN4" s="59">
        <f ca="1">AVERAGE(OFFSET($AM$3,0,0,'Données projet'!$E$10+1,1))-AVERAGE(OFFSET($H$3,0,0,'Données projet'!$E$10+1,1))</f>
        <v>242.48830542479988</v>
      </c>
      <c r="AO4" s="59">
        <f>$AO$3</f>
        <v>226.11219631227061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2.9235042735042733</v>
      </c>
      <c r="BD4" s="12">
        <f>IF('Données projet'!$A$88&gt;35,BD3+BC4-BL3,IF(A4&lt;'Données projet'!$A$88,$BA$205^A4,IF(A4='Données projet'!$A$88,'Données projet'!$B$88,BD3+BC4-BL3)))</f>
        <v>1.1608269964373037</v>
      </c>
      <c r="BE4" s="13">
        <f>BD4*VLOOKUP('Données projet'!$B$11,Paramètres!$A$1:$I$89,3,0)*VLOOKUP('Données projet'!$B$11,Paramètres!$A$1:$I$89,5,0)</f>
        <v>1.1770785743874259</v>
      </c>
      <c r="BF4" s="13">
        <f>EXP(-1.0587+0.8836*LN(BE4)+0.284)</f>
        <v>0.53225011573313319</v>
      </c>
      <c r="BG4" s="20">
        <f t="shared" ref="BG4:BG67" si="7">(BE4+BF4)*0.475*44/12</f>
        <v>2.9770808019599735</v>
      </c>
      <c r="BH4" s="59">
        <f t="shared" ref="BH4:BH67" si="8">BG4+(AY4+AZ4)*44/12</f>
        <v>296.31041413529329</v>
      </c>
      <c r="BI4" s="59">
        <f ca="1">AVERAGE(OFFSET($BH$3,0,0,'Données projet'!$E$11+1,1))-AVERAGE(OFFSET($H$3,0,0,'Données projet'!$E$11+1,1))</f>
        <v>402.5435069258703</v>
      </c>
      <c r="BJ4" s="59">
        <f>$BJ$3</f>
        <v>163.60655195816349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2.9235042735042733</v>
      </c>
      <c r="BY4" s="12">
        <f>IF('Données projet'!$A$114&gt;35,BY3+BX4-CG3,IF(A4&lt;'Données projet'!$A$114,$BV$205^A4,IF(A4='Données projet'!$A$114,'Données projet'!$B$114,BY3+BX4-CG3)))</f>
        <v>1.1608269964373037</v>
      </c>
      <c r="BZ4" s="13">
        <f>BY4*VLOOKUP('Données projet'!$B$12,Paramètres!$A$1:$I$89,3,0)*VLOOKUP('Données projet'!$B$12,Paramètres!$A$1:$I$89,5,0)</f>
        <v>1.0503162663764722</v>
      </c>
      <c r="CA4" s="13">
        <f>EXP(-1.0587+0.8836*LN(BZ4)+0.284)</f>
        <v>0.48127189162287909</v>
      </c>
      <c r="CB4" s="20">
        <f t="shared" ref="CB4:CB67" si="10">(BZ4+CA4)*0.475*44/12</f>
        <v>2.6675160418488701</v>
      </c>
      <c r="CC4" s="59">
        <f t="shared" ref="CC4:CC67" si="11">CB4+(BT4+BU4)*44/12</f>
        <v>296.00084937518216</v>
      </c>
      <c r="CD4" s="59">
        <f ca="1">AVERAGE(OFFSET($CC$3,0,0,'Données projet'!$E$12+1,1))-AVERAGE(OFFSET($H$3,0,0,'Données projet'!$E$12+1,1))</f>
        <v>350.91577977538822</v>
      </c>
      <c r="CE4" s="59">
        <f>$CE$3</f>
        <v>142.87103313412547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2.4666666666666668</v>
      </c>
      <c r="CT4" s="12">
        <f>IF('Données projet'!$A$140&gt;35,CT3+CS4-DB3,IF(A4&lt;'Données projet'!$A$140,$CQ$205^A4,IF(A4='Données projet'!$A$140,'Données projet'!$B$140,CT3+CS4-DB3)))</f>
        <v>1.2721747796233518</v>
      </c>
      <c r="CU4" s="17">
        <f>CT4*VLOOKUP('Données projet'!$B$13,Paramètres!$A$1:$I$89,3,0)*VLOOKUP('Données projet'!$B$13,Paramètres!$A$1:$I$89,5,0)</f>
        <v>1.031988181230463</v>
      </c>
      <c r="CV4" s="13">
        <f>EXP(-1.0587+0.8836*LN(CU4)+0.284)</f>
        <v>0.47384363432899212</v>
      </c>
      <c r="CW4" s="20">
        <f t="shared" ref="CW4:CW67" si="13">(CU4+CV4)*0.475*44/12</f>
        <v>2.6226570787660513</v>
      </c>
      <c r="CX4" s="59">
        <f t="shared" ref="CX4:CX67" si="14">CW4+(CO4+CP4)*44/12</f>
        <v>295.95599041209937</v>
      </c>
      <c r="CY4" s="59">
        <f ca="1">AVERAGE(OFFSET($CX$3,0,0,'Données projet'!$E$13+1,1))-AVERAGE(OFFSET($H$3,0,0,'Données projet'!$E$13+1,1))</f>
        <v>230.38929580146208</v>
      </c>
      <c r="CZ4" s="59">
        <f>$CZ$3</f>
        <v>227.1847788696258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0.17450000000000002</v>
      </c>
      <c r="DO4" s="12">
        <f>IF('Données projet'!$A$166&gt;35,DO3+DN4-DW3,IF(A4&lt;'Données projet'!$A$166,$DL$205^A4,IF(A4='Données projet'!$A$166,'Données projet'!$B$166,DO3+DN4-DW3)))</f>
        <v>1.06448922886794</v>
      </c>
      <c r="DP4" s="17">
        <f>DO4*VLOOKUP('Données projet'!$B$14,Paramètres!$A$1:$I$89,3,0)*VLOOKUP('Données projet'!$B$14,Paramètres!$A$1:$I$89,5,0)</f>
        <v>0.63656455886302821</v>
      </c>
      <c r="DQ4" s="13">
        <f>EXP(-1.0587+0.8836*LN(DP4)+0.284)</f>
        <v>0.30919129510887516</v>
      </c>
      <c r="DR4" s="20">
        <f t="shared" ref="DR4:DR67" si="16">(DP4+DQ4)*0.475*44/12</f>
        <v>1.6471914456677315</v>
      </c>
      <c r="DS4" s="59">
        <f t="shared" ref="DS4:DS67" si="17">DR4+(DJ4+DK4)*44/12</f>
        <v>294.98052477900103</v>
      </c>
      <c r="DT4" s="59">
        <f ca="1">AVERAGE(OFFSET($DS$3,0,0,'Données projet'!$E$14+1,1))-AVERAGE(OFFSET($H$3,0,0,'Données projet'!$E$14+1,1))</f>
        <v>145.97103392561058</v>
      </c>
      <c r="DU4" s="59">
        <f>$DU$3</f>
        <v>62.920713953681172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10.169411764705883</v>
      </c>
      <c r="N5" s="13">
        <f>IF('Données projet'!$A$36&gt;35,N4+M5-V4,IF(A5&lt;'Données projet'!$A$36,$K$205^A5,IF(A5='Données projet'!$A$36,'Données projet'!$B$36,N4+M5-V4)))</f>
        <v>1.8334289672071824</v>
      </c>
      <c r="O5" s="13">
        <f>N5*VLOOKUP('Données projet'!$B$9,Paramètres!$A$1:$I$89,3,0)*VLOOKUP('Données projet'!$B$9,Paramètres!$A$1:$I$89,5,0)</f>
        <v>1.024886792668815</v>
      </c>
      <c r="P5" s="13">
        <f t="shared" ref="P5:P68" si="33">EXP(-1.0587+0.8836*LN(O5)+0.284)</f>
        <v>0.47096137102098057</v>
      </c>
      <c r="Q5" s="20">
        <f t="shared" si="2"/>
        <v>2.6052688850930608</v>
      </c>
      <c r="R5" s="59">
        <f t="shared" si="0"/>
        <v>295.93860221842635</v>
      </c>
      <c r="S5" s="59">
        <f ca="1">AVERAGE(OFFSET($R$3,0,0,'Données projet'!$E$9+1,1))-AVERAGE(OFFSET($H$3,0,0,'Données projet'!$E$9+1,1))</f>
        <v>350.01600895263641</v>
      </c>
      <c r="T5" s="59">
        <f t="shared" ref="T5:T68" si="34">$T$3</f>
        <v>464.08921044376882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2.2999999999999998</v>
      </c>
      <c r="AI5" s="13">
        <f>IF('Données projet'!$A$62&gt;35,AI4+AH5-AQ4,IF(A5&lt;'Données projet'!$A$62,$AF$205^A5,IF(A5='Données projet'!$A$62,'Données projet'!$B$62,AI4+AH5-AQ4)))</f>
        <v>1.8721712305548575</v>
      </c>
      <c r="AJ5" s="13">
        <f>AI5*VLOOKUP('Données projet'!$B$10,Paramètres!$A$1:$I$89,3,0)*VLOOKUP('Données projet'!$B$10,Paramètres!$A$1:$I$89,5,0)</f>
        <v>1.6355287870127238</v>
      </c>
      <c r="AK5" s="13">
        <f t="shared" ref="AK5:AK68" si="35">EXP(-1.0587+0.8836*LN(AJ5)+0.284)</f>
        <v>0.71177125311828726</v>
      </c>
      <c r="AL5" s="20">
        <f t="shared" si="4"/>
        <v>4.0882142365615106</v>
      </c>
      <c r="AM5" s="59">
        <f t="shared" si="5"/>
        <v>297.42154756989481</v>
      </c>
      <c r="AN5" s="59">
        <f ca="1">AVERAGE(OFFSET($AM$3,0,0,'Données projet'!$E$10+1,1))-AVERAGE(OFFSET($H$3,0,0,'Données projet'!$E$10+1,1))</f>
        <v>242.48830542479988</v>
      </c>
      <c r="AO5" s="59">
        <f t="shared" ref="AO5:AO68" si="36">$AO$3</f>
        <v>226.11219631227061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2.9235042735042733</v>
      </c>
      <c r="BD5" s="12">
        <f>IF('Données projet'!$A$88&gt;35,BD4+BC5-BL4,IF(A5&lt;'Données projet'!$A$88,$BA$205^A5,IF(A5='Données projet'!$A$88,'Données projet'!$B$88,BD4+BC5-BL4)))</f>
        <v>1.3475193156576519</v>
      </c>
      <c r="BE5" s="13">
        <f>BD5*VLOOKUP('Données projet'!$B$11,Paramètres!$A$1:$I$89,3,0)*VLOOKUP('Données projet'!$B$11,Paramètres!$A$1:$I$89,5,0)</f>
        <v>1.3663845860768591</v>
      </c>
      <c r="BF5" s="13">
        <f t="shared" ref="BF5:BF68" si="37">EXP(-1.0587+0.8836*LN(BE5)+0.284)</f>
        <v>0.60721756676800354</v>
      </c>
      <c r="BG5" s="20">
        <f t="shared" si="7"/>
        <v>3.4373570828714688</v>
      </c>
      <c r="BH5" s="59">
        <f t="shared" si="8"/>
        <v>296.77069041620479</v>
      </c>
      <c r="BI5" s="59">
        <f ca="1">AVERAGE(OFFSET($BH$3,0,0,'Données projet'!$E$11+1,1))-AVERAGE(OFFSET($H$3,0,0,'Données projet'!$E$11+1,1))</f>
        <v>402.5435069258703</v>
      </c>
      <c r="BJ5" s="59">
        <f t="shared" ref="BJ5:BJ68" si="38">$BJ$3</f>
        <v>163.60655195816349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2.9235042735042733</v>
      </c>
      <c r="BY5" s="12">
        <f>IF('Données projet'!$A$114&gt;35,BY4+BX5-CG4,IF(A5&lt;'Données projet'!$A$114,$BV$205^A5,IF(A5='Données projet'!$A$114,'Données projet'!$B$114,BY4+BX5-CG4)))</f>
        <v>1.3475193156576519</v>
      </c>
      <c r="BZ5" s="13">
        <f>BY5*VLOOKUP('Données projet'!$B$12,Paramètres!$A$1:$I$89,3,0)*VLOOKUP('Données projet'!$B$12,Paramètres!$A$1:$I$89,5,0)</f>
        <v>1.2192354768070435</v>
      </c>
      <c r="CA5" s="13">
        <f t="shared" ref="CA5:CA68" si="39">EXP(-1.0587+0.8836*LN(BZ5)+0.284)</f>
        <v>0.54905905766229002</v>
      </c>
      <c r="CB5" s="20">
        <f t="shared" si="10"/>
        <v>3.0797796475340888</v>
      </c>
      <c r="CC5" s="59">
        <f t="shared" si="11"/>
        <v>296.41311298086742</v>
      </c>
      <c r="CD5" s="59">
        <f ca="1">AVERAGE(OFFSET($CC$3,0,0,'Données projet'!$E$12+1,1))-AVERAGE(OFFSET($H$3,0,0,'Données projet'!$E$12+1,1))</f>
        <v>350.91577977538822</v>
      </c>
      <c r="CE5" s="59">
        <f t="shared" ref="CE5:CE68" si="40">$CE$3</f>
        <v>142.87103313412547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2.4666666666666668</v>
      </c>
      <c r="CT5" s="12">
        <f>IF('Données projet'!$A$140&gt;35,CT4+CS5-DB4,IF(A5&lt;'Données projet'!$A$140,$CQ$205^A5,IF(A5='Données projet'!$A$140,'Données projet'!$B$140,CT4+CS5-DB4)))</f>
        <v>1.6184286699097237</v>
      </c>
      <c r="CU5" s="17">
        <f>CT5*VLOOKUP('Données projet'!$B$13,Paramètres!$A$1:$I$89,3,0)*VLOOKUP('Données projet'!$B$13,Paramètres!$A$1:$I$89,5,0)</f>
        <v>1.312869337030768</v>
      </c>
      <c r="CV5" s="13">
        <f t="shared" ref="CV5:CV68" si="41">EXP(-1.0587+0.8836*LN(CU5)+0.284)</f>
        <v>0.58615515240543437</v>
      </c>
      <c r="CW5" s="20">
        <f t="shared" si="13"/>
        <v>3.3074676524347191</v>
      </c>
      <c r="CX5" s="59">
        <f t="shared" si="14"/>
        <v>296.64080098576801</v>
      </c>
      <c r="CY5" s="59">
        <f ca="1">AVERAGE(OFFSET($CX$3,0,0,'Données projet'!$E$13+1,1))-AVERAGE(OFFSET($H$3,0,0,'Données projet'!$E$13+1,1))</f>
        <v>230.38929580146208</v>
      </c>
      <c r="CZ5" s="59">
        <f t="shared" ref="CZ5:CZ68" si="42">$CZ$3</f>
        <v>227.1847788696258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0.17450000000000002</v>
      </c>
      <c r="DO5" s="12">
        <f>IF('Données projet'!$A$166&gt;35,DO4+DN5-DW4,IF(A5&lt;'Données projet'!$A$166,$DL$205^A5,IF(A5='Données projet'!$A$166,'Données projet'!$B$166,DO4+DN5-DW4)))</f>
        <v>1.1331373183758615</v>
      </c>
      <c r="DP5" s="17">
        <f>DO5*VLOOKUP('Données projet'!$B$14,Paramètres!$A$1:$I$89,3,0)*VLOOKUP('Données projet'!$B$14,Paramètres!$A$1:$I$89,5,0)</f>
        <v>0.67761611638876529</v>
      </c>
      <c r="DQ5" s="13">
        <f t="shared" ref="DQ5:DQ68" si="43">EXP(-1.0587+0.8836*LN(DP5)+0.284)</f>
        <v>0.3267452522171011</v>
      </c>
      <c r="DR5" s="20">
        <f t="shared" si="16"/>
        <v>1.7492627169885504</v>
      </c>
      <c r="DS5" s="59">
        <f t="shared" si="17"/>
        <v>295.08259605032185</v>
      </c>
      <c r="DT5" s="59">
        <f ca="1">AVERAGE(OFFSET($DS$3,0,0,'Données projet'!$E$14+1,1))-AVERAGE(OFFSET($H$3,0,0,'Données projet'!$E$14+1,1))</f>
        <v>145.97103392561058</v>
      </c>
      <c r="DU5" s="59">
        <f t="shared" ref="DU5:DU68" si="44">$DU$3</f>
        <v>62.920713953681172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10.169411764705883</v>
      </c>
      <c r="N6" s="13">
        <f>IF('Données projet'!$A$36&gt;35,N5+M6-V5,IF(A6&lt;'Données projet'!$A$36,$K$205^A6,IF(A6='Données projet'!$A$36,'Données projet'!$B$36,N5+M6-V5)))</f>
        <v>2.4825393039321648</v>
      </c>
      <c r="O6" s="13">
        <f>N6*VLOOKUP('Données projet'!$B$9,Paramètres!$A$1:$I$89,3,0)*VLOOKUP('Données projet'!$B$9,Paramètres!$A$1:$I$89,5,0)</f>
        <v>1.3877394708980801</v>
      </c>
      <c r="P6" s="13">
        <f t="shared" si="33"/>
        <v>0.61559539367446658</v>
      </c>
      <c r="Q6" s="20">
        <f t="shared" si="2"/>
        <v>3.4891415557971848</v>
      </c>
      <c r="R6" s="59">
        <f t="shared" si="0"/>
        <v>296.82247488913049</v>
      </c>
      <c r="S6" s="59">
        <f ca="1">AVERAGE(OFFSET($R$3,0,0,'Données projet'!$E$9+1,1))-AVERAGE(OFFSET($H$3,0,0,'Données projet'!$E$9+1,1))</f>
        <v>350.01600895263641</v>
      </c>
      <c r="T6" s="59">
        <f t="shared" si="34"/>
        <v>464.08921044376882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2.2999999999999998</v>
      </c>
      <c r="AI6" s="13">
        <f>IF('Données projet'!$A$62&gt;35,AI5+AH6-AQ5,IF(A6&lt;'Données projet'!$A$62,$AF$205^A6,IF(A6='Données projet'!$A$62,'Données projet'!$B$62,AI5+AH6-AQ5)))</f>
        <v>2.5616415021458128</v>
      </c>
      <c r="AJ6" s="13">
        <f>AI6*VLOOKUP('Données projet'!$B$10,Paramètres!$A$1:$I$89,3,0)*VLOOKUP('Données projet'!$B$10,Paramètres!$A$1:$I$89,5,0)</f>
        <v>2.237850016274582</v>
      </c>
      <c r="AK6" s="13">
        <f t="shared" si="35"/>
        <v>0.93899377989068589</v>
      </c>
      <c r="AL6" s="20">
        <f t="shared" si="4"/>
        <v>5.5330029449878415</v>
      </c>
      <c r="AM6" s="59">
        <f t="shared" si="5"/>
        <v>298.86633627832117</v>
      </c>
      <c r="AN6" s="59">
        <f ca="1">AVERAGE(OFFSET($AM$3,0,0,'Données projet'!$E$10+1,1))-AVERAGE(OFFSET($H$3,0,0,'Données projet'!$E$10+1,1))</f>
        <v>242.48830542479988</v>
      </c>
      <c r="AO6" s="59">
        <f t="shared" si="36"/>
        <v>226.11219631227061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2.9235042735042733</v>
      </c>
      <c r="BD6" s="12">
        <f>IF('Données projet'!$A$88&gt;35,BD5+BC6-BL5,IF(A6&lt;'Données projet'!$A$88,$BA$205^A6,IF(A6='Données projet'!$A$88,'Données projet'!$B$88,BD5+BC6-BL5)))</f>
        <v>1.5642367998361231</v>
      </c>
      <c r="BE6" s="13">
        <f>BD6*VLOOKUP('Données projet'!$B$11,Paramètres!$A$1:$I$89,3,0)*VLOOKUP('Données projet'!$B$11,Paramètres!$A$1:$I$89,5,0)</f>
        <v>1.5861361150338289</v>
      </c>
      <c r="BF6" s="13">
        <f t="shared" si="37"/>
        <v>0.69274418641277524</v>
      </c>
      <c r="BG6" s="20">
        <f t="shared" si="7"/>
        <v>3.969049858352836</v>
      </c>
      <c r="BH6" s="59">
        <f t="shared" si="8"/>
        <v>297.30238319168615</v>
      </c>
      <c r="BI6" s="59">
        <f ca="1">AVERAGE(OFFSET($BH$3,0,0,'Données projet'!$E$11+1,1))-AVERAGE(OFFSET($H$3,0,0,'Données projet'!$E$11+1,1))</f>
        <v>402.5435069258703</v>
      </c>
      <c r="BJ6" s="59">
        <f t="shared" si="38"/>
        <v>163.60655195816349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2.9235042735042733</v>
      </c>
      <c r="BY6" s="12">
        <f>IF('Données projet'!$A$114&gt;35,BY5+BX6-CG5,IF(A6&lt;'Données projet'!$A$114,$BV$205^A6,IF(A6='Données projet'!$A$114,'Données projet'!$B$114,BY5+BX6-CG5)))</f>
        <v>1.5642367998361231</v>
      </c>
      <c r="BZ6" s="13">
        <f>BY6*VLOOKUP('Données projet'!$B$12,Paramètres!$A$1:$I$89,3,0)*VLOOKUP('Données projet'!$B$12,Paramètres!$A$1:$I$89,5,0)</f>
        <v>1.415321456491724</v>
      </c>
      <c r="CA6" s="13">
        <f t="shared" si="39"/>
        <v>0.62639404887004735</v>
      </c>
      <c r="CB6" s="20">
        <f t="shared" si="10"/>
        <v>3.5559878385050854</v>
      </c>
      <c r="CC6" s="59">
        <f t="shared" si="11"/>
        <v>296.88932117183839</v>
      </c>
      <c r="CD6" s="59">
        <f ca="1">AVERAGE(OFFSET($CC$3,0,0,'Données projet'!$E$12+1,1))-AVERAGE(OFFSET($H$3,0,0,'Données projet'!$E$12+1,1))</f>
        <v>350.91577977538822</v>
      </c>
      <c r="CE6" s="59">
        <f t="shared" si="40"/>
        <v>142.87103313412547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2.4666666666666668</v>
      </c>
      <c r="CT6" s="12">
        <f>IF('Données projet'!$A$140&gt;35,CT5+CS6-DB5,IF(A6&lt;'Données projet'!$A$140,$CQ$205^A6,IF(A6='Données projet'!$A$140,'Données projet'!$B$140,CT5+CS6-DB5)))</f>
        <v>2.0589241364785171</v>
      </c>
      <c r="CU6" s="17">
        <f>CT6*VLOOKUP('Données projet'!$B$13,Paramètres!$A$1:$I$89,3,0)*VLOOKUP('Données projet'!$B$13,Paramètres!$A$1:$I$89,5,0)</f>
        <v>1.6701992595113733</v>
      </c>
      <c r="CV6" s="13">
        <f t="shared" si="41"/>
        <v>0.72508700718957031</v>
      </c>
      <c r="CW6" s="20">
        <f t="shared" si="13"/>
        <v>4.1717902478374764</v>
      </c>
      <c r="CX6" s="59">
        <f t="shared" si="14"/>
        <v>297.50512358117078</v>
      </c>
      <c r="CY6" s="59">
        <f ca="1">AVERAGE(OFFSET($CX$3,0,0,'Données projet'!$E$13+1,1))-AVERAGE(OFFSET($H$3,0,0,'Données projet'!$E$13+1,1))</f>
        <v>230.38929580146208</v>
      </c>
      <c r="CZ6" s="59">
        <f t="shared" si="42"/>
        <v>227.1847788696258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0.17450000000000002</v>
      </c>
      <c r="DO6" s="12">
        <f>IF('Données projet'!$A$166&gt;35,DO5+DN6-DW5,IF(A6&lt;'Données projet'!$A$166,$DL$205^A6,IF(A6='Données projet'!$A$166,'Données projet'!$B$166,DO5+DN6-DW5)))</f>
        <v>1.2062124702394061</v>
      </c>
      <c r="DP6" s="17">
        <f>DO6*VLOOKUP('Données projet'!$B$14,Paramètres!$A$1:$I$89,3,0)*VLOOKUP('Données projet'!$B$14,Paramètres!$A$1:$I$89,5,0)</f>
        <v>0.72131505720316491</v>
      </c>
      <c r="DQ6" s="13">
        <f t="shared" si="43"/>
        <v>0.3452958137415314</v>
      </c>
      <c r="DR6" s="20">
        <f t="shared" si="16"/>
        <v>1.8576806002286792</v>
      </c>
      <c r="DS6" s="59">
        <f t="shared" si="17"/>
        <v>295.19101393356198</v>
      </c>
      <c r="DT6" s="59">
        <f ca="1">AVERAGE(OFFSET($DS$3,0,0,'Données projet'!$E$14+1,1))-AVERAGE(OFFSET($H$3,0,0,'Données projet'!$E$14+1,1))</f>
        <v>145.97103392561058</v>
      </c>
      <c r="DU6" s="59">
        <f t="shared" si="44"/>
        <v>62.920713953681172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10.169411764705883</v>
      </c>
      <c r="N7" s="13">
        <f>IF('Données projet'!$A$36&gt;35,N6+M7-V6,IF(A7&lt;'Données projet'!$A$36,$K$205^A7,IF(A7='Données projet'!$A$36,'Données projet'!$B$36,N6+M7-V6)))</f>
        <v>3.3614617777943954</v>
      </c>
      <c r="O7" s="13">
        <f>N7*VLOOKUP('Données projet'!$B$9,Paramètres!$A$1:$I$89,3,0)*VLOOKUP('Données projet'!$B$9,Paramètres!$A$1:$I$89,5,0)</f>
        <v>1.8790571337870672</v>
      </c>
      <c r="P7" s="13">
        <f t="shared" si="33"/>
        <v>0.80464707305334315</v>
      </c>
      <c r="Q7" s="20">
        <f t="shared" si="2"/>
        <v>4.6741181602470476</v>
      </c>
      <c r="R7" s="59">
        <f t="shared" si="0"/>
        <v>298.00745149358033</v>
      </c>
      <c r="S7" s="59">
        <f ca="1">AVERAGE(OFFSET($R$3,0,0,'Données projet'!$E$9+1,1))-AVERAGE(OFFSET($H$3,0,0,'Données projet'!$E$9+1,1))</f>
        <v>350.01600895263641</v>
      </c>
      <c r="T7" s="59">
        <f t="shared" si="34"/>
        <v>464.08921044376882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2.2999999999999998</v>
      </c>
      <c r="AI7" s="13">
        <f>IF('Données projet'!$A$62&gt;35,AI6+AH7-AQ6,IF(A7&lt;'Données projet'!$A$62,$AF$205^A7,IF(A7='Données projet'!$A$62,'Données projet'!$B$62,AI6+AH7-AQ6)))</f>
        <v>3.5050251165172894</v>
      </c>
      <c r="AJ7" s="13">
        <f>AI7*VLOOKUP('Données projet'!$B$10,Paramètres!$A$1:$I$89,3,0)*VLOOKUP('Données projet'!$B$10,Paramètres!$A$1:$I$89,5,0)</f>
        <v>3.0619899417895042</v>
      </c>
      <c r="AK7" s="13">
        <f t="shared" si="35"/>
        <v>1.2387537636714157</v>
      </c>
      <c r="AL7" s="20">
        <f t="shared" si="4"/>
        <v>7.4904619536777686</v>
      </c>
      <c r="AM7" s="59">
        <f t="shared" si="5"/>
        <v>300.82379528701108</v>
      </c>
      <c r="AN7" s="59">
        <f ca="1">AVERAGE(OFFSET($AM$3,0,0,'Données projet'!$E$10+1,1))-AVERAGE(OFFSET($H$3,0,0,'Données projet'!$E$10+1,1))</f>
        <v>242.48830542479988</v>
      </c>
      <c r="AO7" s="59">
        <f t="shared" si="36"/>
        <v>226.11219631227061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2.9235042735042733</v>
      </c>
      <c r="BD7" s="12">
        <f>IF('Données projet'!$A$88&gt;35,BD6+BC7-BL6,IF(A7&lt;'Données projet'!$A$88,$BA$205^A7,IF(A7='Données projet'!$A$88,'Données projet'!$B$88,BD6+BC7-BL6)))</f>
        <v>1.8158083060704666</v>
      </c>
      <c r="BE7" s="13">
        <f>BD7*VLOOKUP('Données projet'!$B$11,Paramètres!$A$1:$I$89,3,0)*VLOOKUP('Données projet'!$B$11,Paramètres!$A$1:$I$89,5,0)</f>
        <v>1.8412296223554532</v>
      </c>
      <c r="BF7" s="13">
        <f t="shared" si="37"/>
        <v>0.7903172340072443</v>
      </c>
      <c r="BG7" s="20">
        <f t="shared" si="7"/>
        <v>4.5832774414983648</v>
      </c>
      <c r="BH7" s="59">
        <f t="shared" si="8"/>
        <v>297.91661077483167</v>
      </c>
      <c r="BI7" s="59">
        <f ca="1">AVERAGE(OFFSET($BH$3,0,0,'Données projet'!$E$11+1,1))-AVERAGE(OFFSET($H$3,0,0,'Données projet'!$E$11+1,1))</f>
        <v>402.5435069258703</v>
      </c>
      <c r="BJ7" s="59">
        <f t="shared" si="38"/>
        <v>163.60655195816349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2.9235042735042733</v>
      </c>
      <c r="BY7" s="12">
        <f>IF('Données projet'!$A$114&gt;35,BY6+BX7-CG6,IF(A7&lt;'Données projet'!$A$114,$BV$205^A7,IF(A7='Données projet'!$A$114,'Données projet'!$B$114,BY6+BX7-CG6)))</f>
        <v>1.8158083060704666</v>
      </c>
      <c r="BZ7" s="13">
        <f>BY7*VLOOKUP('Données projet'!$B$12,Paramètres!$A$1:$I$89,3,0)*VLOOKUP('Données projet'!$B$12,Paramètres!$A$1:$I$89,5,0)</f>
        <v>1.6429433553325583</v>
      </c>
      <c r="CA7" s="13">
        <f t="shared" si="39"/>
        <v>0.71462167681995736</v>
      </c>
      <c r="CB7" s="20">
        <f t="shared" si="10"/>
        <v>4.1060924309989639</v>
      </c>
      <c r="CC7" s="59">
        <f t="shared" si="11"/>
        <v>297.43942576433227</v>
      </c>
      <c r="CD7" s="59">
        <f ca="1">AVERAGE(OFFSET($CC$3,0,0,'Données projet'!$E$12+1,1))-AVERAGE(OFFSET($H$3,0,0,'Données projet'!$E$12+1,1))</f>
        <v>350.91577977538822</v>
      </c>
      <c r="CE7" s="59">
        <f t="shared" si="40"/>
        <v>142.87103313412547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2.4666666666666668</v>
      </c>
      <c r="CT7" s="12">
        <f>IF('Données projet'!$A$140&gt;35,CT6+CS7-DB6,IF(A7&lt;'Données projet'!$A$140,$CQ$205^A7,IF(A7='Données projet'!$A$140,'Données projet'!$B$140,CT6+CS7-DB6)))</f>
        <v>2.6193113595857573</v>
      </c>
      <c r="CU7" s="17">
        <f>CT7*VLOOKUP('Données projet'!$B$13,Paramètres!$A$1:$I$89,3,0)*VLOOKUP('Données projet'!$B$13,Paramètres!$A$1:$I$89,5,0)</f>
        <v>2.1247853748959664</v>
      </c>
      <c r="CV7" s="13">
        <f t="shared" si="41"/>
        <v>0.89694881267796833</v>
      </c>
      <c r="CW7" s="20">
        <f t="shared" si="13"/>
        <v>5.2628537100246024</v>
      </c>
      <c r="CX7" s="59">
        <f t="shared" si="14"/>
        <v>298.59618704335793</v>
      </c>
      <c r="CY7" s="59">
        <f ca="1">AVERAGE(OFFSET($CX$3,0,0,'Données projet'!$E$13+1,1))-AVERAGE(OFFSET($H$3,0,0,'Données projet'!$E$13+1,1))</f>
        <v>230.38929580146208</v>
      </c>
      <c r="CZ7" s="59">
        <f t="shared" si="42"/>
        <v>227.1847788696258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0.17450000000000002</v>
      </c>
      <c r="DO7" s="12">
        <f>IF('Données projet'!$A$166&gt;35,DO6+DN7-DW6,IF(A7&lt;'Données projet'!$A$166,$DL$205^A7,IF(A7='Données projet'!$A$166,'Données projet'!$B$166,DO6+DN7-DW6)))</f>
        <v>1.2840001822960385</v>
      </c>
      <c r="DP7" s="17">
        <f>DO7*VLOOKUP('Données projet'!$B$14,Paramètres!$A$1:$I$89,3,0)*VLOOKUP('Données projet'!$B$14,Paramètres!$A$1:$I$89,5,0)</f>
        <v>0.76783210901303112</v>
      </c>
      <c r="DQ7" s="13">
        <f t="shared" si="43"/>
        <v>0.36489956067733842</v>
      </c>
      <c r="DR7" s="20">
        <f t="shared" si="16"/>
        <v>1.9728409913773934</v>
      </c>
      <c r="DS7" s="59">
        <f t="shared" si="17"/>
        <v>295.3061743247107</v>
      </c>
      <c r="DT7" s="59">
        <f ca="1">AVERAGE(OFFSET($DS$3,0,0,'Données projet'!$E$14+1,1))-AVERAGE(OFFSET($H$3,0,0,'Données projet'!$E$14+1,1))</f>
        <v>145.97103392561058</v>
      </c>
      <c r="DU7" s="59">
        <f t="shared" si="44"/>
        <v>62.920713953681172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10.169411764705883</v>
      </c>
      <c r="N8" s="13">
        <f>IF('Données projet'!$A$36&gt;35,N7+M8-V7,IF(A8&lt;'Données projet'!$A$36,$K$205^A8,IF(A8='Données projet'!$A$36,'Données projet'!$B$36,N7+M8-V7)))</f>
        <v>4.5515594720595862</v>
      </c>
      <c r="O8" s="13">
        <f>N8*VLOOKUP('Données projet'!$B$9,Paramètres!$A$1:$I$89,3,0)*VLOOKUP('Données projet'!$B$9,Paramètres!$A$1:$I$89,5,0)</f>
        <v>2.5443217448813087</v>
      </c>
      <c r="P8" s="13">
        <f t="shared" si="33"/>
        <v>1.051757239944024</v>
      </c>
      <c r="Q8" s="20">
        <f t="shared" si="2"/>
        <v>6.2631708985707881</v>
      </c>
      <c r="R8" s="59">
        <f t="shared" si="0"/>
        <v>299.59650423190408</v>
      </c>
      <c r="S8" s="59">
        <f ca="1">AVERAGE(OFFSET($R$3,0,0,'Données projet'!$E$9+1,1))-AVERAGE(OFFSET($H$3,0,0,'Données projet'!$E$9+1,1))</f>
        <v>350.01600895263641</v>
      </c>
      <c r="T8" s="59">
        <f t="shared" si="34"/>
        <v>464.08921044376882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2.2999999999999998</v>
      </c>
      <c r="AI8" s="13">
        <f>IF('Données projet'!$A$62&gt;35,AI7+AH8-AQ7,IF(A8&lt;'Données projet'!$A$62,$AF$205^A8,IF(A8='Données projet'!$A$62,'Données projet'!$B$62,AI7+AH8-AQ7)))</f>
        <v>4.79583152331272</v>
      </c>
      <c r="AJ8" s="13">
        <f>AI8*VLOOKUP('Données projet'!$B$10,Paramètres!$A$1:$I$89,3,0)*VLOOKUP('Données projet'!$B$10,Paramètres!$A$1:$I$89,5,0)</f>
        <v>4.189638418765993</v>
      </c>
      <c r="AK8" s="13">
        <f t="shared" si="35"/>
        <v>1.6342077230679199</v>
      </c>
      <c r="AL8" s="20">
        <f t="shared" si="4"/>
        <v>10.143198697027399</v>
      </c>
      <c r="AM8" s="59">
        <f t="shared" si="5"/>
        <v>303.47653203036072</v>
      </c>
      <c r="AN8" s="59">
        <f ca="1">AVERAGE(OFFSET($AM$3,0,0,'Données projet'!$E$10+1,1))-AVERAGE(OFFSET($H$3,0,0,'Données projet'!$E$10+1,1))</f>
        <v>242.48830542479988</v>
      </c>
      <c r="AO8" s="59">
        <f t="shared" si="36"/>
        <v>226.11219631227061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2.9235042735042733</v>
      </c>
      <c r="BD8" s="12">
        <f>IF('Données projet'!$A$88&gt;35,BD7+BC8-BL7,IF(A8&lt;'Données projet'!$A$88,$BA$205^A8,IF(A8='Données projet'!$A$88,'Données projet'!$B$88,BD7+BC8-BL7)))</f>
        <v>2.1078393020416879</v>
      </c>
      <c r="BE8" s="13">
        <f>BD8*VLOOKUP('Données projet'!$B$11,Paramètres!$A$1:$I$89,3,0)*VLOOKUP('Données projet'!$B$11,Paramètres!$A$1:$I$89,5,0)</f>
        <v>2.1373490522702716</v>
      </c>
      <c r="BF8" s="13">
        <f t="shared" si="37"/>
        <v>0.90163344943134527</v>
      </c>
      <c r="BG8" s="20">
        <f t="shared" si="7"/>
        <v>5.2928945237969822</v>
      </c>
      <c r="BH8" s="59">
        <f t="shared" si="8"/>
        <v>298.62622785713029</v>
      </c>
      <c r="BI8" s="59">
        <f ca="1">AVERAGE(OFFSET($BH$3,0,0,'Données projet'!$E$11+1,1))-AVERAGE(OFFSET($H$3,0,0,'Données projet'!$E$11+1,1))</f>
        <v>402.5435069258703</v>
      </c>
      <c r="BJ8" s="59">
        <f t="shared" si="38"/>
        <v>163.60655195816349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2.9235042735042733</v>
      </c>
      <c r="BY8" s="12">
        <f>IF('Données projet'!$A$114&gt;35,BY7+BX8-CG7,IF(A8&lt;'Données projet'!$A$114,$BV$205^A8,IF(A8='Données projet'!$A$114,'Données projet'!$B$114,BY7+BX8-CG7)))</f>
        <v>2.1078393020416879</v>
      </c>
      <c r="BZ8" s="13">
        <f>BY8*VLOOKUP('Données projet'!$B$12,Paramètres!$A$1:$I$89,3,0)*VLOOKUP('Données projet'!$B$12,Paramètres!$A$1:$I$89,5,0)</f>
        <v>1.9071730004873191</v>
      </c>
      <c r="CA8" s="13">
        <f t="shared" si="39"/>
        <v>0.81527616985217366</v>
      </c>
      <c r="CB8" s="20">
        <f t="shared" si="10"/>
        <v>4.7415989716746161</v>
      </c>
      <c r="CC8" s="59">
        <f t="shared" si="11"/>
        <v>298.07493230500791</v>
      </c>
      <c r="CD8" s="59">
        <f ca="1">AVERAGE(OFFSET($CC$3,0,0,'Données projet'!$E$12+1,1))-AVERAGE(OFFSET($H$3,0,0,'Données projet'!$E$12+1,1))</f>
        <v>350.91577977538822</v>
      </c>
      <c r="CE8" s="59">
        <f t="shared" si="40"/>
        <v>142.87103313412547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2.4666666666666668</v>
      </c>
      <c r="CT8" s="12">
        <f>IF('Données projet'!$A$140&gt;35,CT7+CS8-DB7,IF(A8&lt;'Données projet'!$A$140,$CQ$205^A8,IF(A8='Données projet'!$A$140,'Données projet'!$B$140,CT7+CS8-DB7)))</f>
        <v>3.332221851645953</v>
      </c>
      <c r="CU8" s="17">
        <f>CT8*VLOOKUP('Données projet'!$B$13,Paramètres!$A$1:$I$89,3,0)*VLOOKUP('Données projet'!$B$13,Paramètres!$A$1:$I$89,5,0)</f>
        <v>2.703098366055197</v>
      </c>
      <c r="CV8" s="13">
        <f t="shared" si="41"/>
        <v>1.1095457022222992</v>
      </c>
      <c r="CW8" s="20">
        <f t="shared" si="13"/>
        <v>6.6403550855833053</v>
      </c>
      <c r="CX8" s="59">
        <f t="shared" si="14"/>
        <v>299.97368841891659</v>
      </c>
      <c r="CY8" s="59">
        <f ca="1">AVERAGE(OFFSET($CX$3,0,0,'Données projet'!$E$13+1,1))-AVERAGE(OFFSET($H$3,0,0,'Données projet'!$E$13+1,1))</f>
        <v>230.38929580146208</v>
      </c>
      <c r="CZ8" s="59">
        <f t="shared" si="42"/>
        <v>227.1847788696258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0.17450000000000002</v>
      </c>
      <c r="DO8" s="12">
        <f>IF('Données projet'!$A$166&gt;35,DO7+DN8-DW7,IF(A8&lt;'Données projet'!$A$166,$DL$205^A8,IF(A8='Données projet'!$A$166,'Données projet'!$B$166,DO7+DN8-DW7)))</f>
        <v>1.3668043639186043</v>
      </c>
      <c r="DP8" s="17">
        <f>DO8*VLOOKUP('Données projet'!$B$14,Paramètres!$A$1:$I$89,3,0)*VLOOKUP('Données projet'!$B$14,Paramètres!$A$1:$I$89,5,0)</f>
        <v>0.81734900962332546</v>
      </c>
      <c r="DQ8" s="13">
        <f t="shared" si="43"/>
        <v>0.38561628633639994</v>
      </c>
      <c r="DR8" s="20">
        <f t="shared" si="16"/>
        <v>2.0951645571298552</v>
      </c>
      <c r="DS8" s="59">
        <f t="shared" si="17"/>
        <v>295.42849789046318</v>
      </c>
      <c r="DT8" s="59">
        <f ca="1">AVERAGE(OFFSET($DS$3,0,0,'Données projet'!$E$14+1,1))-AVERAGE(OFFSET($H$3,0,0,'Données projet'!$E$14+1,1))</f>
        <v>145.97103392561058</v>
      </c>
      <c r="DU8" s="59">
        <f t="shared" si="44"/>
        <v>62.920713953681172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10.169411764705883</v>
      </c>
      <c r="N9" s="13">
        <f>IF('Données projet'!$A$36&gt;35,N8+M9-V8,IF(A9&lt;'Données projet'!$A$36,$K$205^A9,IF(A9='Données projet'!$A$36,'Données projet'!$B$36,N8+M9-V8)))</f>
        <v>6.1630013955679974</v>
      </c>
      <c r="O9" s="13">
        <f>N9*VLOOKUP('Données projet'!$B$9,Paramètres!$A$1:$I$89,3,0)*VLOOKUP('Données projet'!$B$9,Paramètres!$A$1:$I$89,5,0)</f>
        <v>3.4451177801225104</v>
      </c>
      <c r="P9" s="13">
        <f t="shared" si="33"/>
        <v>1.3747558759855676</v>
      </c>
      <c r="Q9" s="20">
        <f t="shared" si="2"/>
        <v>8.3946132843882353</v>
      </c>
      <c r="R9" s="59">
        <f t="shared" si="0"/>
        <v>301.72794661772156</v>
      </c>
      <c r="S9" s="59">
        <f ca="1">AVERAGE(OFFSET($R$3,0,0,'Données projet'!$E$9+1,1))-AVERAGE(OFFSET($H$3,0,0,'Données projet'!$E$9+1,1))</f>
        <v>350.01600895263641</v>
      </c>
      <c r="T9" s="59">
        <f t="shared" si="34"/>
        <v>464.08921044376882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2.2999999999999998</v>
      </c>
      <c r="AI9" s="13">
        <f>IF('Données projet'!$A$62&gt;35,AI8+AH9-AQ8,IF(A9&lt;'Données projet'!$A$62,$AF$205^A9,IF(A9='Données projet'!$A$62,'Données projet'!$B$62,AI8+AH9-AQ8)))</f>
        <v>6.5620071855158564</v>
      </c>
      <c r="AJ9" s="13">
        <f>AI9*VLOOKUP('Données projet'!$B$10,Paramètres!$A$1:$I$89,3,0)*VLOOKUP('Données projet'!$B$10,Paramètres!$A$1:$I$89,5,0)</f>
        <v>5.7325694772666536</v>
      </c>
      <c r="AK9" s="13">
        <f t="shared" si="35"/>
        <v>2.1559045554135094</v>
      </c>
      <c r="AL9" s="20">
        <f t="shared" si="4"/>
        <v>13.739092273584617</v>
      </c>
      <c r="AM9" s="59">
        <f t="shared" si="5"/>
        <v>307.07242560691793</v>
      </c>
      <c r="AN9" s="59">
        <f ca="1">AVERAGE(OFFSET($AM$3,0,0,'Données projet'!$E$10+1,1))-AVERAGE(OFFSET($H$3,0,0,'Données projet'!$E$10+1,1))</f>
        <v>242.48830542479988</v>
      </c>
      <c r="AO9" s="59">
        <f t="shared" si="36"/>
        <v>226.11219631227061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2.9235042735042733</v>
      </c>
      <c r="BD9" s="12">
        <f>IF('Données projet'!$A$88&gt;35,BD8+BC9-BL8,IF(A9&lt;'Données projet'!$A$88,$BA$205^A9,IF(A9='Données projet'!$A$88,'Données projet'!$B$88,BD8+BC9-BL8)))</f>
        <v>2.4468367659615553</v>
      </c>
      <c r="BE9" s="13">
        <f>BD9*VLOOKUP('Données projet'!$B$11,Paramètres!$A$1:$I$89,3,0)*VLOOKUP('Données projet'!$B$11,Paramètres!$A$1:$I$89,5,0)</f>
        <v>2.4810924806850174</v>
      </c>
      <c r="BF9" s="13">
        <f t="shared" si="37"/>
        <v>1.0286285584479797</v>
      </c>
      <c r="BG9" s="20">
        <f t="shared" si="7"/>
        <v>6.1127641431566362</v>
      </c>
      <c r="BH9" s="59">
        <f t="shared" si="8"/>
        <v>299.44609747648997</v>
      </c>
      <c r="BI9" s="59">
        <f ca="1">AVERAGE(OFFSET($BH$3,0,0,'Données projet'!$E$11+1,1))-AVERAGE(OFFSET($H$3,0,0,'Données projet'!$E$11+1,1))</f>
        <v>402.5435069258703</v>
      </c>
      <c r="BJ9" s="59">
        <f t="shared" si="38"/>
        <v>163.60655195816349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2.9235042735042733</v>
      </c>
      <c r="BY9" s="12">
        <f>IF('Données projet'!$A$114&gt;35,BY8+BX9-CG8,IF(A9&lt;'Données projet'!$A$114,$BV$205^A9,IF(A9='Données projet'!$A$114,'Données projet'!$B$114,BY8+BX9-CG8)))</f>
        <v>2.4468367659615553</v>
      </c>
      <c r="BZ9" s="13">
        <f>BY9*VLOOKUP('Données projet'!$B$12,Paramètres!$A$1:$I$89,3,0)*VLOOKUP('Données projet'!$B$12,Paramètres!$A$1:$I$89,5,0)</f>
        <v>2.2138979058420154</v>
      </c>
      <c r="CA9" s="13">
        <f t="shared" si="39"/>
        <v>0.93010785243265093</v>
      </c>
      <c r="CB9" s="20">
        <f t="shared" si="10"/>
        <v>5.4758100289950429</v>
      </c>
      <c r="CC9" s="59">
        <f t="shared" si="11"/>
        <v>298.80914336232837</v>
      </c>
      <c r="CD9" s="59">
        <f ca="1">AVERAGE(OFFSET($CC$3,0,0,'Données projet'!$E$12+1,1))-AVERAGE(OFFSET($H$3,0,0,'Données projet'!$E$12+1,1))</f>
        <v>350.91577977538822</v>
      </c>
      <c r="CE9" s="59">
        <f t="shared" si="40"/>
        <v>142.87103313412547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2.4666666666666668</v>
      </c>
      <c r="CT9" s="12">
        <f>IF('Données projet'!$A$140&gt;35,CT8+CS9-DB8,IF(A9&lt;'Données projet'!$A$140,$CQ$205^A9,IF(A9='Données projet'!$A$140,'Données projet'!$B$140,CT8+CS9-DB8)))</f>
        <v>4.2391685997738069</v>
      </c>
      <c r="CU9" s="17">
        <f>CT9*VLOOKUP('Données projet'!$B$13,Paramètres!$A$1:$I$89,3,0)*VLOOKUP('Données projet'!$B$13,Paramètres!$A$1:$I$89,5,0)</f>
        <v>3.4388135681365122</v>
      </c>
      <c r="CV9" s="13">
        <f t="shared" si="41"/>
        <v>1.3725327999982246</v>
      </c>
      <c r="CW9" s="20">
        <f t="shared" si="13"/>
        <v>8.3797615911680001</v>
      </c>
      <c r="CX9" s="59">
        <f t="shared" si="14"/>
        <v>301.71309492450132</v>
      </c>
      <c r="CY9" s="59">
        <f ca="1">AVERAGE(OFFSET($CX$3,0,0,'Données projet'!$E$13+1,1))-AVERAGE(OFFSET($H$3,0,0,'Données projet'!$E$13+1,1))</f>
        <v>230.38929580146208</v>
      </c>
      <c r="CZ9" s="59">
        <f t="shared" si="42"/>
        <v>227.1847788696258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0.17450000000000002</v>
      </c>
      <c r="DO9" s="12">
        <f>IF('Données projet'!$A$166&gt;35,DO8+DN9-DW8,IF(A9&lt;'Données projet'!$A$166,$DL$205^A9,IF(A9='Données projet'!$A$166,'Données projet'!$B$166,DO8+DN9-DW8)))</f>
        <v>1.4549485233610504</v>
      </c>
      <c r="DP9" s="17">
        <f>DO9*VLOOKUP('Données projet'!$B$14,Paramètres!$A$1:$I$89,3,0)*VLOOKUP('Données projet'!$B$14,Paramètres!$A$1:$I$89,5,0)</f>
        <v>0.87005921696990818</v>
      </c>
      <c r="DQ9" s="13">
        <f t="shared" si="43"/>
        <v>0.40750917872264564</v>
      </c>
      <c r="DR9" s="20">
        <f t="shared" si="16"/>
        <v>2.225098289164531</v>
      </c>
      <c r="DS9" s="59">
        <f t="shared" si="17"/>
        <v>295.55843162249784</v>
      </c>
      <c r="DT9" s="59">
        <f ca="1">AVERAGE(OFFSET($DS$3,0,0,'Données projet'!$E$14+1,1))-AVERAGE(OFFSET($H$3,0,0,'Données projet'!$E$14+1,1))</f>
        <v>145.97103392561058</v>
      </c>
      <c r="DU9" s="59">
        <f t="shared" si="44"/>
        <v>62.920713953681172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10.169411764705883</v>
      </c>
      <c r="N10" s="13">
        <f>IF('Données projet'!$A$36&gt;35,N9+M10-V9,IF(A10&lt;'Données projet'!$A$36,$K$205^A10,IF(A10='Données projet'!$A$36,'Données projet'!$B$36,N9+M10-V9)))</f>
        <v>8.3449609820402753</v>
      </c>
      <c r="O10" s="13">
        <f>N10*VLOOKUP('Données projet'!$B$9,Paramètres!$A$1:$I$89,3,0)*VLOOKUP('Données projet'!$B$9,Paramètres!$A$1:$I$89,5,0)</f>
        <v>4.6648331889605137</v>
      </c>
      <c r="P10" s="13">
        <f t="shared" si="33"/>
        <v>1.7969486177793568</v>
      </c>
      <c r="Q10" s="20">
        <f t="shared" si="2"/>
        <v>11.254269980071941</v>
      </c>
      <c r="R10" s="59">
        <f t="shared" si="0"/>
        <v>304.58760331340528</v>
      </c>
      <c r="S10" s="59">
        <f ca="1">AVERAGE(OFFSET($R$3,0,0,'Données projet'!$E$9+1,1))-AVERAGE(OFFSET($H$3,0,0,'Données projet'!$E$9+1,1))</f>
        <v>350.01600895263641</v>
      </c>
      <c r="T10" s="59">
        <f t="shared" si="34"/>
        <v>464.08921044376882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2.2999999999999998</v>
      </c>
      <c r="AI10" s="13">
        <f>IF('Données projet'!$A$62&gt;35,AI9+AH10-AQ9,IF(A10&lt;'Données projet'!$A$62,$AF$205^A10,IF(A10='Données projet'!$A$62,'Données projet'!$B$62,AI9+AH10-AQ9)))</f>
        <v>8.9786178045341511</v>
      </c>
      <c r="AJ10" s="13">
        <f>AI10*VLOOKUP('Données projet'!$B$10,Paramètres!$A$1:$I$89,3,0)*VLOOKUP('Données projet'!$B$10,Paramètres!$A$1:$I$89,5,0)</f>
        <v>7.8437205140410358</v>
      </c>
      <c r="AK10" s="13">
        <f t="shared" si="35"/>
        <v>2.8441454451868036</v>
      </c>
      <c r="AL10" s="20">
        <f t="shared" si="4"/>
        <v>18.614699878988485</v>
      </c>
      <c r="AM10" s="59">
        <f t="shared" si="5"/>
        <v>311.94803321232177</v>
      </c>
      <c r="AN10" s="59">
        <f ca="1">AVERAGE(OFFSET($AM$3,0,0,'Données projet'!$E$10+1,1))-AVERAGE(OFFSET($H$3,0,0,'Données projet'!$E$10+1,1))</f>
        <v>242.48830542479988</v>
      </c>
      <c r="AO10" s="59">
        <f t="shared" si="36"/>
        <v>226.11219631227061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2.9235042735042733</v>
      </c>
      <c r="BD10" s="12">
        <f>IF('Données projet'!$A$88&gt;35,BD9+BC10-BL9,IF(A10&lt;'Données projet'!$A$88,$BA$205^A10,IF(A10='Données projet'!$A$88,'Données projet'!$B$88,BD9+BC10-BL9)))</f>
        <v>2.8403541738035183</v>
      </c>
      <c r="BE10" s="13">
        <f>BD10*VLOOKUP('Données projet'!$B$11,Paramètres!$A$1:$I$89,3,0)*VLOOKUP('Données projet'!$B$11,Paramètres!$A$1:$I$89,5,0)</f>
        <v>2.8801191322367679</v>
      </c>
      <c r="BF10" s="13">
        <f t="shared" si="37"/>
        <v>1.1735109338746152</v>
      </c>
      <c r="BG10" s="20">
        <f t="shared" si="7"/>
        <v>7.0600723651439914</v>
      </c>
      <c r="BH10" s="59">
        <f t="shared" si="8"/>
        <v>300.3934056984773</v>
      </c>
      <c r="BI10" s="59">
        <f ca="1">AVERAGE(OFFSET($BH$3,0,0,'Données projet'!$E$11+1,1))-AVERAGE(OFFSET($H$3,0,0,'Données projet'!$E$11+1,1))</f>
        <v>402.5435069258703</v>
      </c>
      <c r="BJ10" s="59">
        <f t="shared" si="38"/>
        <v>163.60655195816349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2.9235042735042733</v>
      </c>
      <c r="BY10" s="12">
        <f>IF('Données projet'!$A$114&gt;35,BY9+BX10-CG9,IF(A10&lt;'Données projet'!$A$114,$BV$205^A10,IF(A10='Données projet'!$A$114,'Données projet'!$B$114,BY9+BX10-CG9)))</f>
        <v>2.8403541738035183</v>
      </c>
      <c r="BZ10" s="13">
        <f>BY10*VLOOKUP('Données projet'!$B$12,Paramètres!$A$1:$I$89,3,0)*VLOOKUP('Données projet'!$B$12,Paramètres!$A$1:$I$89,5,0)</f>
        <v>2.5699524564574232</v>
      </c>
      <c r="CA10" s="13">
        <f t="shared" si="39"/>
        <v>1.0611135823014897</v>
      </c>
      <c r="CB10" s="20">
        <f t="shared" si="10"/>
        <v>6.3241066841717739</v>
      </c>
      <c r="CC10" s="59">
        <f t="shared" si="11"/>
        <v>299.65744001750511</v>
      </c>
      <c r="CD10" s="59">
        <f ca="1">AVERAGE(OFFSET($CC$3,0,0,'Données projet'!$E$12+1,1))-AVERAGE(OFFSET($H$3,0,0,'Données projet'!$E$12+1,1))</f>
        <v>350.91577977538822</v>
      </c>
      <c r="CE10" s="59">
        <f t="shared" si="40"/>
        <v>142.87103313412547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2.4666666666666668</v>
      </c>
      <c r="CT10" s="12">
        <f>IF('Données projet'!$A$140&gt;35,CT9+CS10-DB9,IF(A10&lt;'Données projet'!$A$140,$CQ$205^A10,IF(A10='Données projet'!$A$140,'Données projet'!$B$140,CT9+CS10-DB9)))</f>
        <v>5.3929633792034757</v>
      </c>
      <c r="CU10" s="17">
        <f>CT10*VLOOKUP('Données projet'!$B$13,Paramètres!$A$1:$I$89,3,0)*VLOOKUP('Données projet'!$B$13,Paramètres!$A$1:$I$89,5,0)</f>
        <v>4.3747718932098598</v>
      </c>
      <c r="CV10" s="13">
        <f t="shared" si="41"/>
        <v>1.6978537101246285</v>
      </c>
      <c r="CW10" s="20">
        <f t="shared" si="13"/>
        <v>10.576489592474234</v>
      </c>
      <c r="CX10" s="59">
        <f t="shared" si="14"/>
        <v>303.90982292580753</v>
      </c>
      <c r="CY10" s="59">
        <f ca="1">AVERAGE(OFFSET($CX$3,0,0,'Données projet'!$E$13+1,1))-AVERAGE(OFFSET($H$3,0,0,'Données projet'!$E$13+1,1))</f>
        <v>230.38929580146208</v>
      </c>
      <c r="CZ10" s="59">
        <f t="shared" si="42"/>
        <v>227.1847788696258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0.17450000000000002</v>
      </c>
      <c r="DO10" s="12">
        <f>IF('Données projet'!$A$166&gt;35,DO9+DN10-DW9,IF(A10&lt;'Données projet'!$A$166,$DL$205^A10,IF(A10='Données projet'!$A$166,'Données projet'!$B$166,DO9+DN10-DW9)))</f>
        <v>1.5487770316751523</v>
      </c>
      <c r="DP10" s="17">
        <f>DO10*VLOOKUP('Données projet'!$B$14,Paramètres!$A$1:$I$89,3,0)*VLOOKUP('Données projet'!$B$14,Paramètres!$A$1:$I$89,5,0)</f>
        <v>0.9261686649417411</v>
      </c>
      <c r="DQ10" s="13">
        <f t="shared" si="43"/>
        <v>0.43064501326154092</v>
      </c>
      <c r="DR10" s="20">
        <f t="shared" si="16"/>
        <v>2.3631171562040492</v>
      </c>
      <c r="DS10" s="59">
        <f t="shared" si="17"/>
        <v>295.69645048953737</v>
      </c>
      <c r="DT10" s="59">
        <f ca="1">AVERAGE(OFFSET($DS$3,0,0,'Données projet'!$E$14+1,1))-AVERAGE(OFFSET($H$3,0,0,'Données projet'!$E$14+1,1))</f>
        <v>145.97103392561058</v>
      </c>
      <c r="DU10" s="59">
        <f t="shared" si="44"/>
        <v>62.920713953681172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10.169411764705883</v>
      </c>
      <c r="N11" s="13">
        <f>IF('Données projet'!$A$36&gt;35,N10+M11-V10,IF(A11&lt;'Données projet'!$A$36,$K$205^A11,IF(A11='Données projet'!$A$36,'Données projet'!$B$36,N10+M11-V10)))</f>
        <v>11.299425283572656</v>
      </c>
      <c r="O11" s="13">
        <f>N11*VLOOKUP('Données projet'!$B$9,Paramètres!$A$1:$I$89,3,0)*VLOOKUP('Données projet'!$B$9,Paramètres!$A$1:$I$89,5,0)</f>
        <v>6.3163787335171149</v>
      </c>
      <c r="P11" s="13">
        <f t="shared" si="33"/>
        <v>2.3487983512885449</v>
      </c>
      <c r="Q11" s="20">
        <f t="shared" si="2"/>
        <v>15.091850089369855</v>
      </c>
      <c r="R11" s="59">
        <f t="shared" si="0"/>
        <v>308.42518342270318</v>
      </c>
      <c r="S11" s="59">
        <f ca="1">AVERAGE(OFFSET($R$3,0,0,'Données projet'!$E$9+1,1))-AVERAGE(OFFSET($H$3,0,0,'Données projet'!$E$9+1,1))</f>
        <v>350.01600895263641</v>
      </c>
      <c r="T11" s="59">
        <f t="shared" si="34"/>
        <v>464.08921044376882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2.2999999999999998</v>
      </c>
      <c r="AI11" s="13">
        <f>IF('Données projet'!$A$62&gt;35,AI10+AH11-AQ10,IF(A11&lt;'Données projet'!$A$62,$AF$205^A11,IF(A11='Données projet'!$A$62,'Données projet'!$B$62,AI10+AH11-AQ10)))</f>
        <v>12.285201067417038</v>
      </c>
      <c r="AJ11" s="13">
        <f>AI11*VLOOKUP('Données projet'!$B$10,Paramètres!$A$1:$I$89,3,0)*VLOOKUP('Données projet'!$B$10,Paramètres!$A$1:$I$89,5,0)</f>
        <v>10.732351652495526</v>
      </c>
      <c r="AK11" s="13">
        <f t="shared" si="35"/>
        <v>3.7520971385606225</v>
      </c>
      <c r="AL11" s="20">
        <f t="shared" si="4"/>
        <v>25.227081644422793</v>
      </c>
      <c r="AM11" s="59">
        <f t="shared" si="5"/>
        <v>318.56041497775612</v>
      </c>
      <c r="AN11" s="59">
        <f ca="1">AVERAGE(OFFSET($AM$3,0,0,'Données projet'!$E$10+1,1))-AVERAGE(OFFSET($H$3,0,0,'Données projet'!$E$10+1,1))</f>
        <v>242.48830542479988</v>
      </c>
      <c r="AO11" s="59">
        <f t="shared" si="36"/>
        <v>226.11219631227061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2.9235042735042733</v>
      </c>
      <c r="BD11" s="12">
        <f>IF('Données projet'!$A$88&gt;35,BD10+BC11-BL10,IF(A11&lt;'Données projet'!$A$88,$BA$205^A11,IF(A11='Données projet'!$A$88,'Données projet'!$B$88,BD10+BC11-BL10)))</f>
        <v>3.2971598043944974</v>
      </c>
      <c r="BE11" s="13">
        <f>BD11*VLOOKUP('Données projet'!$B$11,Paramètres!$A$1:$I$89,3,0)*VLOOKUP('Données projet'!$B$11,Paramètres!$A$1:$I$89,5,0)</f>
        <v>3.3433200416560207</v>
      </c>
      <c r="BF11" s="13">
        <f t="shared" si="37"/>
        <v>1.3387999979323115</v>
      </c>
      <c r="BG11" s="20">
        <f t="shared" si="7"/>
        <v>8.1546924022830094</v>
      </c>
      <c r="BH11" s="59">
        <f t="shared" si="8"/>
        <v>301.4880257356163</v>
      </c>
      <c r="BI11" s="59">
        <f ca="1">AVERAGE(OFFSET($BH$3,0,0,'Données projet'!$E$11+1,1))-AVERAGE(OFFSET($H$3,0,0,'Données projet'!$E$11+1,1))</f>
        <v>402.5435069258703</v>
      </c>
      <c r="BJ11" s="59">
        <f t="shared" si="38"/>
        <v>163.60655195816349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2.9235042735042733</v>
      </c>
      <c r="BY11" s="12">
        <f>IF('Données projet'!$A$114&gt;35,BY10+BX11-CG10,IF(A11&lt;'Données projet'!$A$114,$BV$205^A11,IF(A11='Données projet'!$A$114,'Données projet'!$B$114,BY10+BX11-CG10)))</f>
        <v>3.2971598043944974</v>
      </c>
      <c r="BZ11" s="13">
        <f>BY11*VLOOKUP('Données projet'!$B$12,Paramètres!$A$1:$I$89,3,0)*VLOOKUP('Données projet'!$B$12,Paramètres!$A$1:$I$89,5,0)</f>
        <v>2.9832701910161412</v>
      </c>
      <c r="CA11" s="13">
        <f t="shared" si="39"/>
        <v>1.2105714746948997</v>
      </c>
      <c r="CB11" s="20">
        <f t="shared" si="10"/>
        <v>7.3042742344467291</v>
      </c>
      <c r="CC11" s="59">
        <f t="shared" si="11"/>
        <v>300.63760756778004</v>
      </c>
      <c r="CD11" s="59">
        <f ca="1">AVERAGE(OFFSET($CC$3,0,0,'Données projet'!$E$12+1,1))-AVERAGE(OFFSET($H$3,0,0,'Données projet'!$E$12+1,1))</f>
        <v>350.91577977538822</v>
      </c>
      <c r="CE11" s="59">
        <f t="shared" si="40"/>
        <v>142.87103313412547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2.4666666666666668</v>
      </c>
      <c r="CT11" s="12">
        <f>IF('Données projet'!$A$140&gt;35,CT10+CS11-DB10,IF(A11&lt;'Données projet'!$A$140,$CQ$205^A11,IF(A11='Données projet'!$A$140,'Données projet'!$B$140,CT10+CS11-DB10)))</f>
        <v>6.8607919984549888</v>
      </c>
      <c r="CU11" s="17">
        <f>CT11*VLOOKUP('Données projet'!$B$13,Paramètres!$A$1:$I$89,3,0)*VLOOKUP('Données projet'!$B$13,Paramètres!$A$1:$I$89,5,0)</f>
        <v>5.5654744691466869</v>
      </c>
      <c r="CV11" s="13">
        <f t="shared" si="41"/>
        <v>2.10028293749169</v>
      </c>
      <c r="CW11" s="20">
        <f t="shared" si="13"/>
        <v>13.351194149895173</v>
      </c>
      <c r="CX11" s="59">
        <f t="shared" si="14"/>
        <v>306.68452748322846</v>
      </c>
      <c r="CY11" s="59">
        <f ca="1">AVERAGE(OFFSET($CX$3,0,0,'Données projet'!$E$13+1,1))-AVERAGE(OFFSET($H$3,0,0,'Données projet'!$E$13+1,1))</f>
        <v>230.38929580146208</v>
      </c>
      <c r="CZ11" s="59">
        <f t="shared" si="42"/>
        <v>227.1847788696258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0.17450000000000002</v>
      </c>
      <c r="DO11" s="12">
        <f>IF('Données projet'!$A$166&gt;35,DO10+DN11-DW10,IF(A11&lt;'Données projet'!$A$166,$DL$205^A11,IF(A11='Données projet'!$A$166,'Données projet'!$B$166,DO10+DN11-DW10)))</f>
        <v>1.6486564681362601</v>
      </c>
      <c r="DP11" s="17">
        <f>DO11*VLOOKUP('Données projet'!$B$14,Paramètres!$A$1:$I$89,3,0)*VLOOKUP('Données projet'!$B$14,Paramètres!$A$1:$I$89,5,0)</f>
        <v>0.98589656794548364</v>
      </c>
      <c r="DQ11" s="13">
        <f t="shared" si="43"/>
        <v>0.45509435647155139</v>
      </c>
      <c r="DR11" s="20">
        <f t="shared" si="16"/>
        <v>2.5097258600263359</v>
      </c>
      <c r="DS11" s="59">
        <f t="shared" si="17"/>
        <v>295.84305919335964</v>
      </c>
      <c r="DT11" s="59">
        <f ca="1">AVERAGE(OFFSET($DS$3,0,0,'Données projet'!$E$14+1,1))-AVERAGE(OFFSET($H$3,0,0,'Données projet'!$E$14+1,1))</f>
        <v>145.97103392561058</v>
      </c>
      <c r="DU11" s="59">
        <f t="shared" si="44"/>
        <v>62.920713953681172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10.169411764705883</v>
      </c>
      <c r="N12" s="13">
        <f>IF('Données projet'!$A$36&gt;35,N11+M12-V11,IF(A12&lt;'Données projet'!$A$36,$K$205^A12,IF(A12='Données projet'!$A$36,'Données projet'!$B$36,N11+M12-V11)))</f>
        <v>15.299893194686335</v>
      </c>
      <c r="O12" s="13">
        <f>N12*VLOOKUP('Données projet'!$B$9,Paramètres!$A$1:$I$89,3,0)*VLOOKUP('Données projet'!$B$9,Paramètres!$A$1:$I$89,5,0)</f>
        <v>8.5526402958296615</v>
      </c>
      <c r="P12" s="13">
        <f t="shared" si="33"/>
        <v>3.0701232302532038</v>
      </c>
      <c r="Q12" s="20">
        <f t="shared" si="2"/>
        <v>20.242979807927657</v>
      </c>
      <c r="R12" s="59">
        <f t="shared" si="0"/>
        <v>313.57631314126098</v>
      </c>
      <c r="S12" s="59">
        <f ca="1">AVERAGE(OFFSET($R$3,0,0,'Données projet'!$E$9+1,1))-AVERAGE(OFFSET($H$3,0,0,'Données projet'!$E$9+1,1))</f>
        <v>350.01600895263641</v>
      </c>
      <c r="T12" s="59">
        <f t="shared" si="34"/>
        <v>464.08921044376882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2.2999999999999998</v>
      </c>
      <c r="AI12" s="13">
        <f>IF('Données projet'!$A$62&gt;35,AI11+AH12-AQ11,IF(A12&lt;'Données projet'!$A$62,$AF$205^A12,IF(A12='Données projet'!$A$62,'Données projet'!$B$62,AI11+AH12-AQ11)))</f>
        <v>16.809509943796456</v>
      </c>
      <c r="AJ12" s="13">
        <f>AI12*VLOOKUP('Données projet'!$B$10,Paramètres!$A$1:$I$89,3,0)*VLOOKUP('Données projet'!$B$10,Paramètres!$A$1:$I$89,5,0)</f>
        <v>14.684787886900585</v>
      </c>
      <c r="AK12" s="13">
        <f t="shared" si="35"/>
        <v>4.9498990851609408</v>
      </c>
      <c r="AL12" s="20">
        <f t="shared" si="4"/>
        <v>34.197079809673824</v>
      </c>
      <c r="AM12" s="59">
        <f t="shared" si="5"/>
        <v>327.53041314300714</v>
      </c>
      <c r="AN12" s="59">
        <f ca="1">AVERAGE(OFFSET($AM$3,0,0,'Données projet'!$E$10+1,1))-AVERAGE(OFFSET($H$3,0,0,'Données projet'!$E$10+1,1))</f>
        <v>242.48830542479988</v>
      </c>
      <c r="AO12" s="59">
        <f t="shared" si="36"/>
        <v>226.11219631227061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2.9235042735042733</v>
      </c>
      <c r="BD12" s="12">
        <f>IF('Données projet'!$A$88&gt;35,BD11+BC12-BL11,IF(A12&lt;'Données projet'!$A$88,$BA$205^A12,IF(A12='Données projet'!$A$88,'Données projet'!$B$88,BD11+BC12-BL11)))</f>
        <v>3.8274321125090722</v>
      </c>
      <c r="BE12" s="13">
        <f>BD12*VLOOKUP('Données projet'!$B$11,Paramètres!$A$1:$I$89,3,0)*VLOOKUP('Données projet'!$B$11,Paramètres!$A$1:$I$89,5,0)</f>
        <v>3.8810161620841996</v>
      </c>
      <c r="BF12" s="13">
        <f t="shared" si="37"/>
        <v>1.5273700335672085</v>
      </c>
      <c r="BG12" s="20">
        <f t="shared" si="7"/>
        <v>9.4196059574262012</v>
      </c>
      <c r="BH12" s="59">
        <f t="shared" si="8"/>
        <v>302.75293929075951</v>
      </c>
      <c r="BI12" s="59">
        <f ca="1">AVERAGE(OFFSET($BH$3,0,0,'Données projet'!$E$11+1,1))-AVERAGE(OFFSET($H$3,0,0,'Données projet'!$E$11+1,1))</f>
        <v>402.5435069258703</v>
      </c>
      <c r="BJ12" s="59">
        <f t="shared" si="38"/>
        <v>163.60655195816349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2.9235042735042733</v>
      </c>
      <c r="BY12" s="12">
        <f>IF('Données projet'!$A$114&gt;35,BY11+BX12-CG11,IF(A12&lt;'Données projet'!$A$114,$BV$205^A12,IF(A12='Données projet'!$A$114,'Données projet'!$B$114,BY11+BX12-CG11)))</f>
        <v>3.8274321125090722</v>
      </c>
      <c r="BZ12" s="13">
        <f>BY12*VLOOKUP('Données projet'!$B$12,Paramètres!$A$1:$I$89,3,0)*VLOOKUP('Données projet'!$B$12,Paramètres!$A$1:$I$89,5,0)</f>
        <v>3.4630605753982087</v>
      </c>
      <c r="CA12" s="13">
        <f t="shared" si="39"/>
        <v>1.3810805174752749</v>
      </c>
      <c r="CB12" s="20">
        <f t="shared" si="10"/>
        <v>8.4368790700879845</v>
      </c>
      <c r="CC12" s="59">
        <f t="shared" si="11"/>
        <v>301.77021240342128</v>
      </c>
      <c r="CD12" s="59">
        <f ca="1">AVERAGE(OFFSET($CC$3,0,0,'Données projet'!$E$12+1,1))-AVERAGE(OFFSET($H$3,0,0,'Données projet'!$E$12+1,1))</f>
        <v>350.91577977538822</v>
      </c>
      <c r="CE12" s="59">
        <f t="shared" si="40"/>
        <v>142.87103313412547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2.4666666666666668</v>
      </c>
      <c r="CT12" s="12">
        <f>IF('Données projet'!$A$140&gt;35,CT11+CS12-DB11,IF(A12&lt;'Données projet'!$A$140,$CQ$205^A12,IF(A12='Données projet'!$A$140,'Données projet'!$B$140,CT11+CS12-DB11)))</f>
        <v>8.7281265486761299</v>
      </c>
      <c r="CU12" s="17">
        <f>CT12*VLOOKUP('Données projet'!$B$13,Paramètres!$A$1:$I$89,3,0)*VLOOKUP('Données projet'!$B$13,Paramètres!$A$1:$I$89,5,0)</f>
        <v>7.0802562562860771</v>
      </c>
      <c r="CV12" s="13">
        <f t="shared" si="41"/>
        <v>2.5980968744326778</v>
      </c>
      <c r="CW12" s="20">
        <f t="shared" si="13"/>
        <v>16.856465036001829</v>
      </c>
      <c r="CX12" s="59">
        <f t="shared" si="14"/>
        <v>310.18979836933516</v>
      </c>
      <c r="CY12" s="59">
        <f ca="1">AVERAGE(OFFSET($CX$3,0,0,'Données projet'!$E$13+1,1))-AVERAGE(OFFSET($H$3,0,0,'Données projet'!$E$13+1,1))</f>
        <v>230.38929580146208</v>
      </c>
      <c r="CZ12" s="59">
        <f t="shared" si="42"/>
        <v>227.1847788696258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0.17450000000000002</v>
      </c>
      <c r="DO12" s="12">
        <f>IF('Données projet'!$A$166&gt;35,DO11+DN12-DW11,IF(A12&lt;'Données projet'!$A$166,$DL$205^A12,IF(A12='Données projet'!$A$166,'Données projet'!$B$166,DO11+DN12-DW11)))</f>
        <v>1.754977052434509</v>
      </c>
      <c r="DP12" s="17">
        <f>DO12*VLOOKUP('Données projet'!$B$14,Paramètres!$A$1:$I$89,3,0)*VLOOKUP('Données projet'!$B$14,Paramètres!$A$1:$I$89,5,0)</f>
        <v>1.0494762773558364</v>
      </c>
      <c r="DQ12" s="13">
        <f t="shared" si="43"/>
        <v>0.48093178119880392</v>
      </c>
      <c r="DR12" s="20">
        <f t="shared" si="16"/>
        <v>2.6654607019826653</v>
      </c>
      <c r="DS12" s="59">
        <f t="shared" si="17"/>
        <v>295.998794035316</v>
      </c>
      <c r="DT12" s="59">
        <f ca="1">AVERAGE(OFFSET($DS$3,0,0,'Données projet'!$E$14+1,1))-AVERAGE(OFFSET($H$3,0,0,'Données projet'!$E$14+1,1))</f>
        <v>145.97103392561058</v>
      </c>
      <c r="DU12" s="59">
        <f t="shared" si="44"/>
        <v>62.920713953681172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10.169411764705883</v>
      </c>
      <c r="N13" s="13">
        <f>IF('Données projet'!$A$36&gt;35,N12+M13-V12,IF(A13&lt;'Données projet'!$A$36,$K$205^A13,IF(A13='Données projet'!$A$36,'Données projet'!$B$36,N12+M13-V12)))</f>
        <v>20.716693627695339</v>
      </c>
      <c r="O13" s="13">
        <f>N13*VLOOKUP('Données projet'!$B$9,Paramètres!$A$1:$I$89,3,0)*VLOOKUP('Données projet'!$B$9,Paramètres!$A$1:$I$89,5,0)</f>
        <v>11.580631737881694</v>
      </c>
      <c r="P13" s="13">
        <f t="shared" si="33"/>
        <v>4.0129697143943712</v>
      </c>
      <c r="Q13" s="20">
        <f t="shared" si="2"/>
        <v>27.158855862714148</v>
      </c>
      <c r="R13" s="59">
        <f t="shared" si="0"/>
        <v>320.49218919604743</v>
      </c>
      <c r="S13" s="59">
        <f ca="1">AVERAGE(OFFSET($R$3,0,0,'Données projet'!$E$9+1,1))-AVERAGE(OFFSET($H$3,0,0,'Données projet'!$E$9+1,1))</f>
        <v>350.01600895263641</v>
      </c>
      <c r="T13" s="59">
        <f t="shared" si="34"/>
        <v>464.08921044376882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23</v>
      </c>
      <c r="AG13" s="12">
        <f>VLOOKUP(A13,'Données projet'!$A$61:$I$81,9,0)</f>
        <v>2.2999999999999998</v>
      </c>
      <c r="AH13" s="12">
        <f t="array" ref="AH13">INDEX(AG:AG,MIN(IF(ISNUMBER(AG13:AG209),ROW(AG13:AG209),"")))</f>
        <v>2.2999999999999998</v>
      </c>
      <c r="AI13" s="13">
        <f>IF('Données projet'!$A$62&gt;35,AI12+AH13-AQ12,IF(A13&lt;'Données projet'!$A$62,$AF$205^A13,IF(A13='Données projet'!$A$62,'Données projet'!$B$62,AI12+AH13-AQ12)))</f>
        <v>23</v>
      </c>
      <c r="AJ13" s="13">
        <f>AI13*VLOOKUP('Données projet'!$B$10,Paramètres!$A$1:$I$89,3,0)*VLOOKUP('Données projet'!$B$10,Paramètres!$A$1:$I$89,5,0)</f>
        <v>20.0928</v>
      </c>
      <c r="AK13" s="13">
        <f t="shared" si="35"/>
        <v>6.5300817245569407</v>
      </c>
      <c r="AL13" s="20">
        <f t="shared" si="4"/>
        <v>46.368185670270002</v>
      </c>
      <c r="AM13" s="59">
        <f t="shared" si="5"/>
        <v>339.70151900360332</v>
      </c>
      <c r="AN13" s="59">
        <f ca="1">AVERAGE(OFFSET($AM$3,0,0,'Données projet'!$E$10+1,1))-AVERAGE(OFFSET($H$3,0,0,'Données projet'!$E$10+1,1))</f>
        <v>242.48830542479988</v>
      </c>
      <c r="AO13" s="59">
        <f t="shared" si="36"/>
        <v>226.11219631227061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2.9235042735042733</v>
      </c>
      <c r="BD13" s="12">
        <f>IF('Données projet'!$A$88&gt;35,BD12+BC13-BL12,IF(A13&lt;'Données projet'!$A$88,$BA$205^A13,IF(A13='Données projet'!$A$88,'Données projet'!$B$88,BD12+BC13-BL12)))</f>
        <v>4.4429865232315908</v>
      </c>
      <c r="BE13" s="13">
        <f>BD13*VLOOKUP('Données projet'!$B$11,Paramètres!$A$1:$I$89,3,0)*VLOOKUP('Données projet'!$B$11,Paramètres!$A$1:$I$89,5,0)</f>
        <v>4.5051883345568333</v>
      </c>
      <c r="BF13" s="13">
        <f t="shared" si="37"/>
        <v>1.7425001665984783</v>
      </c>
      <c r="BG13" s="20">
        <f t="shared" si="7"/>
        <v>10.881390806178834</v>
      </c>
      <c r="BH13" s="59">
        <f t="shared" si="8"/>
        <v>304.21472413951216</v>
      </c>
      <c r="BI13" s="59">
        <f ca="1">AVERAGE(OFFSET($BH$3,0,0,'Données projet'!$E$11+1,1))-AVERAGE(OFFSET($H$3,0,0,'Données projet'!$E$11+1,1))</f>
        <v>402.5435069258703</v>
      </c>
      <c r="BJ13" s="59">
        <f t="shared" si="38"/>
        <v>163.60655195816349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2.9235042735042733</v>
      </c>
      <c r="BY13" s="12">
        <f>IF('Données projet'!$A$114&gt;35,BY12+BX13-CG12,IF(A13&lt;'Données projet'!$A$114,$BV$205^A13,IF(A13='Données projet'!$A$114,'Données projet'!$B$114,BY12+BX13-CG12)))</f>
        <v>4.4429865232315908</v>
      </c>
      <c r="BZ13" s="13">
        <f>BY13*VLOOKUP('Données projet'!$B$12,Paramètres!$A$1:$I$89,3,0)*VLOOKUP('Données projet'!$B$12,Paramètres!$A$1:$I$89,5,0)</f>
        <v>4.0200142062199431</v>
      </c>
      <c r="CA13" s="13">
        <f t="shared" si="39"/>
        <v>1.5756057660539962</v>
      </c>
      <c r="CB13" s="20">
        <f t="shared" si="10"/>
        <v>9.7457047850437757</v>
      </c>
      <c r="CC13" s="59">
        <f t="shared" si="11"/>
        <v>303.07903811837707</v>
      </c>
      <c r="CD13" s="59">
        <f ca="1">AVERAGE(OFFSET($CC$3,0,0,'Données projet'!$E$12+1,1))-AVERAGE(OFFSET($H$3,0,0,'Données projet'!$E$12+1,1))</f>
        <v>350.91577977538822</v>
      </c>
      <c r="CE13" s="59">
        <f t="shared" si="40"/>
        <v>142.87103313412547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2.4666666666666668</v>
      </c>
      <c r="CT13" s="12">
        <f>IF('Données projet'!$A$140&gt;35,CT12+CS13-DB12,IF(A13&lt;'Données projet'!$A$140,$CQ$205^A13,IF(A13='Données projet'!$A$140,'Données projet'!$B$140,CT12+CS13-DB12)))</f>
        <v>11.103702468586782</v>
      </c>
      <c r="CU13" s="17">
        <f>CT13*VLOOKUP('Données projet'!$B$13,Paramètres!$A$1:$I$89,3,0)*VLOOKUP('Données projet'!$B$13,Paramètres!$A$1:$I$89,5,0)</f>
        <v>9.007323442517599</v>
      </c>
      <c r="CV13" s="13">
        <f t="shared" si="41"/>
        <v>3.2139038262141559</v>
      </c>
      <c r="CW13" s="20">
        <f t="shared" si="13"/>
        <v>21.285304159707806</v>
      </c>
      <c r="CX13" s="59">
        <f t="shared" si="14"/>
        <v>314.61863749304109</v>
      </c>
      <c r="CY13" s="59">
        <f ca="1">AVERAGE(OFFSET($CX$3,0,0,'Données projet'!$E$13+1,1))-AVERAGE(OFFSET($H$3,0,0,'Données projet'!$E$13+1,1))</f>
        <v>230.38929580146208</v>
      </c>
      <c r="CZ13" s="59">
        <f t="shared" si="42"/>
        <v>227.1847788696258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0.17450000000000002</v>
      </c>
      <c r="DO13" s="12">
        <f>IF('Données projet'!$A$166&gt;35,DO12+DN13-DW12,IF(A13&lt;'Données projet'!$A$166,$DL$205^A13,IF(A13='Données projet'!$A$166,'Données projet'!$B$166,DO12+DN13-DW12)))</f>
        <v>1.8681541692269408</v>
      </c>
      <c r="DP13" s="17">
        <f>DO13*VLOOKUP('Données projet'!$B$14,Paramètres!$A$1:$I$89,3,0)*VLOOKUP('Données projet'!$B$14,Paramètres!$A$1:$I$89,5,0)</f>
        <v>1.1171561931977105</v>
      </c>
      <c r="DQ13" s="13">
        <f t="shared" si="43"/>
        <v>0.50823609407143433</v>
      </c>
      <c r="DR13" s="20">
        <f t="shared" si="16"/>
        <v>2.8308915669937602</v>
      </c>
      <c r="DS13" s="59">
        <f t="shared" si="17"/>
        <v>296.1642249003271</v>
      </c>
      <c r="DT13" s="59">
        <f ca="1">AVERAGE(OFFSET($DS$3,0,0,'Données projet'!$E$14+1,1))-AVERAGE(OFFSET($H$3,0,0,'Données projet'!$E$14+1,1))</f>
        <v>145.97103392561058</v>
      </c>
      <c r="DU13" s="59">
        <f t="shared" si="44"/>
        <v>62.920713953681172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10.169411764705883</v>
      </c>
      <c r="N14" s="13">
        <f>IF('Données projet'!$A$36&gt;35,N13+M14-V13,IF(A14&lt;'Données projet'!$A$36,$K$205^A14,IF(A14='Données projet'!$A$36,'Données projet'!$B$36,N13+M14-V13)))</f>
        <v>28.051267378313966</v>
      </c>
      <c r="O14" s="13">
        <f>N14*VLOOKUP('Données projet'!$B$9,Paramètres!$A$1:$I$89,3,0)*VLOOKUP('Données projet'!$B$9,Paramètres!$A$1:$I$89,5,0)</f>
        <v>15.680658464477508</v>
      </c>
      <c r="P14" s="13">
        <f t="shared" si="33"/>
        <v>5.245367928543474</v>
      </c>
      <c r="Q14" s="20">
        <f t="shared" si="2"/>
        <v>36.446162634511545</v>
      </c>
      <c r="R14" s="59">
        <f t="shared" si="0"/>
        <v>329.77949596784487</v>
      </c>
      <c r="S14" s="59">
        <f ca="1">AVERAGE(OFFSET($R$3,0,0,'Données projet'!$E$9+1,1))-AVERAGE(OFFSET($H$3,0,0,'Données projet'!$E$9+1,1))</f>
        <v>350.01600895263641</v>
      </c>
      <c r="T14" s="59">
        <f t="shared" si="34"/>
        <v>464.08921044376882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7.4</v>
      </c>
      <c r="AI14" s="13">
        <f>IF('Données projet'!$A$62&gt;35,AI13+AH14-AQ13,IF(A14&lt;'Données projet'!$A$62,$AF$205^A14,IF(A14='Données projet'!$A$62,'Données projet'!$B$62,AI13+AH14-AQ13)))</f>
        <v>30.4</v>
      </c>
      <c r="AJ14" s="13">
        <f>AI14*VLOOKUP('Données projet'!$B$10,Paramètres!$A$1:$I$89,3,0)*VLOOKUP('Données projet'!$B$10,Paramètres!$A$1:$I$89,5,0)</f>
        <v>26.557440000000003</v>
      </c>
      <c r="AK14" s="13">
        <f t="shared" si="35"/>
        <v>8.3553182981993483</v>
      </c>
      <c r="AL14" s="20">
        <f t="shared" si="4"/>
        <v>60.806387369363868</v>
      </c>
      <c r="AM14" s="59">
        <f t="shared" si="5"/>
        <v>354.13972070269716</v>
      </c>
      <c r="AN14" s="59">
        <f ca="1">AVERAGE(OFFSET($AM$3,0,0,'Données projet'!$E$10+1,1))-AVERAGE(OFFSET($H$3,0,0,'Données projet'!$E$10+1,1))</f>
        <v>242.48830542479988</v>
      </c>
      <c r="AO14" s="59">
        <f t="shared" si="36"/>
        <v>226.11219631227061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2.9235042735042733</v>
      </c>
      <c r="BD14" s="12">
        <f>IF('Données projet'!$A$88&gt;35,BD13+BC14-BL13,IF(A14&lt;'Données projet'!$A$88,$BA$205^A14,IF(A14='Données projet'!$A$88,'Données projet'!$B$88,BD13+BC14-BL13)))</f>
        <v>5.1575387009743459</v>
      </c>
      <c r="BE14" s="13">
        <f>BD14*VLOOKUP('Données projet'!$B$11,Paramètres!$A$1:$I$89,3,0)*VLOOKUP('Données projet'!$B$11,Paramètres!$A$1:$I$89,5,0)</f>
        <v>5.2297442427879863</v>
      </c>
      <c r="BF14" s="13">
        <f t="shared" si="37"/>
        <v>1.9879313878539038</v>
      </c>
      <c r="BG14" s="20">
        <f t="shared" si="7"/>
        <v>12.570785056701292</v>
      </c>
      <c r="BH14" s="59">
        <f t="shared" si="8"/>
        <v>305.90411839003463</v>
      </c>
      <c r="BI14" s="59">
        <f ca="1">AVERAGE(OFFSET($BH$3,0,0,'Données projet'!$E$11+1,1))-AVERAGE(OFFSET($H$3,0,0,'Données projet'!$E$11+1,1))</f>
        <v>402.5435069258703</v>
      </c>
      <c r="BJ14" s="59">
        <f t="shared" si="38"/>
        <v>163.60655195816349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2.9235042735042733</v>
      </c>
      <c r="BY14" s="12">
        <f>IF('Données projet'!$A$114&gt;35,BY13+BX14-CG13,IF(A14&lt;'Données projet'!$A$114,$BV$205^A14,IF(A14='Données projet'!$A$114,'Données projet'!$B$114,BY13+BX14-CG13)))</f>
        <v>5.1575387009743459</v>
      </c>
      <c r="BZ14" s="13">
        <f>BY14*VLOOKUP('Données projet'!$B$12,Paramètres!$A$1:$I$89,3,0)*VLOOKUP('Données projet'!$B$12,Paramètres!$A$1:$I$89,5,0)</f>
        <v>4.6665410166415882</v>
      </c>
      <c r="CA14" s="13">
        <f t="shared" si="39"/>
        <v>1.7975299040209971</v>
      </c>
      <c r="CB14" s="20">
        <f t="shared" si="10"/>
        <v>11.258256853487337</v>
      </c>
      <c r="CC14" s="59">
        <f t="shared" si="11"/>
        <v>304.59159018682067</v>
      </c>
      <c r="CD14" s="59">
        <f ca="1">AVERAGE(OFFSET($CC$3,0,0,'Données projet'!$E$12+1,1))-AVERAGE(OFFSET($H$3,0,0,'Données projet'!$E$12+1,1))</f>
        <v>350.91577977538822</v>
      </c>
      <c r="CE14" s="59">
        <f t="shared" si="40"/>
        <v>142.87103313412547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2.4666666666666668</v>
      </c>
      <c r="CT14" s="12">
        <f>IF('Données projet'!$A$140&gt;35,CT13+CS14-DB13,IF(A14&lt;'Données projet'!$A$140,$CQ$205^A14,IF(A14='Données projet'!$A$140,'Données projet'!$B$140,CT13+CS14-DB13)))</f>
        <v>14.125850240977657</v>
      </c>
      <c r="CU14" s="17">
        <f>CT14*VLOOKUP('Données projet'!$B$13,Paramètres!$A$1:$I$89,3,0)*VLOOKUP('Données projet'!$B$13,Paramètres!$A$1:$I$89,5,0)</f>
        <v>11.458889715481076</v>
      </c>
      <c r="CV14" s="13">
        <f t="shared" si="41"/>
        <v>3.9756707710945065</v>
      </c>
      <c r="CW14" s="20">
        <f t="shared" si="13"/>
        <v>26.881859514119139</v>
      </c>
      <c r="CX14" s="59">
        <f t="shared" si="14"/>
        <v>320.21519284745244</v>
      </c>
      <c r="CY14" s="59">
        <f ca="1">AVERAGE(OFFSET($CX$3,0,0,'Données projet'!$E$13+1,1))-AVERAGE(OFFSET($H$3,0,0,'Données projet'!$E$13+1,1))</f>
        <v>230.38929580146208</v>
      </c>
      <c r="CZ14" s="59">
        <f t="shared" si="42"/>
        <v>227.1847788696258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0.17450000000000002</v>
      </c>
      <c r="DO14" s="12">
        <f>IF('Données projet'!$A$166&gt;35,DO13+DN14-DW13,IF(A14&lt;'Données projet'!$A$166,$DL$205^A14,IF(A14='Données projet'!$A$166,'Données projet'!$B$166,DO13+DN14-DW13)))</f>
        <v>1.988629991006813</v>
      </c>
      <c r="DP14" s="17">
        <f>DO14*VLOOKUP('Données projet'!$B$14,Paramètres!$A$1:$I$89,3,0)*VLOOKUP('Données projet'!$B$14,Paramètres!$A$1:$I$89,5,0)</f>
        <v>1.1892007346220743</v>
      </c>
      <c r="DQ14" s="13">
        <f t="shared" si="43"/>
        <v>0.53709057586737463</v>
      </c>
      <c r="DR14" s="20">
        <f t="shared" si="16"/>
        <v>3.00662403243579</v>
      </c>
      <c r="DS14" s="59">
        <f t="shared" si="17"/>
        <v>296.33995736576912</v>
      </c>
      <c r="DT14" s="59">
        <f ca="1">AVERAGE(OFFSET($DS$3,0,0,'Données projet'!$E$14+1,1))-AVERAGE(OFFSET($H$3,0,0,'Données projet'!$E$14+1,1))</f>
        <v>145.97103392561058</v>
      </c>
      <c r="DU14" s="59">
        <f t="shared" si="44"/>
        <v>62.920713953681172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10.169411764705883</v>
      </c>
      <c r="N15" s="13">
        <f>IF('Données projet'!$A$36&gt;35,N14+M15-V14,IF(A15&lt;'Données projet'!$A$36,$K$205^A15,IF(A15='Données projet'!$A$36,'Données projet'!$B$36,N14+M15-V14)))</f>
        <v>37.982586201773081</v>
      </c>
      <c r="O15" s="13">
        <f>N15*VLOOKUP('Données projet'!$B$9,Paramètres!$A$1:$I$89,3,0)*VLOOKUP('Données projet'!$B$9,Paramètres!$A$1:$I$89,5,0)</f>
        <v>21.232265686791155</v>
      </c>
      <c r="P15" s="13">
        <f t="shared" si="33"/>
        <v>6.8562403067985267</v>
      </c>
      <c r="Q15" s="20">
        <f t="shared" si="2"/>
        <v>48.920814605502024</v>
      </c>
      <c r="R15" s="59">
        <f t="shared" si="0"/>
        <v>342.25414793883533</v>
      </c>
      <c r="S15" s="59">
        <f ca="1">AVERAGE(OFFSET($R$3,0,0,'Données projet'!$E$9+1,1))-AVERAGE(OFFSET($H$3,0,0,'Données projet'!$E$9+1,1))</f>
        <v>350.01600895263641</v>
      </c>
      <c r="T15" s="59">
        <f t="shared" si="34"/>
        <v>464.08921044376882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7.4</v>
      </c>
      <c r="AI15" s="13">
        <f>IF('Données projet'!$A$62&gt;35,AI14+AH15-AQ14,IF(A15&lt;'Données projet'!$A$62,$AF$205^A15,IF(A15='Données projet'!$A$62,'Données projet'!$B$62,AI14+AH15-AQ14)))</f>
        <v>37.799999999999997</v>
      </c>
      <c r="AJ15" s="13">
        <f>AI15*VLOOKUP('Données projet'!$B$10,Paramètres!$A$1:$I$89,3,0)*VLOOKUP('Données projet'!$B$10,Paramètres!$A$1:$I$89,5,0)</f>
        <v>33.022080000000003</v>
      </c>
      <c r="AK15" s="13">
        <f t="shared" si="35"/>
        <v>10.129025278332465</v>
      </c>
      <c r="AL15" s="20">
        <f t="shared" si="4"/>
        <v>75.154841693095705</v>
      </c>
      <c r="AM15" s="59">
        <f t="shared" si="5"/>
        <v>368.48817502642902</v>
      </c>
      <c r="AN15" s="59">
        <f ca="1">AVERAGE(OFFSET($AM$3,0,0,'Données projet'!$E$10+1,1))-AVERAGE(OFFSET($H$3,0,0,'Données projet'!$E$10+1,1))</f>
        <v>242.48830542479988</v>
      </c>
      <c r="AO15" s="59">
        <f t="shared" si="36"/>
        <v>226.11219631227061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2.9235042735042733</v>
      </c>
      <c r="BD15" s="12">
        <f>IF('Données projet'!$A$88&gt;35,BD14+BC15-BL14,IF(A15&lt;'Données projet'!$A$88,$BA$205^A15,IF(A15='Données projet'!$A$88,'Données projet'!$B$88,BD14+BC15-BL14)))</f>
        <v>5.9870101592612031</v>
      </c>
      <c r="BE15" s="13">
        <f>BD15*VLOOKUP('Données projet'!$B$11,Paramètres!$A$1:$I$89,3,0)*VLOOKUP('Données projet'!$B$11,Paramètres!$A$1:$I$89,5,0)</f>
        <v>6.0708283014908604</v>
      </c>
      <c r="BF15" s="13">
        <f t="shared" si="37"/>
        <v>2.2679316068756354</v>
      </c>
      <c r="BG15" s="20">
        <f t="shared" si="7"/>
        <v>14.523340173738314</v>
      </c>
      <c r="BH15" s="59">
        <f t="shared" si="8"/>
        <v>307.8566735070716</v>
      </c>
      <c r="BI15" s="59">
        <f ca="1">AVERAGE(OFFSET($BH$3,0,0,'Données projet'!$E$11+1,1))-AVERAGE(OFFSET($H$3,0,0,'Données projet'!$E$11+1,1))</f>
        <v>402.5435069258703</v>
      </c>
      <c r="BJ15" s="59">
        <f t="shared" si="38"/>
        <v>163.60655195816349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2.9235042735042733</v>
      </c>
      <c r="BY15" s="12">
        <f>IF('Données projet'!$A$114&gt;35,BY14+BX15-CG14,IF(A15&lt;'Données projet'!$A$114,$BV$205^A15,IF(A15='Données projet'!$A$114,'Données projet'!$B$114,BY14+BX15-CG14)))</f>
        <v>5.9870101592612031</v>
      </c>
      <c r="BZ15" s="13">
        <f>BY15*VLOOKUP('Données projet'!$B$12,Paramètres!$A$1:$I$89,3,0)*VLOOKUP('Données projet'!$B$12,Paramètres!$A$1:$I$89,5,0)</f>
        <v>5.4170467920995362</v>
      </c>
      <c r="CA15" s="13">
        <f t="shared" si="39"/>
        <v>2.05071206609116</v>
      </c>
      <c r="CB15" s="20">
        <f t="shared" si="10"/>
        <v>13.006346678015461</v>
      </c>
      <c r="CC15" s="59">
        <f t="shared" si="11"/>
        <v>306.33968001134878</v>
      </c>
      <c r="CD15" s="59">
        <f ca="1">AVERAGE(OFFSET($CC$3,0,0,'Données projet'!$E$12+1,1))-AVERAGE(OFFSET($H$3,0,0,'Données projet'!$E$12+1,1))</f>
        <v>350.91577977538822</v>
      </c>
      <c r="CE15" s="59">
        <f t="shared" si="40"/>
        <v>142.87103313412547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2.4666666666666668</v>
      </c>
      <c r="CT15" s="12">
        <f>IF('Données projet'!$A$140&gt;35,CT14+CS15-DB14,IF(A15&lt;'Données projet'!$A$140,$CQ$205^A15,IF(A15='Données projet'!$A$140,'Données projet'!$B$140,CT14+CS15-DB14)))</f>
        <v>17.970550417308221</v>
      </c>
      <c r="CU15" s="17">
        <f>CT15*VLOOKUP('Données projet'!$B$13,Paramètres!$A$1:$I$89,3,0)*VLOOKUP('Données projet'!$B$13,Paramètres!$A$1:$I$89,5,0)</f>
        <v>14.57771049852043</v>
      </c>
      <c r="CV15" s="13">
        <f t="shared" si="41"/>
        <v>4.9179934854347964</v>
      </c>
      <c r="CW15" s="20">
        <f t="shared" si="13"/>
        <v>33.955017772055356</v>
      </c>
      <c r="CX15" s="59">
        <f t="shared" si="14"/>
        <v>327.28835110538864</v>
      </c>
      <c r="CY15" s="59">
        <f ca="1">AVERAGE(OFFSET($CX$3,0,0,'Données projet'!$E$13+1,1))-AVERAGE(OFFSET($H$3,0,0,'Données projet'!$E$13+1,1))</f>
        <v>230.38929580146208</v>
      </c>
      <c r="CZ15" s="59">
        <f t="shared" si="42"/>
        <v>227.1847788696258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0.17450000000000002</v>
      </c>
      <c r="DO15" s="12">
        <f>IF('Données projet'!$A$166&gt;35,DO14+DN15-DW14,IF(A15&lt;'Données projet'!$A$166,$DL$205^A15,IF(A15='Données projet'!$A$166,'Données projet'!$B$166,DO14+DN15-DW14)))</f>
        <v>2.1168752056305009</v>
      </c>
      <c r="DP15" s="17">
        <f>DO15*VLOOKUP('Données projet'!$B$14,Paramètres!$A$1:$I$89,3,0)*VLOOKUP('Données projet'!$B$14,Paramètres!$A$1:$I$89,5,0)</f>
        <v>1.2658913729670396</v>
      </c>
      <c r="DQ15" s="13">
        <f t="shared" si="43"/>
        <v>0.5675832355287288</v>
      </c>
      <c r="DR15" s="20">
        <f t="shared" si="16"/>
        <v>3.1933016097967961</v>
      </c>
      <c r="DS15" s="59">
        <f t="shared" si="17"/>
        <v>296.52663494313009</v>
      </c>
      <c r="DT15" s="59">
        <f ca="1">AVERAGE(OFFSET($DS$3,0,0,'Données projet'!$E$14+1,1))-AVERAGE(OFFSET($H$3,0,0,'Données projet'!$E$14+1,1))</f>
        <v>145.97103392561058</v>
      </c>
      <c r="DU15" s="59">
        <f t="shared" si="44"/>
        <v>62.920713953681172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10.169411764705883</v>
      </c>
      <c r="N16" s="13">
        <f>IF('Données projet'!$A$36&gt;35,N15+M16-V15,IF(A16&lt;'Données projet'!$A$36,$K$205^A16,IF(A16='Données projet'!$A$36,'Données projet'!$B$36,N15+M16-V15)))</f>
        <v>51.430006178274702</v>
      </c>
      <c r="O16" s="13">
        <f>N16*VLOOKUP('Données projet'!$B$9,Paramètres!$A$1:$I$89,3,0)*VLOOKUP('Données projet'!$B$9,Paramètres!$A$1:$I$89,5,0)</f>
        <v>28.749373453655558</v>
      </c>
      <c r="P16" s="13">
        <f t="shared" si="33"/>
        <v>8.9618176999114372</v>
      </c>
      <c r="Q16" s="20">
        <f t="shared" si="2"/>
        <v>65.680324592462512</v>
      </c>
      <c r="R16" s="59">
        <f t="shared" si="0"/>
        <v>359.01365792579583</v>
      </c>
      <c r="S16" s="59">
        <f ca="1">AVERAGE(OFFSET($R$3,0,0,'Données projet'!$E$9+1,1))-AVERAGE(OFFSET($H$3,0,0,'Données projet'!$E$9+1,1))</f>
        <v>350.01600895263641</v>
      </c>
      <c r="T16" s="59">
        <f t="shared" si="34"/>
        <v>464.08921044376882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7.4</v>
      </c>
      <c r="AI16" s="13">
        <f>IF('Données projet'!$A$62&gt;35,AI15+AH16-AQ15,IF(A16&lt;'Données projet'!$A$62,$AF$205^A16,IF(A16='Données projet'!$A$62,'Données projet'!$B$62,AI15+AH16-AQ15)))</f>
        <v>45.199999999999996</v>
      </c>
      <c r="AJ16" s="13">
        <f>AI16*VLOOKUP('Données projet'!$B$10,Paramètres!$A$1:$I$89,3,0)*VLOOKUP('Données projet'!$B$10,Paramètres!$A$1:$I$89,5,0)</f>
        <v>39.486720000000005</v>
      </c>
      <c r="AK16" s="13">
        <f t="shared" si="35"/>
        <v>11.862499896265861</v>
      </c>
      <c r="AL16" s="20">
        <f t="shared" si="4"/>
        <v>89.433224652663043</v>
      </c>
      <c r="AM16" s="59">
        <f t="shared" si="5"/>
        <v>382.76655798599637</v>
      </c>
      <c r="AN16" s="59">
        <f ca="1">AVERAGE(OFFSET($AM$3,0,0,'Données projet'!$E$10+1,1))-AVERAGE(OFFSET($H$3,0,0,'Données projet'!$E$10+1,1))</f>
        <v>242.48830542479988</v>
      </c>
      <c r="AO16" s="59">
        <f t="shared" si="36"/>
        <v>226.11219631227061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2.9235042735042733</v>
      </c>
      <c r="BD16" s="12">
        <f>IF('Données projet'!$A$88&gt;35,BD15+BC16-BL15,IF(A16&lt;'Données projet'!$A$88,$BA$205^A16,IF(A16='Données projet'!$A$88,'Données projet'!$B$88,BD15+BC16-BL15)))</f>
        <v>6.9498830208148057</v>
      </c>
      <c r="BE16" s="13">
        <f>BD16*VLOOKUP('Données projet'!$B$11,Paramètres!$A$1:$I$89,3,0)*VLOOKUP('Données projet'!$B$11,Paramètres!$A$1:$I$89,5,0)</f>
        <v>7.0471813831062136</v>
      </c>
      <c r="BF16" s="13">
        <f t="shared" si="37"/>
        <v>2.5873698684431186</v>
      </c>
      <c r="BG16" s="20">
        <f t="shared" si="7"/>
        <v>16.780176763115087</v>
      </c>
      <c r="BH16" s="59">
        <f t="shared" si="8"/>
        <v>310.11351009644841</v>
      </c>
      <c r="BI16" s="59">
        <f ca="1">AVERAGE(OFFSET($BH$3,0,0,'Données projet'!$E$11+1,1))-AVERAGE(OFFSET($H$3,0,0,'Données projet'!$E$11+1,1))</f>
        <v>402.5435069258703</v>
      </c>
      <c r="BJ16" s="59">
        <f t="shared" si="38"/>
        <v>163.60655195816349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2.9235042735042733</v>
      </c>
      <c r="BY16" s="12">
        <f>IF('Données projet'!$A$114&gt;35,BY15+BX16-CG15,IF(A16&lt;'Données projet'!$A$114,$BV$205^A16,IF(A16='Données projet'!$A$114,'Données projet'!$B$114,BY15+BX16-CG15)))</f>
        <v>6.9498830208148057</v>
      </c>
      <c r="BZ16" s="13">
        <f>BY16*VLOOKUP('Données projet'!$B$12,Paramètres!$A$1:$I$89,3,0)*VLOOKUP('Données projet'!$B$12,Paramètres!$A$1:$I$89,5,0)</f>
        <v>6.2882541572332364</v>
      </c>
      <c r="CA16" s="13">
        <f t="shared" si="39"/>
        <v>2.3395549462651668</v>
      </c>
      <c r="CB16" s="20">
        <f t="shared" si="10"/>
        <v>15.026767521926386</v>
      </c>
      <c r="CC16" s="59">
        <f t="shared" si="11"/>
        <v>308.3601008552597</v>
      </c>
      <c r="CD16" s="59">
        <f ca="1">AVERAGE(OFFSET($CC$3,0,0,'Données projet'!$E$12+1,1))-AVERAGE(OFFSET($H$3,0,0,'Données projet'!$E$12+1,1))</f>
        <v>350.91577977538822</v>
      </c>
      <c r="CE16" s="59">
        <f t="shared" si="40"/>
        <v>142.87103313412547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2.4666666666666668</v>
      </c>
      <c r="CT16" s="12">
        <f>IF('Données projet'!$A$140&gt;35,CT15+CS16-DB15,IF(A16&lt;'Données projet'!$A$140,$CQ$205^A16,IF(A16='Données projet'!$A$140,'Données projet'!$B$140,CT15+CS16-DB15)))</f>
        <v>22.86168101684942</v>
      </c>
      <c r="CU16" s="17">
        <f>CT16*VLOOKUP('Données projet'!$B$13,Paramètres!$A$1:$I$89,3,0)*VLOOKUP('Données projet'!$B$13,Paramètres!$A$1:$I$89,5,0)</f>
        <v>18.545395640868254</v>
      </c>
      <c r="CV16" s="13">
        <f t="shared" si="41"/>
        <v>6.0836677168115934</v>
      </c>
      <c r="CW16" s="20">
        <f t="shared" si="13"/>
        <v>42.895618681292397</v>
      </c>
      <c r="CX16" s="59">
        <f t="shared" si="14"/>
        <v>336.22895201462569</v>
      </c>
      <c r="CY16" s="59">
        <f ca="1">AVERAGE(OFFSET($CX$3,0,0,'Données projet'!$E$13+1,1))-AVERAGE(OFFSET($H$3,0,0,'Données projet'!$E$13+1,1))</f>
        <v>230.38929580146208</v>
      </c>
      <c r="CZ16" s="59">
        <f t="shared" si="42"/>
        <v>227.1847788696258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0.17450000000000002</v>
      </c>
      <c r="DO16" s="12">
        <f>IF('Données projet'!$A$166&gt;35,DO15+DN16-DW15,IF(A16&lt;'Données projet'!$A$166,$DL$205^A16,IF(A16='Données projet'!$A$166,'Données projet'!$B$166,DO15+DN16-DW15)))</f>
        <v>2.2533908552512738</v>
      </c>
      <c r="DP16" s="17">
        <f>DO16*VLOOKUP('Données projet'!$B$14,Paramètres!$A$1:$I$89,3,0)*VLOOKUP('Données projet'!$B$14,Paramètres!$A$1:$I$89,5,0)</f>
        <v>1.3475277314402618</v>
      </c>
      <c r="DQ16" s="13">
        <f t="shared" si="43"/>
        <v>0.59980707859750293</v>
      </c>
      <c r="DR16" s="20">
        <f t="shared" si="16"/>
        <v>3.3916081274824403</v>
      </c>
      <c r="DS16" s="59">
        <f t="shared" si="17"/>
        <v>296.72494146081573</v>
      </c>
      <c r="DT16" s="59">
        <f ca="1">AVERAGE(OFFSET($DS$3,0,0,'Données projet'!$E$14+1,1))-AVERAGE(OFFSET($H$3,0,0,'Données projet'!$E$14+1,1))</f>
        <v>145.97103392561058</v>
      </c>
      <c r="DU16" s="59">
        <f t="shared" si="44"/>
        <v>62.920713953681172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10.169411764705883</v>
      </c>
      <c r="N17" s="13">
        <f>IF('Données projet'!$A$36&gt;35,N16+M17-V16,IF(A17&lt;'Données projet'!$A$36,$K$205^A17,IF(A17='Données projet'!$A$36,'Données projet'!$B$36,N16+M17-V16)))</f>
        <v>69.638373791774598</v>
      </c>
      <c r="O17" s="13">
        <f>N17*VLOOKUP('Données projet'!$B$9,Paramètres!$A$1:$I$89,3,0)*VLOOKUP('Données projet'!$B$9,Paramètres!$A$1:$I$89,5,0)</f>
        <v>38.927850949602004</v>
      </c>
      <c r="P17" s="13">
        <f t="shared" si="33"/>
        <v>11.71402589358018</v>
      </c>
      <c r="Q17" s="20">
        <f t="shared" si="2"/>
        <v>88.201268835208964</v>
      </c>
      <c r="R17" s="59">
        <f t="shared" si="0"/>
        <v>381.53460216854228</v>
      </c>
      <c r="S17" s="59">
        <f ca="1">AVERAGE(OFFSET($R$3,0,0,'Données projet'!$E$9+1,1))-AVERAGE(OFFSET($H$3,0,0,'Données projet'!$E$9+1,1))</f>
        <v>350.01600895263641</v>
      </c>
      <c r="T17" s="59">
        <f t="shared" si="34"/>
        <v>464.08921044376882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7.4</v>
      </c>
      <c r="AI17" s="13">
        <f>IF('Données projet'!$A$62&gt;35,AI16+AH17-AQ16,IF(A17&lt;'Données projet'!$A$62,$AF$205^A17,IF(A17='Données projet'!$A$62,'Données projet'!$B$62,AI16+AH17-AQ16)))</f>
        <v>52.599999999999994</v>
      </c>
      <c r="AJ17" s="13">
        <f>AI17*VLOOKUP('Données projet'!$B$10,Paramètres!$A$1:$I$89,3,0)*VLOOKUP('Données projet'!$B$10,Paramètres!$A$1:$I$89,5,0)</f>
        <v>45.951360000000001</v>
      </c>
      <c r="AK17" s="13">
        <f t="shared" si="35"/>
        <v>13.563098137964777</v>
      </c>
      <c r="AL17" s="20">
        <f t="shared" si="4"/>
        <v>103.65434792362198</v>
      </c>
      <c r="AM17" s="59">
        <f t="shared" si="5"/>
        <v>396.98768125695528</v>
      </c>
      <c r="AN17" s="59">
        <f ca="1">AVERAGE(OFFSET($AM$3,0,0,'Données projet'!$E$10+1,1))-AVERAGE(OFFSET($H$3,0,0,'Données projet'!$E$10+1,1))</f>
        <v>242.48830542479988</v>
      </c>
      <c r="AO17" s="59">
        <f t="shared" si="36"/>
        <v>226.11219631227061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2.9235042735042733</v>
      </c>
      <c r="BD17" s="12">
        <f>IF('Données projet'!$A$88&gt;35,BD16+BC17-BL16,IF(A17&lt;'Données projet'!$A$88,$BA$205^A17,IF(A17='Données projet'!$A$88,'Données projet'!$B$88,BD16+BC17-BL16)))</f>
        <v>8.0676118326430668</v>
      </c>
      <c r="BE17" s="13">
        <f>BD17*VLOOKUP('Données projet'!$B$11,Paramètres!$A$1:$I$89,3,0)*VLOOKUP('Données projet'!$B$11,Paramètres!$A$1:$I$89,5,0)</f>
        <v>8.1805583983000698</v>
      </c>
      <c r="BF17" s="13">
        <f t="shared" si="37"/>
        <v>2.9518010224963804</v>
      </c>
      <c r="BG17" s="20">
        <f t="shared" si="7"/>
        <v>19.388859324553817</v>
      </c>
      <c r="BH17" s="59">
        <f t="shared" si="8"/>
        <v>312.72219265788715</v>
      </c>
      <c r="BI17" s="59">
        <f ca="1">AVERAGE(OFFSET($BH$3,0,0,'Données projet'!$E$11+1,1))-AVERAGE(OFFSET($H$3,0,0,'Données projet'!$E$11+1,1))</f>
        <v>402.5435069258703</v>
      </c>
      <c r="BJ17" s="59">
        <f t="shared" si="38"/>
        <v>163.60655195816349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2.9235042735042733</v>
      </c>
      <c r="BY17" s="12">
        <f>IF('Données projet'!$A$114&gt;35,BY16+BX17-CG16,IF(A17&lt;'Données projet'!$A$114,$BV$205^A17,IF(A17='Données projet'!$A$114,'Données projet'!$B$114,BY16+BX17-CG16)))</f>
        <v>8.0676118326430668</v>
      </c>
      <c r="BZ17" s="13">
        <f>BY17*VLOOKUP('Données projet'!$B$12,Paramètres!$A$1:$I$89,3,0)*VLOOKUP('Données projet'!$B$12,Paramètres!$A$1:$I$89,5,0)</f>
        <v>7.2995751861754465</v>
      </c>
      <c r="CA17" s="13">
        <f t="shared" si="39"/>
        <v>2.6690813581776105</v>
      </c>
      <c r="CB17" s="20">
        <f t="shared" si="10"/>
        <v>17.362076814748239</v>
      </c>
      <c r="CC17" s="59">
        <f t="shared" si="11"/>
        <v>310.69541014808158</v>
      </c>
      <c r="CD17" s="59">
        <f ca="1">AVERAGE(OFFSET($CC$3,0,0,'Données projet'!$E$12+1,1))-AVERAGE(OFFSET($H$3,0,0,'Données projet'!$E$12+1,1))</f>
        <v>350.91577977538822</v>
      </c>
      <c r="CE17" s="59">
        <f t="shared" si="40"/>
        <v>142.87103313412547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2.4666666666666668</v>
      </c>
      <c r="CT17" s="12">
        <f>IF('Données projet'!$A$140&gt;35,CT16+CS17-DB16,IF(A17&lt;'Données projet'!$A$140,$CQ$205^A17,IF(A17='Données projet'!$A$140,'Données projet'!$B$140,CT16+CS17-DB16)))</f>
        <v>29.084054009429774</v>
      </c>
      <c r="CU17" s="17">
        <f>CT17*VLOOKUP('Données projet'!$B$13,Paramètres!$A$1:$I$89,3,0)*VLOOKUP('Données projet'!$B$13,Paramètres!$A$1:$I$89,5,0)</f>
        <v>23.592984612449435</v>
      </c>
      <c r="CV17" s="13">
        <f t="shared" si="41"/>
        <v>7.5256327602279143</v>
      </c>
      <c r="CW17" s="20">
        <f t="shared" si="13"/>
        <v>54.198258590746377</v>
      </c>
      <c r="CX17" s="59">
        <f t="shared" si="14"/>
        <v>347.53159192407969</v>
      </c>
      <c r="CY17" s="59">
        <f ca="1">AVERAGE(OFFSET($CX$3,0,0,'Données projet'!$E$13+1,1))-AVERAGE(OFFSET($H$3,0,0,'Données projet'!$E$13+1,1))</f>
        <v>230.38929580146208</v>
      </c>
      <c r="CZ17" s="59">
        <f t="shared" si="42"/>
        <v>227.1847788696258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0.17450000000000002</v>
      </c>
      <c r="DO17" s="12">
        <f>IF('Données projet'!$A$166&gt;35,DO16+DN17-DW16,IF(A17&lt;'Données projet'!$A$166,$DL$205^A17,IF(A17='Données projet'!$A$166,'Données projet'!$B$166,DO16+DN17-DW16)))</f>
        <v>2.3987102938444962</v>
      </c>
      <c r="DP17" s="17">
        <f>DO17*VLOOKUP('Données projet'!$B$14,Paramètres!$A$1:$I$89,3,0)*VLOOKUP('Données projet'!$B$14,Paramètres!$A$1:$I$89,5,0)</f>
        <v>1.4344287557190087</v>
      </c>
      <c r="DQ17" s="13">
        <f t="shared" si="43"/>
        <v>0.63386039089144486</v>
      </c>
      <c r="DR17" s="20">
        <f t="shared" si="16"/>
        <v>3.6022702636798734</v>
      </c>
      <c r="DS17" s="59">
        <f t="shared" si="17"/>
        <v>296.9356035970132</v>
      </c>
      <c r="DT17" s="59">
        <f ca="1">AVERAGE(OFFSET($DS$3,0,0,'Données projet'!$E$14+1,1))-AVERAGE(OFFSET($H$3,0,0,'Données projet'!$E$14+1,1))</f>
        <v>145.97103392561058</v>
      </c>
      <c r="DU17" s="59">
        <f t="shared" si="44"/>
        <v>62.920713953681172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10.169411764705883</v>
      </c>
      <c r="N18" s="13">
        <f>IF('Données projet'!$A$36&gt;35,N17+M18-V17,IF(A18&lt;'Données projet'!$A$36,$K$205^A18,IF(A18='Données projet'!$A$36,'Données projet'!$B$36,N17+M18-V17)))</f>
        <v>94.293263110893193</v>
      </c>
      <c r="O18" s="13">
        <f>N18*VLOOKUP('Données projet'!$B$9,Paramètres!$A$1:$I$89,3,0)*VLOOKUP('Données projet'!$B$9,Paramètres!$A$1:$I$89,5,0)</f>
        <v>52.709934078989292</v>
      </c>
      <c r="P18" s="13">
        <f t="shared" si="33"/>
        <v>15.311447658305164</v>
      </c>
      <c r="Q18" s="20">
        <f t="shared" si="2"/>
        <v>118.47057319245452</v>
      </c>
      <c r="R18" s="59">
        <f t="shared" si="0"/>
        <v>411.80390652578785</v>
      </c>
      <c r="S18" s="59">
        <f ca="1">AVERAGE(OFFSET($R$3,0,0,'Données projet'!$E$9+1,1))-AVERAGE(OFFSET($H$3,0,0,'Données projet'!$E$9+1,1))</f>
        <v>350.01600895263641</v>
      </c>
      <c r="T18" s="59">
        <f t="shared" si="34"/>
        <v>464.08921044376882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60</v>
      </c>
      <c r="AG18" s="12">
        <f>VLOOKUP(A18,'Données projet'!$A$61:$I$81,9,0)</f>
        <v>7.4</v>
      </c>
      <c r="AH18" s="12">
        <f t="array" ref="AH18">INDEX(AG:AG,MIN(IF(ISNUMBER(AG18:AG214),ROW(AG18:AG214),"")))</f>
        <v>7.4</v>
      </c>
      <c r="AI18" s="13">
        <f>IF('Données projet'!$A$62&gt;35,AI17+AH18-AQ17,IF(A18&lt;'Données projet'!$A$62,$AF$205^A18,IF(A18='Données projet'!$A$62,'Données projet'!$B$62,AI17+AH18-AQ17)))</f>
        <v>59.999999999999993</v>
      </c>
      <c r="AJ18" s="13">
        <f>AI18*VLOOKUP('Données projet'!$B$10,Paramètres!$A$1:$I$89,3,0)*VLOOKUP('Données projet'!$B$10,Paramètres!$A$1:$I$89,5,0)</f>
        <v>52.416000000000004</v>
      </c>
      <c r="AK18" s="13">
        <f t="shared" si="35"/>
        <v>15.235978301273029</v>
      </c>
      <c r="AL18" s="20">
        <f t="shared" si="4"/>
        <v>117.82719554138386</v>
      </c>
      <c r="AM18" s="59">
        <f t="shared" si="5"/>
        <v>411.16052887471716</v>
      </c>
      <c r="AN18" s="59">
        <f ca="1">AVERAGE(OFFSET($AM$3,0,0,'Données projet'!$E$10+1,1))-AVERAGE(OFFSET($H$3,0,0,'Données projet'!$E$10+1,1))</f>
        <v>242.48830542479988</v>
      </c>
      <c r="AO18" s="59">
        <f t="shared" si="36"/>
        <v>226.11219631227061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2.9235042735042733</v>
      </c>
      <c r="BD18" s="12">
        <f>IF('Données projet'!$A$88&gt;35,BD17+BC18-BL17,IF(A18&lt;'Données projet'!$A$88,$BA$205^A18,IF(A18='Données projet'!$A$88,'Données projet'!$B$88,BD17+BC18-BL17)))</f>
        <v>9.3651016121091022</v>
      </c>
      <c r="BE18" s="13">
        <f>BD18*VLOOKUP('Données projet'!$B$11,Paramètres!$A$1:$I$89,3,0)*VLOOKUP('Données projet'!$B$11,Paramètres!$A$1:$I$89,5,0)</f>
        <v>9.4962130346786306</v>
      </c>
      <c r="BF18" s="13">
        <f t="shared" si="37"/>
        <v>3.3675623198215465</v>
      </c>
      <c r="BG18" s="20">
        <f t="shared" si="7"/>
        <v>22.40440874242114</v>
      </c>
      <c r="BH18" s="59">
        <f t="shared" si="8"/>
        <v>315.73774207575445</v>
      </c>
      <c r="BI18" s="59">
        <f ca="1">AVERAGE(OFFSET($BH$3,0,0,'Données projet'!$E$11+1,1))-AVERAGE(OFFSET($H$3,0,0,'Données projet'!$E$11+1,1))</f>
        <v>402.5435069258703</v>
      </c>
      <c r="BJ18" s="59">
        <f t="shared" si="38"/>
        <v>163.60655195816349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2.9235042735042733</v>
      </c>
      <c r="BY18" s="12">
        <f>IF('Données projet'!$A$114&gt;35,BY17+BX18-CG17,IF(A18&lt;'Données projet'!$A$114,$BV$205^A18,IF(A18='Données projet'!$A$114,'Données projet'!$B$114,BY17+BX18-CG17)))</f>
        <v>9.3651016121091022</v>
      </c>
      <c r="BZ18" s="13">
        <f>BY18*VLOOKUP('Données projet'!$B$12,Paramètres!$A$1:$I$89,3,0)*VLOOKUP('Données projet'!$B$12,Paramètres!$A$1:$I$89,5,0)</f>
        <v>8.4735439386363147</v>
      </c>
      <c r="CA18" s="13">
        <f t="shared" si="39"/>
        <v>3.045021578973337</v>
      </c>
      <c r="CB18" s="20">
        <f t="shared" si="10"/>
        <v>20.06150160983681</v>
      </c>
      <c r="CC18" s="59">
        <f t="shared" si="11"/>
        <v>313.39483494317011</v>
      </c>
      <c r="CD18" s="59">
        <f ca="1">AVERAGE(OFFSET($CC$3,0,0,'Données projet'!$E$12+1,1))-AVERAGE(OFFSET($H$3,0,0,'Données projet'!$E$12+1,1))</f>
        <v>350.91577977538822</v>
      </c>
      <c r="CE18" s="59">
        <f t="shared" si="40"/>
        <v>142.87103313412547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37</v>
      </c>
      <c r="CR18" s="12">
        <f>VLOOKUP(A18,'Données projet'!$A$139:$I$159,9,0)</f>
        <v>2.4666666666666668</v>
      </c>
      <c r="CS18" s="12">
        <f t="array" ref="CS18">INDEX(CR:CR,MIN(IF(ISNUMBER(CR18:CR214),ROW(CR18:CR214),"")))</f>
        <v>2.4666666666666668</v>
      </c>
      <c r="CT18" s="12">
        <f>IF('Données projet'!$A$140&gt;35,CT17+CS18-DB17,IF(A18&lt;'Données projet'!$A$140,$CQ$205^A18,IF(A18='Données projet'!$A$140,'Données projet'!$B$140,CT17+CS18-DB17)))</f>
        <v>37</v>
      </c>
      <c r="CU18" s="17">
        <f>CT18*VLOOKUP('Données projet'!$B$13,Paramètres!$A$1:$I$89,3,0)*VLOOKUP('Données projet'!$B$13,Paramètres!$A$1:$I$89,5,0)</f>
        <v>30.014400000000006</v>
      </c>
      <c r="CV18" s="13">
        <f t="shared" si="41"/>
        <v>9.309375705269078</v>
      </c>
      <c r="CW18" s="20">
        <f t="shared" si="13"/>
        <v>68.488909353343658</v>
      </c>
      <c r="CX18" s="59">
        <f t="shared" si="14"/>
        <v>361.82224268667699</v>
      </c>
      <c r="CY18" s="59">
        <f ca="1">AVERAGE(OFFSET($CX$3,0,0,'Données projet'!$E$13+1,1))-AVERAGE(OFFSET($H$3,0,0,'Données projet'!$E$13+1,1))</f>
        <v>230.38929580146208</v>
      </c>
      <c r="CZ18" s="59">
        <f t="shared" si="42"/>
        <v>227.1847788696258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15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0.17450000000000002</v>
      </c>
      <c r="DO18" s="12">
        <f>IF('Données projet'!$A$166&gt;35,DO17+DN18-DW17,IF(A18&lt;'Données projet'!$A$166,$DL$205^A18,IF(A18='Données projet'!$A$166,'Données projet'!$B$166,DO17+DN18-DW17)))</f>
        <v>2.5534012709721172</v>
      </c>
      <c r="DP18" s="17">
        <f>DO18*VLOOKUP('Données projet'!$B$14,Paramètres!$A$1:$I$89,3,0)*VLOOKUP('Données projet'!$B$14,Paramètres!$A$1:$I$89,5,0)</f>
        <v>1.5269339600413261</v>
      </c>
      <c r="DQ18" s="13">
        <f t="shared" si="43"/>
        <v>0.66984703828523284</v>
      </c>
      <c r="DR18" s="20">
        <f t="shared" si="16"/>
        <v>3.8260602387520897</v>
      </c>
      <c r="DS18" s="59">
        <f t="shared" si="17"/>
        <v>297.15939357208538</v>
      </c>
      <c r="DT18" s="59">
        <f ca="1">AVERAGE(OFFSET($DS$3,0,0,'Données projet'!$E$14+1,1))-AVERAGE(OFFSET($H$3,0,0,'Données projet'!$E$14+1,1))</f>
        <v>145.97103392561058</v>
      </c>
      <c r="DU18" s="59">
        <f t="shared" si="44"/>
        <v>62.920713953681172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10.169411764705883</v>
      </c>
      <c r="N19" s="13">
        <f>IF('Données projet'!$A$36&gt;35,N18+M19-V18,IF(A19&lt;'Données projet'!$A$36,$K$205^A19,IF(A19='Données projet'!$A$36,'Données projet'!$B$36,N18+M19-V18)))</f>
        <v>127.67701173904101</v>
      </c>
      <c r="O19" s="13">
        <f>N19*VLOOKUP('Données projet'!$B$9,Paramètres!$A$1:$I$89,3,0)*VLOOKUP('Données projet'!$B$9,Paramètres!$A$1:$I$89,5,0)</f>
        <v>71.371449562123928</v>
      </c>
      <c r="P19" s="13">
        <f t="shared" si="33"/>
        <v>20.013651286318474</v>
      </c>
      <c r="Q19" s="20">
        <f t="shared" si="2"/>
        <v>159.16238397770385</v>
      </c>
      <c r="R19" s="59">
        <f t="shared" si="0"/>
        <v>452.4957173110372</v>
      </c>
      <c r="S19" s="59">
        <f ca="1">AVERAGE(OFFSET($R$3,0,0,'Données projet'!$E$9+1,1))-AVERAGE(OFFSET($H$3,0,0,'Données projet'!$E$9+1,1))</f>
        <v>350.01600895263641</v>
      </c>
      <c r="T19" s="59">
        <f t="shared" si="34"/>
        <v>464.08921044376882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9.6</v>
      </c>
      <c r="AI19" s="13">
        <f>IF('Données projet'!$A$62&gt;35,AI18+AH19-AQ18,IF(A19&lt;'Données projet'!$A$62,$AF$205^A19,IF(A19='Données projet'!$A$62,'Données projet'!$B$62,AI18+AH19-AQ18)))</f>
        <v>69.599999999999994</v>
      </c>
      <c r="AJ19" s="13">
        <f>AI19*VLOOKUP('Données projet'!$B$10,Paramètres!$A$1:$I$89,3,0)*VLOOKUP('Données projet'!$B$10,Paramètres!$A$1:$I$89,5,0)</f>
        <v>60.80256</v>
      </c>
      <c r="AK19" s="13">
        <f t="shared" si="35"/>
        <v>17.371024177726472</v>
      </c>
      <c r="AL19" s="20">
        <f t="shared" si="4"/>
        <v>136.15232577620694</v>
      </c>
      <c r="AM19" s="59">
        <f t="shared" si="5"/>
        <v>429.48565910954028</v>
      </c>
      <c r="AN19" s="59">
        <f ca="1">AVERAGE(OFFSET($AM$3,0,0,'Données projet'!$E$10+1,1))-AVERAGE(OFFSET($H$3,0,0,'Données projet'!$E$10+1,1))</f>
        <v>242.48830542479988</v>
      </c>
      <c r="AO19" s="59">
        <f t="shared" si="36"/>
        <v>226.11219631227061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2.9235042735042733</v>
      </c>
      <c r="BD19" s="12">
        <f>IF('Données projet'!$A$88&gt;35,BD18+BC19-BL18,IF(A19&lt;'Données projet'!$A$88,$BA$205^A19,IF(A19='Données projet'!$A$88,'Données projet'!$B$88,BD18+BC19-BL18)))</f>
        <v>10.87126277571476</v>
      </c>
      <c r="BE19" s="13">
        <f>BD19*VLOOKUP('Données projet'!$B$11,Paramètres!$A$1:$I$89,3,0)*VLOOKUP('Données projet'!$B$11,Paramètres!$A$1:$I$89,5,0)</f>
        <v>11.023460454574767</v>
      </c>
      <c r="BF19" s="13">
        <f t="shared" si="37"/>
        <v>3.8418836132426954</v>
      </c>
      <c r="BG19" s="20">
        <f t="shared" si="7"/>
        <v>25.890474251448747</v>
      </c>
      <c r="BH19" s="59">
        <f t="shared" si="8"/>
        <v>319.22380758478204</v>
      </c>
      <c r="BI19" s="59">
        <f ca="1">AVERAGE(OFFSET($BH$3,0,0,'Données projet'!$E$11+1,1))-AVERAGE(OFFSET($H$3,0,0,'Données projet'!$E$11+1,1))</f>
        <v>402.5435069258703</v>
      </c>
      <c r="BJ19" s="59">
        <f t="shared" si="38"/>
        <v>163.60655195816349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2.9235042735042733</v>
      </c>
      <c r="BY19" s="12">
        <f>IF('Données projet'!$A$114&gt;35,BY18+BX19-CG18,IF(A19&lt;'Données projet'!$A$114,$BV$205^A19,IF(A19='Données projet'!$A$114,'Données projet'!$B$114,BY18+BX19-CG18)))</f>
        <v>10.87126277571476</v>
      </c>
      <c r="BZ19" s="13">
        <f>BY19*VLOOKUP('Données projet'!$B$12,Paramètres!$A$1:$I$89,3,0)*VLOOKUP('Données projet'!$B$12,Paramètres!$A$1:$I$89,5,0)</f>
        <v>9.8363185594667133</v>
      </c>
      <c r="CA19" s="13">
        <f t="shared" si="39"/>
        <v>3.4739129955724146</v>
      </c>
      <c r="CB19" s="20">
        <f t="shared" si="10"/>
        <v>23.181986625026479</v>
      </c>
      <c r="CC19" s="59">
        <f t="shared" si="11"/>
        <v>316.51531995835978</v>
      </c>
      <c r="CD19" s="59">
        <f ca="1">AVERAGE(OFFSET($CC$3,0,0,'Données projet'!$E$12+1,1))-AVERAGE(OFFSET($H$3,0,0,'Données projet'!$E$12+1,1))</f>
        <v>350.91577977538822</v>
      </c>
      <c r="CE19" s="59">
        <f t="shared" si="40"/>
        <v>142.87103313412547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11.6</v>
      </c>
      <c r="CT19" s="12">
        <f>IF('Données projet'!$A$140&gt;35,CT18+CS19-DB18,IF(A19&lt;'Données projet'!$A$140,$CQ$205^A19,IF(A19='Données projet'!$A$140,'Données projet'!$B$140,CT18+CS19-DB18)))</f>
        <v>33.6</v>
      </c>
      <c r="CU19" s="17">
        <f>CT19*VLOOKUP('Données projet'!$B$13,Paramètres!$A$1:$I$89,3,0)*VLOOKUP('Données projet'!$B$13,Paramètres!$A$1:$I$89,5,0)</f>
        <v>27.256320000000002</v>
      </c>
      <c r="CV19" s="13">
        <f t="shared" si="41"/>
        <v>8.5493067504276556</v>
      </c>
      <c r="CW19" s="20">
        <f t="shared" si="13"/>
        <v>62.361466590328156</v>
      </c>
      <c r="CX19" s="59">
        <f t="shared" si="14"/>
        <v>355.69479992366149</v>
      </c>
      <c r="CY19" s="59">
        <f ca="1">AVERAGE(OFFSET($CX$3,0,0,'Données projet'!$E$13+1,1))-AVERAGE(OFFSET($H$3,0,0,'Données projet'!$E$13+1,1))</f>
        <v>230.38929580146208</v>
      </c>
      <c r="CZ19" s="59">
        <f t="shared" si="42"/>
        <v>227.1847788696258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0.17450000000000002</v>
      </c>
      <c r="DO19" s="12">
        <f>IF('Données projet'!$A$166&gt;35,DO18+DN19-DW18,IF(A19&lt;'Données projet'!$A$166,$DL$205^A19,IF(A19='Données projet'!$A$166,'Données projet'!$B$166,DO18+DN19-DW18)))</f>
        <v>2.7180681499275274</v>
      </c>
      <c r="DP19" s="17">
        <f>DO19*VLOOKUP('Données projet'!$B$14,Paramètres!$A$1:$I$89,3,0)*VLOOKUP('Données projet'!$B$14,Paramètres!$A$1:$I$89,5,0)</f>
        <v>1.6254047536566614</v>
      </c>
      <c r="DQ19" s="13">
        <f t="shared" si="43"/>
        <v>0.70787678351137417</v>
      </c>
      <c r="DR19" s="20">
        <f t="shared" si="16"/>
        <v>4.0637986772343284</v>
      </c>
      <c r="DS19" s="59">
        <f t="shared" si="17"/>
        <v>297.39713201056765</v>
      </c>
      <c r="DT19" s="59">
        <f ca="1">AVERAGE(OFFSET($DS$3,0,0,'Données projet'!$E$14+1,1))-AVERAGE(OFFSET($H$3,0,0,'Données projet'!$E$14+1,1))</f>
        <v>145.97103392561058</v>
      </c>
      <c r="DU19" s="59">
        <f t="shared" si="44"/>
        <v>62.920713953681172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172.88</v>
      </c>
      <c r="L20" s="12">
        <f>VLOOKUP(A20,'Données projet'!$A$35:$I$55,9,0)</f>
        <v>10.169411764705883</v>
      </c>
      <c r="M20" s="12">
        <f t="array" ref="M20">INDEX(L:L,MIN(IF(ISNUMBER(L20:L216),ROW(L20:L216),"")))</f>
        <v>10.169411764705883</v>
      </c>
      <c r="N20" s="13">
        <f>IF('Données projet'!$A$36&gt;35,N19+M20-V19,IF(A20&lt;'Données projet'!$A$36,$K$205^A20,IF(A20='Données projet'!$A$36,'Données projet'!$B$36,N19+M20-V19)))</f>
        <v>172.88</v>
      </c>
      <c r="O20" s="13">
        <f>N20*VLOOKUP('Données projet'!$B$9,Paramètres!$A$1:$I$89,3,0)*VLOOKUP('Données projet'!$B$9,Paramètres!$A$1:$I$89,5,0)</f>
        <v>96.639919999999989</v>
      </c>
      <c r="P20" s="13">
        <f t="shared" si="33"/>
        <v>26.159919476529339</v>
      </c>
      <c r="Q20" s="20">
        <f t="shared" si="2"/>
        <v>213.87638708828857</v>
      </c>
      <c r="R20" s="59">
        <f t="shared" si="0"/>
        <v>507.20972042162191</v>
      </c>
      <c r="S20" s="59">
        <f ca="1">AVERAGE(OFFSET($R$3,0,0,'Données projet'!$E$9+1,1))-AVERAGE(OFFSET($H$3,0,0,'Données projet'!$E$9+1,1))</f>
        <v>350.01600895263641</v>
      </c>
      <c r="T20" s="59">
        <f t="shared" si="34"/>
        <v>464.08921044376882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9.6</v>
      </c>
      <c r="AI20" s="13">
        <f>IF('Données projet'!$A$62&gt;35,AI19+AH20-AQ19,IF(A20&lt;'Données projet'!$A$62,$AF$205^A20,IF(A20='Données projet'!$A$62,'Données projet'!$B$62,AI19+AH20-AQ19)))</f>
        <v>79.199999999999989</v>
      </c>
      <c r="AJ20" s="13">
        <f>AI20*VLOOKUP('Données projet'!$B$10,Paramètres!$A$1:$I$89,3,0)*VLOOKUP('Données projet'!$B$10,Paramètres!$A$1:$I$89,5,0)</f>
        <v>69.189120000000003</v>
      </c>
      <c r="AK20" s="13">
        <f t="shared" si="35"/>
        <v>19.471951138068807</v>
      </c>
      <c r="AL20" s="20">
        <f t="shared" si="4"/>
        <v>154.41803223213648</v>
      </c>
      <c r="AM20" s="59">
        <f t="shared" si="5"/>
        <v>447.75136556546977</v>
      </c>
      <c r="AN20" s="59">
        <f ca="1">AVERAGE(OFFSET($AM$3,0,0,'Données projet'!$E$10+1,1))-AVERAGE(OFFSET($H$3,0,0,'Données projet'!$E$10+1,1))</f>
        <v>242.48830542479988</v>
      </c>
      <c r="AO20" s="59">
        <f t="shared" si="36"/>
        <v>226.11219631227061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2.9235042735042733</v>
      </c>
      <c r="BD20" s="12">
        <f>IF('Données projet'!$A$88&gt;35,BD19+BC20-BL19,IF(A20&lt;'Données projet'!$A$88,$BA$205^A20,IF(A20='Données projet'!$A$88,'Données projet'!$B$88,BD19+BC20-BL19)))</f>
        <v>12.619655315413629</v>
      </c>
      <c r="BE20" s="13">
        <f>BD20*VLOOKUP('Données projet'!$B$11,Paramètres!$A$1:$I$89,3,0)*VLOOKUP('Données projet'!$B$11,Paramètres!$A$1:$I$89,5,0)</f>
        <v>12.796330489829421</v>
      </c>
      <c r="BF20" s="13">
        <f t="shared" si="37"/>
        <v>4.383013080656192</v>
      </c>
      <c r="BG20" s="20">
        <f t="shared" si="7"/>
        <v>29.92069005192911</v>
      </c>
      <c r="BH20" s="59">
        <f t="shared" si="8"/>
        <v>323.25402338526243</v>
      </c>
      <c r="BI20" s="59">
        <f ca="1">AVERAGE(OFFSET($BH$3,0,0,'Données projet'!$E$11+1,1))-AVERAGE(OFFSET($H$3,0,0,'Données projet'!$E$11+1,1))</f>
        <v>402.5435069258703</v>
      </c>
      <c r="BJ20" s="59">
        <f t="shared" si="38"/>
        <v>163.60655195816349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2.9235042735042733</v>
      </c>
      <c r="BY20" s="12">
        <f>IF('Données projet'!$A$114&gt;35,BY19+BX20-CG19,IF(A20&lt;'Données projet'!$A$114,$BV$205^A20,IF(A20='Données projet'!$A$114,'Données projet'!$B$114,BY19+BX20-CG19)))</f>
        <v>12.619655315413629</v>
      </c>
      <c r="BZ20" s="13">
        <f>BY20*VLOOKUP('Données projet'!$B$12,Paramètres!$A$1:$I$89,3,0)*VLOOKUP('Données projet'!$B$12,Paramètres!$A$1:$I$89,5,0)</f>
        <v>11.418264129386252</v>
      </c>
      <c r="CA20" s="13">
        <f t="shared" si="39"/>
        <v>3.9632137861156949</v>
      </c>
      <c r="CB20" s="20">
        <f t="shared" si="10"/>
        <v>26.789407369499227</v>
      </c>
      <c r="CC20" s="59">
        <f t="shared" si="11"/>
        <v>320.12274070283252</v>
      </c>
      <c r="CD20" s="59">
        <f ca="1">AVERAGE(OFFSET($CC$3,0,0,'Données projet'!$E$12+1,1))-AVERAGE(OFFSET($H$3,0,0,'Données projet'!$E$12+1,1))</f>
        <v>350.91577977538822</v>
      </c>
      <c r="CE20" s="59">
        <f t="shared" si="40"/>
        <v>142.87103313412547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11.6</v>
      </c>
      <c r="CT20" s="12">
        <f>IF('Données projet'!$A$140&gt;35,CT19+CS20-DB19,IF(A20&lt;'Données projet'!$A$140,$CQ$205^A20,IF(A20='Données projet'!$A$140,'Données projet'!$B$140,CT19+CS20-DB19)))</f>
        <v>45.2</v>
      </c>
      <c r="CU20" s="17">
        <f>CT20*VLOOKUP('Données projet'!$B$13,Paramètres!$A$1:$I$89,3,0)*VLOOKUP('Données projet'!$B$13,Paramètres!$A$1:$I$89,5,0)</f>
        <v>36.666240000000002</v>
      </c>
      <c r="CV20" s="13">
        <f t="shared" si="41"/>
        <v>11.110608259650514</v>
      </c>
      <c r="CW20" s="20">
        <f t="shared" si="13"/>
        <v>83.211344052224646</v>
      </c>
      <c r="CX20" s="59">
        <f t="shared" si="14"/>
        <v>376.54467738555797</v>
      </c>
      <c r="CY20" s="59">
        <f ca="1">AVERAGE(OFFSET($CX$3,0,0,'Données projet'!$E$13+1,1))-AVERAGE(OFFSET($H$3,0,0,'Données projet'!$E$13+1,1))</f>
        <v>230.38929580146208</v>
      </c>
      <c r="CZ20" s="59">
        <f t="shared" si="42"/>
        <v>227.1847788696258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0.17450000000000002</v>
      </c>
      <c r="DO20" s="12">
        <f>IF('Données projet'!$A$166&gt;35,DO19+DN20-DW19,IF(A20&lt;'Données projet'!$A$166,$DL$205^A20,IF(A20='Données projet'!$A$166,'Données projet'!$B$166,DO19+DN20-DW19)))</f>
        <v>2.8933542689268616</v>
      </c>
      <c r="DP20" s="17">
        <f>DO20*VLOOKUP('Données projet'!$B$14,Paramètres!$A$1:$I$89,3,0)*VLOOKUP('Données projet'!$B$14,Paramètres!$A$1:$I$89,5,0)</f>
        <v>1.7302258528182632</v>
      </c>
      <c r="DQ20" s="13">
        <f t="shared" si="43"/>
        <v>0.7480656209470854</v>
      </c>
      <c r="DR20" s="20">
        <f t="shared" si="16"/>
        <v>4.3163576501413159</v>
      </c>
      <c r="DS20" s="59">
        <f t="shared" si="17"/>
        <v>297.64969098347461</v>
      </c>
      <c r="DT20" s="59">
        <f ca="1">AVERAGE(OFFSET($DS$3,0,0,'Données projet'!$E$14+1,1))-AVERAGE(OFFSET($H$3,0,0,'Données projet'!$E$14+1,1))</f>
        <v>145.97103392561058</v>
      </c>
      <c r="DU20" s="59">
        <f t="shared" si="44"/>
        <v>62.920713953681172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202.42</v>
      </c>
      <c r="L21" s="12">
        <f>VLOOKUP(A21,'Données projet'!$A$35:$I$55,9,0)</f>
        <v>29.539999999999992</v>
      </c>
      <c r="M21" s="12">
        <f t="array" ref="M21">INDEX(L:L,MIN(IF(ISNUMBER(L21:L217),ROW(L21:L217),"")))</f>
        <v>29.539999999999992</v>
      </c>
      <c r="N21" s="13">
        <f>IF('Données projet'!$A$36&gt;35,N20+M21-V20,IF(A21&lt;'Données projet'!$A$36,$K$205^A21,IF(A21='Données projet'!$A$36,'Données projet'!$B$36,N20+M21-V20)))</f>
        <v>202.42</v>
      </c>
      <c r="O21" s="13">
        <f>N21*VLOOKUP('Données projet'!$B$9,Paramètres!$A$1:$I$89,3,0)*VLOOKUP('Données projet'!$B$9,Paramètres!$A$1:$I$89,5,0)</f>
        <v>113.15278000000001</v>
      </c>
      <c r="P21" s="13">
        <f t="shared" si="33"/>
        <v>30.072578047950454</v>
      </c>
      <c r="Q21" s="20">
        <f t="shared" si="2"/>
        <v>249.45083193351374</v>
      </c>
      <c r="R21" s="59">
        <f t="shared" si="0"/>
        <v>542.78416526684703</v>
      </c>
      <c r="S21" s="59">
        <f ca="1">AVERAGE(OFFSET($R$3,0,0,'Données projet'!$E$9+1,1))-AVERAGE(OFFSET($H$3,0,0,'Données projet'!$E$9+1,1))</f>
        <v>350.01600895263641</v>
      </c>
      <c r="T21" s="59">
        <f t="shared" si="34"/>
        <v>464.08921044376882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74.819999999999993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1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47.354913860019963</v>
      </c>
      <c r="AC21" s="22">
        <f t="shared" si="3"/>
        <v>47.354913860019963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9.6</v>
      </c>
      <c r="AI21" s="13">
        <f>IF('Données projet'!$A$62&gt;35,AI20+AH21-AQ20,IF(A21&lt;'Données projet'!$A$62,$AF$205^A21,IF(A21='Données projet'!$A$62,'Données projet'!$B$62,AI20+AH21-AQ20)))</f>
        <v>88.799999999999983</v>
      </c>
      <c r="AJ21" s="13">
        <f>AI21*VLOOKUP('Données projet'!$B$10,Paramètres!$A$1:$I$89,3,0)*VLOOKUP('Données projet'!$B$10,Paramètres!$A$1:$I$89,5,0)</f>
        <v>77.575679999999991</v>
      </c>
      <c r="AK21" s="13">
        <f t="shared" si="35"/>
        <v>21.543367858551072</v>
      </c>
      <c r="AL21" s="20">
        <f t="shared" si="4"/>
        <v>172.63234168697639</v>
      </c>
      <c r="AM21" s="59">
        <f t="shared" si="5"/>
        <v>465.96567502030973</v>
      </c>
      <c r="AN21" s="59">
        <f ca="1">AVERAGE(OFFSET($AM$3,0,0,'Données projet'!$E$10+1,1))-AVERAGE(OFFSET($H$3,0,0,'Données projet'!$E$10+1,1))</f>
        <v>242.48830542479988</v>
      </c>
      <c r="AO21" s="59">
        <f t="shared" si="36"/>
        <v>226.11219631227061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2.9235042735042733</v>
      </c>
      <c r="BD21" s="12">
        <f>IF('Données projet'!$A$88&gt;35,BD20+BC21-BL20,IF(A21&lt;'Données projet'!$A$88,$BA$205^A21,IF(A21='Données projet'!$A$88,'Données projet'!$B$88,BD20+BC21-BL20)))</f>
        <v>14.649236575865659</v>
      </c>
      <c r="BE21" s="13">
        <f>BD21*VLOOKUP('Données projet'!$B$11,Paramètres!$A$1:$I$89,3,0)*VLOOKUP('Données projet'!$B$11,Paramètres!$A$1:$I$89,5,0)</f>
        <v>14.85432588792778</v>
      </c>
      <c r="BF21" s="13">
        <f t="shared" si="37"/>
        <v>5.000360656159657</v>
      </c>
      <c r="BG21" s="20">
        <f t="shared" si="7"/>
        <v>34.580245730952278</v>
      </c>
      <c r="BH21" s="59">
        <f t="shared" si="8"/>
        <v>327.91357906428561</v>
      </c>
      <c r="BI21" s="59">
        <f ca="1">AVERAGE(OFFSET($BH$3,0,0,'Données projet'!$E$11+1,1))-AVERAGE(OFFSET($H$3,0,0,'Données projet'!$E$11+1,1))</f>
        <v>402.5435069258703</v>
      </c>
      <c r="BJ21" s="59">
        <f t="shared" si="38"/>
        <v>163.60655195816349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2.9235042735042733</v>
      </c>
      <c r="BY21" s="12">
        <f>IF('Données projet'!$A$114&gt;35,BY20+BX21-CG20,IF(A21&lt;'Données projet'!$A$114,$BV$205^A21,IF(A21='Données projet'!$A$114,'Données projet'!$B$114,BY20+BX21-CG20)))</f>
        <v>14.649236575865659</v>
      </c>
      <c r="BZ21" s="13">
        <f>BY21*VLOOKUP('Données projet'!$B$12,Paramètres!$A$1:$I$89,3,0)*VLOOKUP('Données projet'!$B$12,Paramètres!$A$1:$I$89,5,0)</f>
        <v>13.254629253843246</v>
      </c>
      <c r="CA21" s="13">
        <f t="shared" si="39"/>
        <v>4.5214326134467182</v>
      </c>
      <c r="CB21" s="20">
        <f t="shared" si="10"/>
        <v>30.959974418863357</v>
      </c>
      <c r="CC21" s="59">
        <f t="shared" si="11"/>
        <v>324.29330775219665</v>
      </c>
      <c r="CD21" s="59">
        <f ca="1">AVERAGE(OFFSET($CC$3,0,0,'Données projet'!$E$12+1,1))-AVERAGE(OFFSET($H$3,0,0,'Données projet'!$E$12+1,1))</f>
        <v>350.91577977538822</v>
      </c>
      <c r="CE21" s="59">
        <f t="shared" si="40"/>
        <v>142.87103313412547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11.6</v>
      </c>
      <c r="CT21" s="12">
        <f>IF('Données projet'!$A$140&gt;35,CT20+CS21-DB20,IF(A21&lt;'Données projet'!$A$140,$CQ$205^A21,IF(A21='Données projet'!$A$140,'Données projet'!$B$140,CT20+CS21-DB20)))</f>
        <v>56.800000000000004</v>
      </c>
      <c r="CU21" s="17">
        <f>CT21*VLOOKUP('Données projet'!$B$13,Paramètres!$A$1:$I$89,3,0)*VLOOKUP('Données projet'!$B$13,Paramètres!$A$1:$I$89,5,0)</f>
        <v>46.076160000000009</v>
      </c>
      <c r="CV21" s="13">
        <f t="shared" si="41"/>
        <v>13.595641486972058</v>
      </c>
      <c r="CW21" s="20">
        <f t="shared" si="13"/>
        <v>103.92838758980967</v>
      </c>
      <c r="CX21" s="59">
        <f t="shared" si="14"/>
        <v>397.261720923143</v>
      </c>
      <c r="CY21" s="59">
        <f ca="1">AVERAGE(OFFSET($CX$3,0,0,'Données projet'!$E$13+1,1))-AVERAGE(OFFSET($H$3,0,0,'Données projet'!$E$13+1,1))</f>
        <v>230.38929580146208</v>
      </c>
      <c r="CZ21" s="59">
        <f t="shared" si="42"/>
        <v>227.1847788696258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0.17450000000000002</v>
      </c>
      <c r="DO21" s="12">
        <f>IF('Données projet'!$A$166&gt;35,DO20+DN21-DW20,IF(A21&lt;'Données projet'!$A$166,$DL$205^A21,IF(A21='Données projet'!$A$166,'Données projet'!$B$166,DO20+DN21-DW20)))</f>
        <v>3.0799444545717174</v>
      </c>
      <c r="DP21" s="17">
        <f>DO21*VLOOKUP('Données projet'!$B$14,Paramètres!$A$1:$I$89,3,0)*VLOOKUP('Données projet'!$B$14,Paramètres!$A$1:$I$89,5,0)</f>
        <v>1.8418067838338872</v>
      </c>
      <c r="DQ21" s="13">
        <f t="shared" si="43"/>
        <v>0.79053613040829007</v>
      </c>
      <c r="DR21" s="20">
        <f t="shared" si="16"/>
        <v>4.584663908971792</v>
      </c>
      <c r="DS21" s="59">
        <f t="shared" si="17"/>
        <v>297.91799724230509</v>
      </c>
      <c r="DT21" s="59">
        <f ca="1">AVERAGE(OFFSET($DS$3,0,0,'Données projet'!$E$14+1,1))-AVERAGE(OFFSET($H$3,0,0,'Données projet'!$E$14+1,1))</f>
        <v>145.97103392561058</v>
      </c>
      <c r="DU21" s="59">
        <f t="shared" si="44"/>
        <v>62.920713953681172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26.926666666666673</v>
      </c>
      <c r="N22" s="13">
        <f>IF('Données projet'!$A$36&gt;35,N21+M22-V21,IF(A22&lt;'Données projet'!$A$36,$K$205^A22,IF(A22='Données projet'!$A$36,'Données projet'!$B$36,N21+M22-V21)))</f>
        <v>154.52666666666667</v>
      </c>
      <c r="O22" s="13">
        <f>N22*VLOOKUP('Données projet'!$B$9,Paramètres!$A$1:$I$89,3,0)*VLOOKUP('Données projet'!$B$9,Paramètres!$A$1:$I$89,5,0)</f>
        <v>86.380406666666673</v>
      </c>
      <c r="P22" s="13">
        <f t="shared" si="33"/>
        <v>23.690191684477199</v>
      </c>
      <c r="Q22" s="20">
        <f t="shared" si="2"/>
        <v>191.70629212824224</v>
      </c>
      <c r="R22" s="59">
        <f t="shared" si="0"/>
        <v>485.03962546157555</v>
      </c>
      <c r="S22" s="59">
        <f ca="1">AVERAGE(OFFSET($R$3,0,0,'Données projet'!$E$9+1,1))-AVERAGE(OFFSET($H$3,0,0,'Données projet'!$E$9+1,1))</f>
        <v>350.01600895263641</v>
      </c>
      <c r="T22" s="59">
        <f t="shared" si="34"/>
        <v>464.08921044376882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33.484980712924944</v>
      </c>
      <c r="AC22" s="22">
        <f t="shared" si="3"/>
        <v>33.484980712924944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9.6</v>
      </c>
      <c r="AI22" s="13">
        <f>IF('Données projet'!$A$62&gt;35,AI21+AH22-AQ21,IF(A22&lt;'Données projet'!$A$62,$AF$205^A22,IF(A22='Données projet'!$A$62,'Données projet'!$B$62,AI21+AH22-AQ21)))</f>
        <v>98.399999999999977</v>
      </c>
      <c r="AJ22" s="13">
        <f>AI22*VLOOKUP('Données projet'!$B$10,Paramètres!$A$1:$I$89,3,0)*VLOOKUP('Données projet'!$B$10,Paramètres!$A$1:$I$89,5,0)</f>
        <v>85.962239999999994</v>
      </c>
      <c r="AK22" s="13">
        <f t="shared" si="35"/>
        <v>23.588828321049387</v>
      </c>
      <c r="AL22" s="20">
        <f t="shared" si="4"/>
        <v>190.80144399249434</v>
      </c>
      <c r="AM22" s="59">
        <f t="shared" si="5"/>
        <v>484.13477732582766</v>
      </c>
      <c r="AN22" s="59">
        <f ca="1">AVERAGE(OFFSET($AM$3,0,0,'Données projet'!$E$10+1,1))-AVERAGE(OFFSET($H$3,0,0,'Données projet'!$E$10+1,1))</f>
        <v>242.48830542479988</v>
      </c>
      <c r="AO22" s="59">
        <f t="shared" si="36"/>
        <v>226.11219631227061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2.9235042735042733</v>
      </c>
      <c r="BD22" s="12">
        <f>IF('Données projet'!$A$88&gt;35,BD21+BC22-BL21,IF(A22&lt;'Données projet'!$A$88,$BA$205^A22,IF(A22='Données projet'!$A$88,'Données projet'!$B$88,BD21+BC22-BL21)))</f>
        <v>17.005229294461625</v>
      </c>
      <c r="BE22" s="13">
        <f>BD22*VLOOKUP('Données projet'!$B$11,Paramètres!$A$1:$I$89,3,0)*VLOOKUP('Données projet'!$B$11,Paramètres!$A$1:$I$89,5,0)</f>
        <v>17.24330250458409</v>
      </c>
      <c r="BF22" s="13">
        <f t="shared" si="37"/>
        <v>5.7046616634614491</v>
      </c>
      <c r="BG22" s="20">
        <f t="shared" si="7"/>
        <v>39.967704259345972</v>
      </c>
      <c r="BH22" s="59">
        <f t="shared" si="8"/>
        <v>333.30103759267928</v>
      </c>
      <c r="BI22" s="59">
        <f ca="1">AVERAGE(OFFSET($BH$3,0,0,'Données projet'!$E$11+1,1))-AVERAGE(OFFSET($H$3,0,0,'Données projet'!$E$11+1,1))</f>
        <v>402.5435069258703</v>
      </c>
      <c r="BJ22" s="59">
        <f t="shared" si="38"/>
        <v>163.60655195816349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2.9235042735042733</v>
      </c>
      <c r="BY22" s="12">
        <f>IF('Données projet'!$A$114&gt;35,BY21+BX22-CG21,IF(A22&lt;'Données projet'!$A$114,$BV$205^A22,IF(A22='Données projet'!$A$114,'Données projet'!$B$114,BY21+BX22-CG21)))</f>
        <v>17.005229294461625</v>
      </c>
      <c r="BZ22" s="13">
        <f>BY22*VLOOKUP('Données projet'!$B$12,Paramètres!$A$1:$I$89,3,0)*VLOOKUP('Données projet'!$B$12,Paramètres!$A$1:$I$89,5,0)</f>
        <v>15.386331465628878</v>
      </c>
      <c r="CA22" s="13">
        <f t="shared" si="39"/>
        <v>5.1582765859259734</v>
      </c>
      <c r="CB22" s="20">
        <f t="shared" si="10"/>
        <v>35.781859023124703</v>
      </c>
      <c r="CC22" s="59">
        <f t="shared" si="11"/>
        <v>329.11519235645801</v>
      </c>
      <c r="CD22" s="59">
        <f ca="1">AVERAGE(OFFSET($CC$3,0,0,'Données projet'!$E$12+1,1))-AVERAGE(OFFSET($H$3,0,0,'Données projet'!$E$12+1,1))</f>
        <v>350.91577977538822</v>
      </c>
      <c r="CE22" s="59">
        <f t="shared" si="40"/>
        <v>142.87103313412547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11.6</v>
      </c>
      <c r="CT22" s="12">
        <f>IF('Données projet'!$A$140&gt;35,CT21+CS22-DB21,IF(A22&lt;'Données projet'!$A$140,$CQ$205^A22,IF(A22='Données projet'!$A$140,'Données projet'!$B$140,CT21+CS22-DB21)))</f>
        <v>68.400000000000006</v>
      </c>
      <c r="CU22" s="17">
        <f>CT22*VLOOKUP('Données projet'!$B$13,Paramètres!$A$1:$I$89,3,0)*VLOOKUP('Données projet'!$B$13,Paramètres!$A$1:$I$89,5,0)</f>
        <v>55.486080000000008</v>
      </c>
      <c r="CV22" s="13">
        <f t="shared" si="41"/>
        <v>16.021865657934267</v>
      </c>
      <c r="CW22" s="20">
        <f t="shared" si="13"/>
        <v>124.54300535423552</v>
      </c>
      <c r="CX22" s="59">
        <f t="shared" si="14"/>
        <v>417.87633868756882</v>
      </c>
      <c r="CY22" s="59">
        <f ca="1">AVERAGE(OFFSET($CX$3,0,0,'Données projet'!$E$13+1,1))-AVERAGE(OFFSET($H$3,0,0,'Données projet'!$E$13+1,1))</f>
        <v>230.38929580146208</v>
      </c>
      <c r="CZ22" s="59">
        <f t="shared" si="42"/>
        <v>227.1847788696258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0.17450000000000002</v>
      </c>
      <c r="DO22" s="12">
        <f>IF('Données projet'!$A$166&gt;35,DO21+DN22-DW21,IF(A22&lt;'Données projet'!$A$166,$DL$205^A22,IF(A22='Données projet'!$A$166,'Données projet'!$B$166,DO21+DN22-DW21)))</f>
        <v>3.2785676974031355</v>
      </c>
      <c r="DP22" s="17">
        <f>DO22*VLOOKUP('Données projet'!$B$14,Paramètres!$A$1:$I$89,3,0)*VLOOKUP('Données projet'!$B$14,Paramètres!$A$1:$I$89,5,0)</f>
        <v>1.9605834830470752</v>
      </c>
      <c r="DQ22" s="13">
        <f t="shared" si="43"/>
        <v>0.83541785102983457</v>
      </c>
      <c r="DR22" s="20">
        <f t="shared" si="16"/>
        <v>4.8697023235172834</v>
      </c>
      <c r="DS22" s="59">
        <f t="shared" si="17"/>
        <v>298.2030356568506</v>
      </c>
      <c r="DT22" s="59">
        <f ca="1">AVERAGE(OFFSET($DS$3,0,0,'Données projet'!$E$14+1,1))-AVERAGE(OFFSET($H$3,0,0,'Données projet'!$E$14+1,1))</f>
        <v>145.97103392561058</v>
      </c>
      <c r="DU22" s="59">
        <f t="shared" si="44"/>
        <v>62.920713953681172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26.926666666666673</v>
      </c>
      <c r="N23" s="13">
        <f>IF('Données projet'!$A$36&gt;35,N22+M23-V22,IF(A23&lt;'Données projet'!$A$36,$K$205^A23,IF(A23='Données projet'!$A$36,'Données projet'!$B$36,N22+M23-V22)))</f>
        <v>181.45333333333335</v>
      </c>
      <c r="O23" s="13">
        <f>N23*VLOOKUP('Données projet'!$B$9,Paramètres!$A$1:$I$89,3,0)*VLOOKUP('Données projet'!$B$9,Paramètres!$A$1:$I$89,5,0)</f>
        <v>101.43241333333334</v>
      </c>
      <c r="P23" s="13">
        <f t="shared" si="33"/>
        <v>27.302967287299122</v>
      </c>
      <c r="Q23" s="20">
        <f t="shared" si="2"/>
        <v>224.21412124760153</v>
      </c>
      <c r="R23" s="59">
        <f t="shared" si="0"/>
        <v>517.54745458093487</v>
      </c>
      <c r="S23" s="59">
        <f ca="1">AVERAGE(OFFSET($R$3,0,0,'Données projet'!$E$9+1,1))-AVERAGE(OFFSET($H$3,0,0,'Données projet'!$E$9+1,1))</f>
        <v>350.01600895263641</v>
      </c>
      <c r="T23" s="59">
        <f t="shared" si="34"/>
        <v>464.08921044376882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23.677456930009985</v>
      </c>
      <c r="AC23" s="22">
        <f t="shared" si="3"/>
        <v>23.677456930009985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108</v>
      </c>
      <c r="AG23" s="12">
        <f>VLOOKUP(A23,'Données projet'!$A$61:$I$81,9,0)</f>
        <v>9.6</v>
      </c>
      <c r="AH23" s="12">
        <f t="array" ref="AH23">INDEX(AG:AG,MIN(IF(ISNUMBER(AG23:AG219),ROW(AG23:AG219),"")))</f>
        <v>9.6</v>
      </c>
      <c r="AI23" s="13">
        <f>IF('Données projet'!$A$62&gt;35,AI22+AH23-AQ22,IF(A23&lt;'Données projet'!$A$62,$AF$205^A23,IF(A23='Données projet'!$A$62,'Données projet'!$B$62,AI22+AH23-AQ22)))</f>
        <v>107.99999999999997</v>
      </c>
      <c r="AJ23" s="13">
        <f>AI23*VLOOKUP('Données projet'!$B$10,Paramètres!$A$1:$I$89,3,0)*VLOOKUP('Données projet'!$B$10,Paramètres!$A$1:$I$89,5,0)</f>
        <v>94.348799999999983</v>
      </c>
      <c r="AK23" s="13">
        <f t="shared" si="35"/>
        <v>25.611153022386461</v>
      </c>
      <c r="AL23" s="20">
        <f t="shared" si="4"/>
        <v>208.9302515139897</v>
      </c>
      <c r="AM23" s="59">
        <f t="shared" si="5"/>
        <v>502.26358484732305</v>
      </c>
      <c r="AN23" s="59">
        <f ca="1">AVERAGE(OFFSET($AM$3,0,0,'Données projet'!$E$10+1,1))-AVERAGE(OFFSET($H$3,0,0,'Données projet'!$E$10+1,1))</f>
        <v>242.48830542479988</v>
      </c>
      <c r="AO23" s="59">
        <f t="shared" si="36"/>
        <v>226.11219631227061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41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2.9235042735042733</v>
      </c>
      <c r="BD23" s="12">
        <f>IF('Données projet'!$A$88&gt;35,BD22+BC23-BL22,IF(A23&lt;'Données projet'!$A$88,$BA$205^A23,IF(A23='Données projet'!$A$88,'Données projet'!$B$88,BD22+BC23-BL22)))</f>
        <v>19.740129245617538</v>
      </c>
      <c r="BE23" s="13">
        <f>BD23*VLOOKUP('Données projet'!$B$11,Paramètres!$A$1:$I$89,3,0)*VLOOKUP('Données projet'!$B$11,Paramètres!$A$1:$I$89,5,0)</f>
        <v>20.016491055056186</v>
      </c>
      <c r="BF23" s="13">
        <f t="shared" si="37"/>
        <v>6.5081634970626938</v>
      </c>
      <c r="BG23" s="20">
        <f t="shared" si="7"/>
        <v>46.197106678273713</v>
      </c>
      <c r="BH23" s="59">
        <f t="shared" si="8"/>
        <v>339.53044001160703</v>
      </c>
      <c r="BI23" s="59">
        <f ca="1">AVERAGE(OFFSET($BH$3,0,0,'Données projet'!$E$11+1,1))-AVERAGE(OFFSET($H$3,0,0,'Données projet'!$E$11+1,1))</f>
        <v>402.5435069258703</v>
      </c>
      <c r="BJ23" s="59">
        <f t="shared" si="38"/>
        <v>163.60655195816349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2.9235042735042733</v>
      </c>
      <c r="BY23" s="12">
        <f>IF('Données projet'!$A$114&gt;35,BY22+BX23-CG22,IF(A23&lt;'Données projet'!$A$114,$BV$205^A23,IF(A23='Données projet'!$A$114,'Données projet'!$B$114,BY22+BX23-CG22)))</f>
        <v>19.740129245617538</v>
      </c>
      <c r="BZ23" s="13">
        <f>BY23*VLOOKUP('Données projet'!$B$12,Paramètres!$A$1:$I$89,3,0)*VLOOKUP('Données projet'!$B$12,Paramètres!$A$1:$I$89,5,0)</f>
        <v>17.860868941434749</v>
      </c>
      <c r="CA23" s="13">
        <f t="shared" si="39"/>
        <v>5.8848200585320249</v>
      </c>
      <c r="CB23" s="20">
        <f t="shared" si="10"/>
        <v>41.357075008275459</v>
      </c>
      <c r="CC23" s="59">
        <f t="shared" si="11"/>
        <v>334.69040834160876</v>
      </c>
      <c r="CD23" s="59">
        <f ca="1">AVERAGE(OFFSET($CC$3,0,0,'Données projet'!$E$12+1,1))-AVERAGE(OFFSET($H$3,0,0,'Données projet'!$E$12+1,1))</f>
        <v>350.91577977538822</v>
      </c>
      <c r="CE23" s="59">
        <f t="shared" si="40"/>
        <v>142.87103313412547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80</v>
      </c>
      <c r="CR23" s="12">
        <f>VLOOKUP(A23,'Données projet'!$A$139:$I$159,9,0)</f>
        <v>11.6</v>
      </c>
      <c r="CS23" s="12">
        <f t="array" ref="CS23">INDEX(CR:CR,MIN(IF(ISNUMBER(CR23:CR219),ROW(CR23:CR219),"")))</f>
        <v>11.6</v>
      </c>
      <c r="CT23" s="12">
        <f>IF('Données projet'!$A$140&gt;35,CT22+CS23-DB22,IF(A23&lt;'Données projet'!$A$140,$CQ$205^A23,IF(A23='Données projet'!$A$140,'Données projet'!$B$140,CT22+CS23-DB22)))</f>
        <v>80</v>
      </c>
      <c r="CU23" s="17">
        <f>CT23*VLOOKUP('Données projet'!$B$13,Paramètres!$A$1:$I$89,3,0)*VLOOKUP('Données projet'!$B$13,Paramètres!$A$1:$I$89,5,0)</f>
        <v>64.896000000000001</v>
      </c>
      <c r="CV23" s="13">
        <f t="shared" si="41"/>
        <v>18.400423846102964</v>
      </c>
      <c r="CW23" s="20">
        <f t="shared" si="13"/>
        <v>145.07460486529598</v>
      </c>
      <c r="CX23" s="59">
        <f t="shared" si="14"/>
        <v>438.40793819862927</v>
      </c>
      <c r="CY23" s="59">
        <f ca="1">AVERAGE(OFFSET($CX$3,0,0,'Données projet'!$E$13+1,1))-AVERAGE(OFFSET($H$3,0,0,'Données projet'!$E$13+1,1))</f>
        <v>230.38929580146208</v>
      </c>
      <c r="CZ23" s="59">
        <f t="shared" si="42"/>
        <v>227.1847788696258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28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3.49</v>
      </c>
      <c r="DM23" s="12">
        <f>VLOOKUP(A23,'Données projet'!$A$165:$I$185,9,0)</f>
        <v>0.17450000000000002</v>
      </c>
      <c r="DN23" s="12">
        <f t="array" ref="DN23">INDEX(DM:DM,MIN(IF(ISNUMBER(DM23:DM219),ROW(DM23:DM219),"")))</f>
        <v>0.17450000000000002</v>
      </c>
      <c r="DO23" s="12">
        <f>IF('Données projet'!$A$166&gt;35,DO22+DN23-DW22,IF(A23&lt;'Données projet'!$A$166,$DL$205^A23,IF(A23='Données projet'!$A$166,'Données projet'!$B$166,DO22+DN23-DW22)))</f>
        <v>3.49</v>
      </c>
      <c r="DP23" s="17">
        <f>DO23*VLOOKUP('Données projet'!$B$14,Paramètres!$A$1:$I$89,3,0)*VLOOKUP('Données projet'!$B$14,Paramètres!$A$1:$I$89,5,0)</f>
        <v>2.0870200000000003</v>
      </c>
      <c r="DQ23" s="13">
        <f t="shared" si="43"/>
        <v>0.88284767637229766</v>
      </c>
      <c r="DR23" s="20">
        <f t="shared" si="16"/>
        <v>5.1725195363484184</v>
      </c>
      <c r="DS23" s="59">
        <f t="shared" si="17"/>
        <v>298.50585286968175</v>
      </c>
      <c r="DT23" s="59">
        <f ca="1">AVERAGE(OFFSET($DS$3,0,0,'Données projet'!$E$14+1,1))-AVERAGE(OFFSET($H$3,0,0,'Données projet'!$E$14+1,1))</f>
        <v>145.97103392561058</v>
      </c>
      <c r="DU23" s="59">
        <f t="shared" si="44"/>
        <v>62.920713953681172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26.926666666666673</v>
      </c>
      <c r="N24" s="13">
        <f>IF('Données projet'!$A$36&gt;35,N23+M24-V23,IF(A24&lt;'Données projet'!$A$36,$K$205^A24,IF(A24='Données projet'!$A$36,'Données projet'!$B$36,N23+M24-V23)))</f>
        <v>208.38000000000002</v>
      </c>
      <c r="O24" s="13">
        <f>N24*VLOOKUP('Données projet'!$B$9,Paramètres!$A$1:$I$89,3,0)*VLOOKUP('Données projet'!$B$9,Paramètres!$A$1:$I$89,5,0)</f>
        <v>116.48442000000001</v>
      </c>
      <c r="P24" s="13">
        <f t="shared" si="33"/>
        <v>30.853634445731519</v>
      </c>
      <c r="Q24" s="20">
        <f t="shared" si="2"/>
        <v>256.61377815964903</v>
      </c>
      <c r="R24" s="59">
        <f t="shared" si="0"/>
        <v>549.94711149298234</v>
      </c>
      <c r="S24" s="59">
        <f ca="1">AVERAGE(OFFSET($R$3,0,0,'Données projet'!$E$9+1,1))-AVERAGE(OFFSET($H$3,0,0,'Données projet'!$E$9+1,1))</f>
        <v>350.01600895263641</v>
      </c>
      <c r="T24" s="59">
        <f t="shared" si="34"/>
        <v>464.08921044376882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16.742490356462476</v>
      </c>
      <c r="AC24" s="22">
        <f t="shared" si="3"/>
        <v>16.742490356462476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9.1999999999999993</v>
      </c>
      <c r="AI24" s="13">
        <f>IF('Données projet'!$A$62&gt;35,AI23+AH24-AQ23,IF(A24&lt;'Données projet'!$A$62,$AF$205^A24,IF(A24='Données projet'!$A$62,'Données projet'!$B$62,AI23+AH24-AQ23)))</f>
        <v>76.199999999999974</v>
      </c>
      <c r="AJ24" s="13">
        <f>AI24*VLOOKUP('Données projet'!$B$10,Paramètres!$A$1:$I$89,3,0)*VLOOKUP('Données projet'!$B$10,Paramètres!$A$1:$I$89,5,0)</f>
        <v>66.568319999999986</v>
      </c>
      <c r="AK24" s="13">
        <f t="shared" si="35"/>
        <v>18.818773418977681</v>
      </c>
      <c r="AL24" s="20">
        <f t="shared" si="4"/>
        <v>148.71585437138609</v>
      </c>
      <c r="AM24" s="59">
        <f t="shared" si="5"/>
        <v>442.04918770471943</v>
      </c>
      <c r="AN24" s="59">
        <f ca="1">AVERAGE(OFFSET($AM$3,0,0,'Données projet'!$E$10+1,1))-AVERAGE(OFFSET($H$3,0,0,'Données projet'!$E$10+1,1))</f>
        <v>242.48830542479988</v>
      </c>
      <c r="AO24" s="59">
        <f t="shared" si="36"/>
        <v>226.11219631227061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2.9235042735042733</v>
      </c>
      <c r="BD24" s="12">
        <f>IF('Données projet'!$A$88&gt;35,BD23+BC24-BL23,IF(A24&lt;'Données projet'!$A$88,$BA$205^A24,IF(A24='Données projet'!$A$88,'Données projet'!$B$88,BD23+BC24-BL23)))</f>
        <v>22.91487494147438</v>
      </c>
      <c r="BE24" s="13">
        <f>BD24*VLOOKUP('Données projet'!$B$11,Paramètres!$A$1:$I$89,3,0)*VLOOKUP('Données projet'!$B$11,Paramètres!$A$1:$I$89,5,0)</f>
        <v>23.235683190655024</v>
      </c>
      <c r="BF24" s="13">
        <f t="shared" si="37"/>
        <v>7.4248385974916156</v>
      </c>
      <c r="BG24" s="20">
        <f t="shared" si="7"/>
        <v>53.400408781022065</v>
      </c>
      <c r="BH24" s="59">
        <f t="shared" si="8"/>
        <v>346.73374211435538</v>
      </c>
      <c r="BI24" s="59">
        <f ca="1">AVERAGE(OFFSET($BH$3,0,0,'Données projet'!$E$11+1,1))-AVERAGE(OFFSET($H$3,0,0,'Données projet'!$E$11+1,1))</f>
        <v>402.5435069258703</v>
      </c>
      <c r="BJ24" s="59">
        <f t="shared" si="38"/>
        <v>163.60655195816349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2.9235042735042733</v>
      </c>
      <c r="BY24" s="12">
        <f>IF('Données projet'!$A$114&gt;35,BY23+BX24-CG23,IF(A24&lt;'Données projet'!$A$114,$BV$205^A24,IF(A24='Données projet'!$A$114,'Données projet'!$B$114,BY23+BX24-CG23)))</f>
        <v>22.91487494147438</v>
      </c>
      <c r="BZ24" s="13">
        <f>BY24*VLOOKUP('Données projet'!$B$12,Paramètres!$A$1:$I$89,3,0)*VLOOKUP('Données projet'!$B$12,Paramètres!$A$1:$I$89,5,0)</f>
        <v>20.733378847046019</v>
      </c>
      <c r="CA24" s="13">
        <f t="shared" si="39"/>
        <v>6.713697209604776</v>
      </c>
      <c r="CB24" s="20">
        <f t="shared" si="10"/>
        <v>47.803657465333458</v>
      </c>
      <c r="CC24" s="59">
        <f t="shared" si="11"/>
        <v>341.13699079866677</v>
      </c>
      <c r="CD24" s="59">
        <f ca="1">AVERAGE(OFFSET($CC$3,0,0,'Données projet'!$E$12+1,1))-AVERAGE(OFFSET($H$3,0,0,'Données projet'!$E$12+1,1))</f>
        <v>350.91577977538822</v>
      </c>
      <c r="CE24" s="59">
        <f t="shared" si="40"/>
        <v>142.87103313412547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12.6</v>
      </c>
      <c r="CT24" s="12">
        <f>IF('Données projet'!$A$140&gt;35,CT23+CS24-DB23,IF(A24&lt;'Données projet'!$A$140,$CQ$205^A24,IF(A24='Données projet'!$A$140,'Données projet'!$B$140,CT23+CS24-DB23)))</f>
        <v>64.599999999999994</v>
      </c>
      <c r="CU24" s="17">
        <f>CT24*VLOOKUP('Données projet'!$B$13,Paramètres!$A$1:$I$89,3,0)*VLOOKUP('Données projet'!$B$13,Paramètres!$A$1:$I$89,5,0)</f>
        <v>52.40352</v>
      </c>
      <c r="CV24" s="13">
        <f t="shared" si="41"/>
        <v>15.232772897226488</v>
      </c>
      <c r="CW24" s="20">
        <f t="shared" si="13"/>
        <v>117.79987679600281</v>
      </c>
      <c r="CX24" s="59">
        <f t="shared" si="14"/>
        <v>411.13321012933613</v>
      </c>
      <c r="CY24" s="59">
        <f ca="1">AVERAGE(OFFSET($CX$3,0,0,'Données projet'!$E$13+1,1))-AVERAGE(OFFSET($H$3,0,0,'Données projet'!$E$13+1,1))</f>
        <v>230.38929580146208</v>
      </c>
      <c r="CZ24" s="59">
        <f t="shared" si="42"/>
        <v>227.1847788696258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6.3119999999999994</v>
      </c>
      <c r="DO24" s="12">
        <f>IF('Données projet'!$A$166&gt;35,DO23+DN24-DW23,IF(A24&lt;'Données projet'!$A$166,$DL$205^A24,IF(A24='Données projet'!$A$166,'Données projet'!$B$166,DO23+DN24-DW23)))</f>
        <v>9.8019999999999996</v>
      </c>
      <c r="DP24" s="17">
        <f>DO24*VLOOKUP('Données projet'!$B$14,Paramètres!$A$1:$I$89,3,0)*VLOOKUP('Données projet'!$B$14,Paramètres!$A$1:$I$89,5,0)</f>
        <v>5.8615959999999996</v>
      </c>
      <c r="DQ24" s="13">
        <f t="shared" si="43"/>
        <v>2.1987249184054147</v>
      </c>
      <c r="DR24" s="20">
        <f t="shared" si="16"/>
        <v>14.038392266222763</v>
      </c>
      <c r="DS24" s="59">
        <f t="shared" si="17"/>
        <v>307.3717255995561</v>
      </c>
      <c r="DT24" s="59">
        <f ca="1">AVERAGE(OFFSET($DS$3,0,0,'Données projet'!$E$14+1,1))-AVERAGE(OFFSET($H$3,0,0,'Données projet'!$E$14+1,1))</f>
        <v>145.97103392561058</v>
      </c>
      <c r="DU24" s="59">
        <f t="shared" si="44"/>
        <v>62.920713953681172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26.926666666666673</v>
      </c>
      <c r="N25" s="13">
        <f>IF('Données projet'!$A$36&gt;35,N24+M25-V24,IF(A25&lt;'Données projet'!$A$36,$K$205^A25,IF(A25='Données projet'!$A$36,'Données projet'!$B$36,N24+M25-V24)))</f>
        <v>235.3066666666667</v>
      </c>
      <c r="O25" s="13">
        <f>N25*VLOOKUP('Données projet'!$B$9,Paramètres!$A$1:$I$89,3,0)*VLOOKUP('Données projet'!$B$9,Paramètres!$A$1:$I$89,5,0)</f>
        <v>131.5364266666667</v>
      </c>
      <c r="P25" s="13">
        <f t="shared" si="33"/>
        <v>34.351139290423262</v>
      </c>
      <c r="Q25" s="20">
        <f t="shared" si="2"/>
        <v>288.92084404193173</v>
      </c>
      <c r="R25" s="59">
        <f t="shared" si="0"/>
        <v>582.25417737526504</v>
      </c>
      <c r="S25" s="59">
        <f ca="1">AVERAGE(OFFSET($R$3,0,0,'Données projet'!$E$9+1,1))-AVERAGE(OFFSET($H$3,0,0,'Données projet'!$E$9+1,1))</f>
        <v>350.01600895263641</v>
      </c>
      <c r="T25" s="59">
        <f t="shared" si="34"/>
        <v>464.08921044376882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11.838728465004994</v>
      </c>
      <c r="AC25" s="22">
        <f t="shared" si="3"/>
        <v>11.838728465004994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9.1999999999999993</v>
      </c>
      <c r="AI25" s="13">
        <f>IF('Données projet'!$A$62&gt;35,AI24+AH25-AQ24,IF(A25&lt;'Données projet'!$A$62,$AF$205^A25,IF(A25='Données projet'!$A$62,'Données projet'!$B$62,AI24+AH25-AQ24)))</f>
        <v>85.399999999999977</v>
      </c>
      <c r="AJ25" s="13">
        <f>AI25*VLOOKUP('Données projet'!$B$10,Paramètres!$A$1:$I$89,3,0)*VLOOKUP('Données projet'!$B$10,Paramètres!$A$1:$I$89,5,0)</f>
        <v>74.605439999999987</v>
      </c>
      <c r="AK25" s="13">
        <f t="shared" si="35"/>
        <v>20.81287496517584</v>
      </c>
      <c r="AL25" s="20">
        <f t="shared" si="4"/>
        <v>166.18689856434787</v>
      </c>
      <c r="AM25" s="59">
        <f t="shared" si="5"/>
        <v>459.52023189768119</v>
      </c>
      <c r="AN25" s="59">
        <f ca="1">AVERAGE(OFFSET($AM$3,0,0,'Données projet'!$E$10+1,1))-AVERAGE(OFFSET($H$3,0,0,'Données projet'!$E$10+1,1))</f>
        <v>242.48830542479988</v>
      </c>
      <c r="AO25" s="59">
        <f t="shared" si="36"/>
        <v>226.11219631227061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2.9235042735042733</v>
      </c>
      <c r="BD25" s="12">
        <f>IF('Données projet'!$A$88&gt;35,BD24+BC25-BL24,IF(A25&lt;'Données projet'!$A$88,$BA$205^A25,IF(A25='Données projet'!$A$88,'Données projet'!$B$88,BD24+BC25-BL24)))</f>
        <v>26.600205452048144</v>
      </c>
      <c r="BE25" s="13">
        <f>BD25*VLOOKUP('Données projet'!$B$11,Paramètres!$A$1:$I$89,3,0)*VLOOKUP('Données projet'!$B$11,Paramètres!$A$1:$I$89,5,0)</f>
        <v>26.972608328376822</v>
      </c>
      <c r="BF25" s="13">
        <f t="shared" si="37"/>
        <v>8.4706274241085247</v>
      </c>
      <c r="BG25" s="20">
        <f t="shared" si="7"/>
        <v>61.730302268911977</v>
      </c>
      <c r="BH25" s="59">
        <f t="shared" si="8"/>
        <v>355.06363560224531</v>
      </c>
      <c r="BI25" s="59">
        <f ca="1">AVERAGE(OFFSET($BH$3,0,0,'Données projet'!$E$11+1,1))-AVERAGE(OFFSET($H$3,0,0,'Données projet'!$E$11+1,1))</f>
        <v>402.5435069258703</v>
      </c>
      <c r="BJ25" s="59">
        <f t="shared" si="38"/>
        <v>163.60655195816349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2.9235042735042733</v>
      </c>
      <c r="BY25" s="12">
        <f>IF('Données projet'!$A$114&gt;35,BY24+BX25-CG24,IF(A25&lt;'Données projet'!$A$114,$BV$205^A25,IF(A25='Données projet'!$A$114,'Données projet'!$B$114,BY24+BX25-CG24)))</f>
        <v>26.600205452048144</v>
      </c>
      <c r="BZ25" s="13">
        <f>BY25*VLOOKUP('Données projet'!$B$12,Paramètres!$A$1:$I$89,3,0)*VLOOKUP('Données projet'!$B$12,Paramètres!$A$1:$I$89,5,0)</f>
        <v>24.06786589301316</v>
      </c>
      <c r="CA25" s="13">
        <f t="shared" si="39"/>
        <v>7.6593217420310804</v>
      </c>
      <c r="CB25" s="20">
        <f t="shared" si="10"/>
        <v>55.258185131035383</v>
      </c>
      <c r="CC25" s="59">
        <f t="shared" si="11"/>
        <v>348.59151846436868</v>
      </c>
      <c r="CD25" s="59">
        <f ca="1">AVERAGE(OFFSET($CC$3,0,0,'Données projet'!$E$12+1,1))-AVERAGE(OFFSET($H$3,0,0,'Données projet'!$E$12+1,1))</f>
        <v>350.91577977538822</v>
      </c>
      <c r="CE25" s="59">
        <f t="shared" si="40"/>
        <v>142.87103313412547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12.6</v>
      </c>
      <c r="CT25" s="12">
        <f>IF('Données projet'!$A$140&gt;35,CT24+CS25-DB24,IF(A25&lt;'Données projet'!$A$140,$CQ$205^A25,IF(A25='Données projet'!$A$140,'Données projet'!$B$140,CT24+CS25-DB24)))</f>
        <v>77.199999999999989</v>
      </c>
      <c r="CU25" s="17">
        <f>CT25*VLOOKUP('Données projet'!$B$13,Paramètres!$A$1:$I$89,3,0)*VLOOKUP('Données projet'!$B$13,Paramètres!$A$1:$I$89,5,0)</f>
        <v>62.624639999999999</v>
      </c>
      <c r="CV25" s="13">
        <f t="shared" si="41"/>
        <v>17.830197796836153</v>
      </c>
      <c r="CW25" s="20">
        <f t="shared" si="13"/>
        <v>140.12550916282296</v>
      </c>
      <c r="CX25" s="59">
        <f t="shared" si="14"/>
        <v>433.45884249615631</v>
      </c>
      <c r="CY25" s="59">
        <f ca="1">AVERAGE(OFFSET($CX$3,0,0,'Données projet'!$E$13+1,1))-AVERAGE(OFFSET($H$3,0,0,'Données projet'!$E$13+1,1))</f>
        <v>230.38929580146208</v>
      </c>
      <c r="CZ25" s="59">
        <f t="shared" si="42"/>
        <v>227.1847788696258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6.3119999999999994</v>
      </c>
      <c r="DO25" s="12">
        <f>IF('Données projet'!$A$166&gt;35,DO24+DN25-DW24,IF(A25&lt;'Données projet'!$A$166,$DL$205^A25,IF(A25='Données projet'!$A$166,'Données projet'!$B$166,DO24+DN25-DW24)))</f>
        <v>16.113999999999997</v>
      </c>
      <c r="DP25" s="17">
        <f>DO25*VLOOKUP('Données projet'!$B$14,Paramètres!$A$1:$I$89,3,0)*VLOOKUP('Données projet'!$B$14,Paramètres!$A$1:$I$89,5,0)</f>
        <v>9.6361720000000002</v>
      </c>
      <c r="DQ25" s="13">
        <f t="shared" si="43"/>
        <v>3.4113801598451992</v>
      </c>
      <c r="DR25" s="20">
        <f t="shared" si="16"/>
        <v>22.724486678397056</v>
      </c>
      <c r="DS25" s="59">
        <f t="shared" si="17"/>
        <v>316.05782001173037</v>
      </c>
      <c r="DT25" s="59">
        <f ca="1">AVERAGE(OFFSET($DS$3,0,0,'Données projet'!$E$14+1,1))-AVERAGE(OFFSET($H$3,0,0,'Données projet'!$E$14+1,1))</f>
        <v>145.97103392561058</v>
      </c>
      <c r="DU25" s="59">
        <f t="shared" si="44"/>
        <v>62.920713953681172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26.926666666666673</v>
      </c>
      <c r="N26" s="13">
        <f>IF('Données projet'!$A$36&gt;35,N25+M26-V25,IF(A26&lt;'Données projet'!$A$36,$K$205^A26,IF(A26='Données projet'!$A$36,'Données projet'!$B$36,N25+M26-V25)))</f>
        <v>262.23333333333335</v>
      </c>
      <c r="O26" s="13">
        <f>N26*VLOOKUP('Données projet'!$B$9,Paramètres!$A$1:$I$89,3,0)*VLOOKUP('Données projet'!$B$9,Paramètres!$A$1:$I$89,5,0)</f>
        <v>146.58843333333334</v>
      </c>
      <c r="P26" s="13">
        <f t="shared" si="33"/>
        <v>37.80225981907045</v>
      </c>
      <c r="Q26" s="20">
        <f t="shared" si="2"/>
        <v>321.14712390710332</v>
      </c>
      <c r="R26" s="59">
        <f t="shared" si="0"/>
        <v>614.48045724043664</v>
      </c>
      <c r="S26" s="59">
        <f ca="1">AVERAGE(OFFSET($R$3,0,0,'Données projet'!$E$9+1,1))-AVERAGE(OFFSET($H$3,0,0,'Données projet'!$E$9+1,1))</f>
        <v>350.01600895263641</v>
      </c>
      <c r="T26" s="59">
        <f t="shared" si="34"/>
        <v>464.08921044376882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8.3712451782312378</v>
      </c>
      <c r="AC26" s="22">
        <f t="shared" si="3"/>
        <v>8.3712451782312378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9.1999999999999993</v>
      </c>
      <c r="AI26" s="13">
        <f>IF('Données projet'!$A$62&gt;35,AI25+AH26-AQ25,IF(A26&lt;'Données projet'!$A$62,$AF$205^A26,IF(A26='Données projet'!$A$62,'Données projet'!$B$62,AI25+AH26-AQ25)))</f>
        <v>94.59999999999998</v>
      </c>
      <c r="AJ26" s="13">
        <f>AI26*VLOOKUP('Données projet'!$B$10,Paramètres!$A$1:$I$89,3,0)*VLOOKUP('Données projet'!$B$10,Paramètres!$A$1:$I$89,5,0)</f>
        <v>82.642559999999989</v>
      </c>
      <c r="AK26" s="13">
        <f t="shared" si="35"/>
        <v>22.782076653086197</v>
      </c>
      <c r="AL26" s="20">
        <f t="shared" si="4"/>
        <v>183.6145755041251</v>
      </c>
      <c r="AM26" s="59">
        <f t="shared" si="5"/>
        <v>476.94790883745839</v>
      </c>
      <c r="AN26" s="59">
        <f ca="1">AVERAGE(OFFSET($AM$3,0,0,'Données projet'!$E$10+1,1))-AVERAGE(OFFSET($H$3,0,0,'Données projet'!$E$10+1,1))</f>
        <v>242.48830542479988</v>
      </c>
      <c r="AO26" s="59">
        <f t="shared" si="36"/>
        <v>226.11219631227061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2.9235042735042733</v>
      </c>
      <c r="BD26" s="12">
        <f>IF('Données projet'!$A$88&gt;35,BD25+BC26-BL25,IF(A26&lt;'Données projet'!$A$88,$BA$205^A26,IF(A26='Données projet'!$A$88,'Données projet'!$B$88,BD25+BC26-BL25)))</f>
        <v>30.878236599516239</v>
      </c>
      <c r="BE26" s="13">
        <f>BD26*VLOOKUP('Données projet'!$B$11,Paramètres!$A$1:$I$89,3,0)*VLOOKUP('Données projet'!$B$11,Paramètres!$A$1:$I$89,5,0)</f>
        <v>31.310531911909472</v>
      </c>
      <c r="BF26" s="13">
        <f t="shared" si="37"/>
        <v>9.6637156506405031</v>
      </c>
      <c r="BG26" s="20">
        <f t="shared" si="7"/>
        <v>71.363481171441208</v>
      </c>
      <c r="BH26" s="59">
        <f t="shared" si="8"/>
        <v>364.69681450477452</v>
      </c>
      <c r="BI26" s="59">
        <f ca="1">AVERAGE(OFFSET($BH$3,0,0,'Données projet'!$E$11+1,1))-AVERAGE(OFFSET($H$3,0,0,'Données projet'!$E$11+1,1))</f>
        <v>402.5435069258703</v>
      </c>
      <c r="BJ26" s="59">
        <f t="shared" si="38"/>
        <v>163.60655195816349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2.9235042735042733</v>
      </c>
      <c r="BY26" s="12">
        <f>IF('Données projet'!$A$114&gt;35,BY25+BX26-CG25,IF(A26&lt;'Données projet'!$A$114,$BV$205^A26,IF(A26='Données projet'!$A$114,'Données projet'!$B$114,BY25+BX26-CG25)))</f>
        <v>30.878236599516239</v>
      </c>
      <c r="BZ26" s="13">
        <f>BY26*VLOOKUP('Données projet'!$B$12,Paramètres!$A$1:$I$89,3,0)*VLOOKUP('Données projet'!$B$12,Paramètres!$A$1:$I$89,5,0)</f>
        <v>27.938628475242293</v>
      </c>
      <c r="CA26" s="13">
        <f t="shared" si="39"/>
        <v>8.7381375293515138</v>
      </c>
      <c r="CB26" s="20">
        <f t="shared" si="10"/>
        <v>63.878700791334211</v>
      </c>
      <c r="CC26" s="59">
        <f t="shared" si="11"/>
        <v>357.21203412466753</v>
      </c>
      <c r="CD26" s="59">
        <f ca="1">AVERAGE(OFFSET($CC$3,0,0,'Données projet'!$E$12+1,1))-AVERAGE(OFFSET($H$3,0,0,'Données projet'!$E$12+1,1))</f>
        <v>350.91577977538822</v>
      </c>
      <c r="CE26" s="59">
        <f t="shared" si="40"/>
        <v>142.87103313412547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12.6</v>
      </c>
      <c r="CT26" s="12">
        <f>IF('Données projet'!$A$140&gt;35,CT25+CS26-DB25,IF(A26&lt;'Données projet'!$A$140,$CQ$205^A26,IF(A26='Données projet'!$A$140,'Données projet'!$B$140,CT25+CS26-DB25)))</f>
        <v>89.799999999999983</v>
      </c>
      <c r="CU26" s="17">
        <f>CT26*VLOOKUP('Données projet'!$B$13,Paramètres!$A$1:$I$89,3,0)*VLOOKUP('Données projet'!$B$13,Paramètres!$A$1:$I$89,5,0)</f>
        <v>72.845759999999984</v>
      </c>
      <c r="CV26" s="13">
        <f t="shared" si="41"/>
        <v>20.378512751497539</v>
      </c>
      <c r="CW26" s="20">
        <f t="shared" si="13"/>
        <v>162.36560837552486</v>
      </c>
      <c r="CX26" s="59">
        <f t="shared" si="14"/>
        <v>455.69894170885817</v>
      </c>
      <c r="CY26" s="59">
        <f ca="1">AVERAGE(OFFSET($CX$3,0,0,'Données projet'!$E$13+1,1))-AVERAGE(OFFSET($H$3,0,0,'Données projet'!$E$13+1,1))</f>
        <v>230.38929580146208</v>
      </c>
      <c r="CZ26" s="59">
        <f t="shared" si="42"/>
        <v>227.1847788696258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6.3119999999999994</v>
      </c>
      <c r="DO26" s="12">
        <f>IF('Données projet'!$A$166&gt;35,DO25+DN26-DW25,IF(A26&lt;'Données projet'!$A$166,$DL$205^A26,IF(A26='Données projet'!$A$166,'Données projet'!$B$166,DO25+DN26-DW25)))</f>
        <v>22.425999999999995</v>
      </c>
      <c r="DP26" s="17">
        <f>DO26*VLOOKUP('Données projet'!$B$14,Paramètres!$A$1:$I$89,3,0)*VLOOKUP('Données projet'!$B$14,Paramètres!$A$1:$I$89,5,0)</f>
        <v>13.410747999999998</v>
      </c>
      <c r="DQ26" s="13">
        <f t="shared" si="43"/>
        <v>4.5684569551553285</v>
      </c>
      <c r="DR26" s="20">
        <f t="shared" si="16"/>
        <v>31.313781963562189</v>
      </c>
      <c r="DS26" s="59">
        <f t="shared" si="17"/>
        <v>324.64711529689549</v>
      </c>
      <c r="DT26" s="59">
        <f ca="1">AVERAGE(OFFSET($DS$3,0,0,'Données projet'!$E$14+1,1))-AVERAGE(OFFSET($H$3,0,0,'Données projet'!$E$14+1,1))</f>
        <v>145.97103392561058</v>
      </c>
      <c r="DU26" s="59">
        <f t="shared" si="44"/>
        <v>62.920713953681172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289.16000000000003</v>
      </c>
      <c r="L27" s="12">
        <f>VLOOKUP(A27,'Données projet'!$A$35:$I$55,9,0)</f>
        <v>26.926666666666673</v>
      </c>
      <c r="M27" s="12">
        <f t="array" ref="M27">INDEX(L:L,MIN(IF(ISNUMBER(L27:L223),ROW(L27:L223),"")))</f>
        <v>26.926666666666673</v>
      </c>
      <c r="N27" s="13">
        <f>IF('Données projet'!$A$36&gt;35,N26+M27-V26,IF(A27&lt;'Données projet'!$A$36,$K$205^A27,IF(A27='Données projet'!$A$36,'Données projet'!$B$36,N26+M27-V26)))</f>
        <v>289.16000000000003</v>
      </c>
      <c r="O27" s="13">
        <f>N27*VLOOKUP('Données projet'!$B$9,Paramètres!$A$1:$I$89,3,0)*VLOOKUP('Données projet'!$B$9,Paramètres!$A$1:$I$89,5,0)</f>
        <v>161.64044000000001</v>
      </c>
      <c r="P27" s="13">
        <f t="shared" si="33"/>
        <v>41.212301279363686</v>
      </c>
      <c r="Q27" s="20">
        <f t="shared" si="2"/>
        <v>353.30185772822512</v>
      </c>
      <c r="R27" s="59">
        <f t="shared" si="0"/>
        <v>646.63519106155843</v>
      </c>
      <c r="S27" s="59">
        <f ca="1">AVERAGE(OFFSET($R$3,0,0,'Données projet'!$E$9+1,1))-AVERAGE(OFFSET($H$3,0,0,'Données projet'!$E$9+1,1))</f>
        <v>350.01600895263641</v>
      </c>
      <c r="T27" s="59">
        <f t="shared" si="34"/>
        <v>464.08921044376882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51.39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0.55000000000000004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20.877001064528184</v>
      </c>
      <c r="AB27" s="21">
        <f>EXP(-LN(2)/2)*AB26+(1-EXP(-LN(2)/2))/(LN(2)/2)*V27*Y27*VLOOKUP('Données projet'!$B$9,Paramètres!$A$1:$I$89,3,0)*0.475*44/12</f>
        <v>5.9193642325024971</v>
      </c>
      <c r="AC27" s="22">
        <f t="shared" si="3"/>
        <v>26.796365297030682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9.1999999999999993</v>
      </c>
      <c r="AI27" s="13">
        <f>IF('Données projet'!$A$62&gt;35,AI26+AH27-AQ26,IF(A27&lt;'Données projet'!$A$62,$AF$205^A27,IF(A27='Données projet'!$A$62,'Données projet'!$B$62,AI26+AH27-AQ26)))</f>
        <v>103.79999999999998</v>
      </c>
      <c r="AJ27" s="13">
        <f>AI27*VLOOKUP('Données projet'!$B$10,Paramètres!$A$1:$I$89,3,0)*VLOOKUP('Données projet'!$B$10,Paramètres!$A$1:$I$89,5,0)</f>
        <v>90.679679999999991</v>
      </c>
      <c r="AK27" s="13">
        <f t="shared" si="35"/>
        <v>24.729075596681458</v>
      </c>
      <c r="AL27" s="20">
        <f t="shared" si="4"/>
        <v>201.00358266422018</v>
      </c>
      <c r="AM27" s="59">
        <f t="shared" si="5"/>
        <v>494.33691599755349</v>
      </c>
      <c r="AN27" s="59">
        <f ca="1">AVERAGE(OFFSET($AM$3,0,0,'Données projet'!$E$10+1,1))-AVERAGE(OFFSET($H$3,0,0,'Données projet'!$E$10+1,1))</f>
        <v>242.48830542479988</v>
      </c>
      <c r="AO27" s="59">
        <f t="shared" si="36"/>
        <v>226.11219631227061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2.9235042735042733</v>
      </c>
      <c r="BD27" s="12">
        <f>IF('Données projet'!$A$88&gt;35,BD26+BC27-BL26,IF(A27&lt;'Données projet'!$A$88,$BA$205^A27,IF(A27='Données projet'!$A$88,'Données projet'!$B$88,BD26+BC27-BL26)))</f>
        <v>35.844290647096855</v>
      </c>
      <c r="BE27" s="13">
        <f>BD27*VLOOKUP('Données projet'!$B$11,Paramètres!$A$1:$I$89,3,0)*VLOOKUP('Données projet'!$B$11,Paramètres!$A$1:$I$89,5,0)</f>
        <v>36.346110716156211</v>
      </c>
      <c r="BF27" s="13">
        <f t="shared" si="37"/>
        <v>11.024850403718778</v>
      </c>
      <c r="BG27" s="20">
        <f t="shared" si="7"/>
        <v>82.504423950448952</v>
      </c>
      <c r="BH27" s="59">
        <f t="shared" si="8"/>
        <v>375.83775728378225</v>
      </c>
      <c r="BI27" s="59">
        <f ca="1">AVERAGE(OFFSET($BH$3,0,0,'Données projet'!$E$11+1,1))-AVERAGE(OFFSET($H$3,0,0,'Données projet'!$E$11+1,1))</f>
        <v>402.5435069258703</v>
      </c>
      <c r="BJ27" s="59">
        <f t="shared" si="38"/>
        <v>163.60655195816349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2.9235042735042733</v>
      </c>
      <c r="BY27" s="12">
        <f>IF('Données projet'!$A$114&gt;35,BY26+BX27-CG26,IF(A27&lt;'Données projet'!$A$114,$BV$205^A27,IF(A27='Données projet'!$A$114,'Données projet'!$B$114,BY26+BX27-CG26)))</f>
        <v>35.844290647096855</v>
      </c>
      <c r="BZ27" s="13">
        <f>BY27*VLOOKUP('Données projet'!$B$12,Paramètres!$A$1:$I$89,3,0)*VLOOKUP('Données projet'!$B$12,Paramètres!$A$1:$I$89,5,0)</f>
        <v>32.431914177493233</v>
      </c>
      <c r="CA27" s="13">
        <f t="shared" si="39"/>
        <v>9.9689045653817558</v>
      </c>
      <c r="CB27" s="20">
        <f t="shared" si="10"/>
        <v>73.848092643840616</v>
      </c>
      <c r="CC27" s="59">
        <f t="shared" si="11"/>
        <v>367.18142597717394</v>
      </c>
      <c r="CD27" s="59">
        <f ca="1">AVERAGE(OFFSET($CC$3,0,0,'Données projet'!$E$12+1,1))-AVERAGE(OFFSET($H$3,0,0,'Données projet'!$E$12+1,1))</f>
        <v>350.91577977538822</v>
      </c>
      <c r="CE27" s="59">
        <f t="shared" si="40"/>
        <v>142.87103313412547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12.6</v>
      </c>
      <c r="CT27" s="12">
        <f>IF('Données projet'!$A$140&gt;35,CT26+CS27-DB26,IF(A27&lt;'Données projet'!$A$140,$CQ$205^A27,IF(A27='Données projet'!$A$140,'Données projet'!$B$140,CT26+CS27-DB26)))</f>
        <v>102.39999999999998</v>
      </c>
      <c r="CU27" s="17">
        <f>CT27*VLOOKUP('Données projet'!$B$13,Paramètres!$A$1:$I$89,3,0)*VLOOKUP('Données projet'!$B$13,Paramètres!$A$1:$I$89,5,0)</f>
        <v>83.066879999999983</v>
      </c>
      <c r="CV27" s="13">
        <f t="shared" si="41"/>
        <v>22.88540255569357</v>
      </c>
      <c r="CW27" s="20">
        <f t="shared" si="13"/>
        <v>184.5335587844996</v>
      </c>
      <c r="CX27" s="59">
        <f t="shared" si="14"/>
        <v>477.86689211783289</v>
      </c>
      <c r="CY27" s="59">
        <f ca="1">AVERAGE(OFFSET($CX$3,0,0,'Données projet'!$E$13+1,1))-AVERAGE(OFFSET($H$3,0,0,'Données projet'!$E$13+1,1))</f>
        <v>230.38929580146208</v>
      </c>
      <c r="CZ27" s="59">
        <f t="shared" si="42"/>
        <v>227.1847788696258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6.3119999999999994</v>
      </c>
      <c r="DO27" s="12">
        <f>IF('Données projet'!$A$166&gt;35,DO26+DN27-DW26,IF(A27&lt;'Données projet'!$A$166,$DL$205^A27,IF(A27='Données projet'!$A$166,'Données projet'!$B$166,DO26+DN27-DW26)))</f>
        <v>28.737999999999992</v>
      </c>
      <c r="DP27" s="17">
        <f>DO27*VLOOKUP('Données projet'!$B$14,Paramètres!$A$1:$I$89,3,0)*VLOOKUP('Données projet'!$B$14,Paramètres!$A$1:$I$89,5,0)</f>
        <v>17.185323999999998</v>
      </c>
      <c r="DQ27" s="13">
        <f t="shared" si="43"/>
        <v>5.6877098077536337</v>
      </c>
      <c r="DR27" s="20">
        <f t="shared" si="16"/>
        <v>39.837200548504242</v>
      </c>
      <c r="DS27" s="59">
        <f t="shared" si="17"/>
        <v>333.17053388183757</v>
      </c>
      <c r="DT27" s="59">
        <f ca="1">AVERAGE(OFFSET($DS$3,0,0,'Données projet'!$E$14+1,1))-AVERAGE(OFFSET($H$3,0,0,'Données projet'!$E$14+1,1))</f>
        <v>145.97103392561058</v>
      </c>
      <c r="DU27" s="59">
        <f t="shared" si="44"/>
        <v>62.920713953681172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28.819999999999993</v>
      </c>
      <c r="N28" s="13">
        <f>IF('Données projet'!$A$36&gt;35,N27+M28-V27,IF(A28&lt;'Données projet'!$A$36,$K$205^A28,IF(A28='Données projet'!$A$36,'Données projet'!$B$36,N27+M28-V27)))</f>
        <v>266.59000000000003</v>
      </c>
      <c r="O28" s="13">
        <f>N28*VLOOKUP('Données projet'!$B$9,Paramètres!$A$1:$I$89,3,0)*VLOOKUP('Données projet'!$B$9,Paramètres!$A$1:$I$89,5,0)</f>
        <v>149.02381000000003</v>
      </c>
      <c r="P28" s="13">
        <f t="shared" si="33"/>
        <v>38.356658710715394</v>
      </c>
      <c r="Q28" s="20">
        <f t="shared" si="2"/>
        <v>326.3543163378294</v>
      </c>
      <c r="R28" s="59">
        <f t="shared" si="0"/>
        <v>619.68764967116272</v>
      </c>
      <c r="S28" s="59">
        <f ca="1">AVERAGE(OFFSET($R$3,0,0,'Données projet'!$E$9+1,1))-AVERAGE(OFFSET($H$3,0,0,'Données projet'!$E$9+1,1))</f>
        <v>350.01600895263641</v>
      </c>
      <c r="T28" s="59">
        <f t="shared" si="34"/>
        <v>464.08921044376882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20.306118372544891</v>
      </c>
      <c r="AB28" s="21">
        <f>EXP(-LN(2)/2)*AB27+(1-EXP(-LN(2)/2))/(LN(2)/2)*V28*Y28*VLOOKUP('Données projet'!$B$9,Paramètres!$A$1:$I$89,3,0)*0.475*44/12</f>
        <v>4.1856225891156189</v>
      </c>
      <c r="AC28" s="22">
        <f t="shared" si="3"/>
        <v>24.491740961660511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113</v>
      </c>
      <c r="AG28" s="12">
        <f>VLOOKUP(A28,'Données projet'!$A$61:$I$81,9,0)</f>
        <v>9.1999999999999993</v>
      </c>
      <c r="AH28" s="12">
        <f t="array" ref="AH28">INDEX(AG:AG,MIN(IF(ISNUMBER(AG28:AG224),ROW(AG28:AG224),"")))</f>
        <v>9.1999999999999993</v>
      </c>
      <c r="AI28" s="13">
        <f>IF('Données projet'!$A$62&gt;35,AI27+AH28-AQ27,IF(A28&lt;'Données projet'!$A$62,$AF$205^A28,IF(A28='Données projet'!$A$62,'Données projet'!$B$62,AI27+AH28-AQ27)))</f>
        <v>112.99999999999999</v>
      </c>
      <c r="AJ28" s="13">
        <f>AI28*VLOOKUP('Données projet'!$B$10,Paramètres!$A$1:$I$89,3,0)*VLOOKUP('Données projet'!$B$10,Paramètres!$A$1:$I$89,5,0)</f>
        <v>98.716800000000006</v>
      </c>
      <c r="AK28" s="13">
        <f t="shared" si="35"/>
        <v>26.656063438447475</v>
      </c>
      <c r="AL28" s="20">
        <f t="shared" si="4"/>
        <v>218.35773715529604</v>
      </c>
      <c r="AM28" s="59">
        <f t="shared" si="5"/>
        <v>511.69107048862935</v>
      </c>
      <c r="AN28" s="59">
        <f ca="1">AVERAGE(OFFSET($AM$3,0,0,'Données projet'!$E$10+1,1))-AVERAGE(OFFSET($H$3,0,0,'Données projet'!$E$10+1,1))</f>
        <v>242.48830542479988</v>
      </c>
      <c r="AO28" s="59">
        <f t="shared" si="36"/>
        <v>226.11219631227061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23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2.9235042735042733</v>
      </c>
      <c r="BD28" s="12">
        <f>IF('Données projet'!$A$88&gt;35,BD27+BC28-BL27,IF(A28&lt;'Données projet'!$A$88,$BA$205^A28,IF(A28='Données projet'!$A$88,'Données projet'!$B$88,BD27+BC28-BL27)))</f>
        <v>41.609020251295185</v>
      </c>
      <c r="BE28" s="13">
        <f>BD28*VLOOKUP('Données projet'!$B$11,Paramètres!$A$1:$I$89,3,0)*VLOOKUP('Données projet'!$B$11,Paramètres!$A$1:$I$89,5,0)</f>
        <v>42.19154653481332</v>
      </c>
      <c r="BF28" s="13">
        <f t="shared" si="37"/>
        <v>12.577701043627256</v>
      </c>
      <c r="BG28" s="20">
        <f t="shared" si="7"/>
        <v>95.389772865783996</v>
      </c>
      <c r="BH28" s="59">
        <f t="shared" si="8"/>
        <v>388.7231061991173</v>
      </c>
      <c r="BI28" s="59">
        <f ca="1">AVERAGE(OFFSET($BH$3,0,0,'Données projet'!$E$11+1,1))-AVERAGE(OFFSET($H$3,0,0,'Données projet'!$E$11+1,1))</f>
        <v>402.5435069258703</v>
      </c>
      <c r="BJ28" s="59">
        <f t="shared" si="38"/>
        <v>163.60655195816349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2.9235042735042733</v>
      </c>
      <c r="BY28" s="12">
        <f>IF('Données projet'!$A$114&gt;35,BY27+BX28-CG27,IF(A28&lt;'Données projet'!$A$114,$BV$205^A28,IF(A28='Données projet'!$A$114,'Données projet'!$B$114,BY27+BX28-CG27)))</f>
        <v>41.609020251295185</v>
      </c>
      <c r="BZ28" s="13">
        <f>BY28*VLOOKUP('Données projet'!$B$12,Paramètres!$A$1:$I$89,3,0)*VLOOKUP('Données projet'!$B$12,Paramètres!$A$1:$I$89,5,0)</f>
        <v>37.647841523371881</v>
      </c>
      <c r="CA28" s="13">
        <f t="shared" si="39"/>
        <v>11.373025189850091</v>
      </c>
      <c r="CB28" s="20">
        <f t="shared" si="10"/>
        <v>85.37800952552827</v>
      </c>
      <c r="CC28" s="59">
        <f t="shared" si="11"/>
        <v>378.7113428588616</v>
      </c>
      <c r="CD28" s="59">
        <f ca="1">AVERAGE(OFFSET($CC$3,0,0,'Données projet'!$E$12+1,1))-AVERAGE(OFFSET($H$3,0,0,'Données projet'!$E$12+1,1))</f>
        <v>350.91577977538822</v>
      </c>
      <c r="CE28" s="59">
        <f t="shared" si="40"/>
        <v>142.87103313412547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115</v>
      </c>
      <c r="CR28" s="12">
        <f>VLOOKUP(A28,'Données projet'!$A$139:$I$159,9,0)</f>
        <v>12.6</v>
      </c>
      <c r="CS28" s="12">
        <f t="array" ref="CS28">INDEX(CR:CR,MIN(IF(ISNUMBER(CR28:CR224),ROW(CR28:CR224),"")))</f>
        <v>12.6</v>
      </c>
      <c r="CT28" s="12">
        <f>IF('Données projet'!$A$140&gt;35,CT27+CS28-DB27,IF(A28&lt;'Données projet'!$A$140,$CQ$205^A28,IF(A28='Données projet'!$A$140,'Données projet'!$B$140,CT27+CS28-DB27)))</f>
        <v>114.99999999999997</v>
      </c>
      <c r="CU28" s="17">
        <f>CT28*VLOOKUP('Données projet'!$B$13,Paramètres!$A$1:$I$89,3,0)*VLOOKUP('Données projet'!$B$13,Paramètres!$A$1:$I$89,5,0)</f>
        <v>93.287999999999982</v>
      </c>
      <c r="CV28" s="13">
        <f t="shared" si="41"/>
        <v>25.356547829040977</v>
      </c>
      <c r="CW28" s="20">
        <f t="shared" si="13"/>
        <v>206.63925413557965</v>
      </c>
      <c r="CX28" s="59">
        <f t="shared" si="14"/>
        <v>499.97258746891293</v>
      </c>
      <c r="CY28" s="59">
        <f ca="1">AVERAGE(OFFSET($CX$3,0,0,'Données projet'!$E$13+1,1))-AVERAGE(OFFSET($H$3,0,0,'Données projet'!$E$13+1,1))</f>
        <v>230.38929580146208</v>
      </c>
      <c r="CZ28" s="59">
        <f t="shared" si="42"/>
        <v>227.1847788696258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28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35.049999999999997</v>
      </c>
      <c r="DM28" s="12">
        <f>VLOOKUP(A28,'Données projet'!$A$165:$I$185,9,0)</f>
        <v>6.3119999999999994</v>
      </c>
      <c r="DN28" s="12">
        <f t="array" ref="DN28">INDEX(DM:DM,MIN(IF(ISNUMBER(DM28:DM224),ROW(DM28:DM224),"")))</f>
        <v>6.3119999999999994</v>
      </c>
      <c r="DO28" s="12">
        <f>IF('Données projet'!$A$166&gt;35,DO27+DN28-DW27,IF(A28&lt;'Données projet'!$A$166,$DL$205^A28,IF(A28='Données projet'!$A$166,'Données projet'!$B$166,DO27+DN28-DW27)))</f>
        <v>35.04999999999999</v>
      </c>
      <c r="DP28" s="17">
        <f>DO28*VLOOKUP('Données projet'!$B$14,Paramètres!$A$1:$I$89,3,0)*VLOOKUP('Données projet'!$B$14,Paramètres!$A$1:$I$89,5,0)</f>
        <v>20.959899999999998</v>
      </c>
      <c r="DQ28" s="13">
        <f t="shared" si="43"/>
        <v>6.7784682713820299</v>
      </c>
      <c r="DR28" s="20">
        <f t="shared" si="16"/>
        <v>48.310991405990364</v>
      </c>
      <c r="DS28" s="59">
        <f t="shared" si="17"/>
        <v>341.64432473932368</v>
      </c>
      <c r="DT28" s="59">
        <f ca="1">AVERAGE(OFFSET($DS$3,0,0,'Données projet'!$E$14+1,1))-AVERAGE(OFFSET($H$3,0,0,'Données projet'!$E$14+1,1))</f>
        <v>145.97103392561058</v>
      </c>
      <c r="DU28" s="59">
        <f t="shared" si="44"/>
        <v>62.920713953681172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28.819999999999993</v>
      </c>
      <c r="N29" s="13">
        <f>IF('Données projet'!$A$36&gt;35,N28+M29-V28,IF(A29&lt;'Données projet'!$A$36,$K$205^A29,IF(A29='Données projet'!$A$36,'Données projet'!$B$36,N28+M29-V28)))</f>
        <v>295.41000000000003</v>
      </c>
      <c r="O29" s="13">
        <f>N29*VLOOKUP('Données projet'!$B$9,Paramètres!$A$1:$I$89,3,0)*VLOOKUP('Données projet'!$B$9,Paramètres!$A$1:$I$89,5,0)</f>
        <v>165.13419000000002</v>
      </c>
      <c r="P29" s="13">
        <f t="shared" si="33"/>
        <v>41.998408993833188</v>
      </c>
      <c r="Q29" s="20">
        <f t="shared" si="2"/>
        <v>360.75594324759282</v>
      </c>
      <c r="R29" s="59">
        <f t="shared" si="0"/>
        <v>654.08927658092614</v>
      </c>
      <c r="S29" s="59">
        <f ca="1">AVERAGE(OFFSET($R$3,0,0,'Données projet'!$E$9+1,1))-AVERAGE(OFFSET($H$3,0,0,'Données projet'!$E$9+1,1))</f>
        <v>350.01600895263641</v>
      </c>
      <c r="T29" s="59">
        <f t="shared" si="34"/>
        <v>464.08921044376882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19.750846497795294</v>
      </c>
      <c r="AB29" s="21">
        <f>EXP(-LN(2)/2)*AB28+(1-EXP(-LN(2)/2))/(LN(2)/2)*V29*Y29*VLOOKUP('Données projet'!$B$9,Paramètres!$A$1:$I$89,3,0)*0.475*44/12</f>
        <v>2.9596821162512486</v>
      </c>
      <c r="AC29" s="22">
        <f t="shared" si="3"/>
        <v>22.710528614046542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</v>
      </c>
      <c r="AI29" s="13">
        <f>IF('Données projet'!$A$62&gt;35,AI28+AH29-AQ28,IF(A29&lt;'Données projet'!$A$62,$AF$205^A29,IF(A29='Données projet'!$A$62,'Données projet'!$B$62,AI28+AH29-AQ28)))</f>
        <v>98.999999999999986</v>
      </c>
      <c r="AJ29" s="13">
        <f>AI29*VLOOKUP('Données projet'!$B$10,Paramètres!$A$1:$I$89,3,0)*VLOOKUP('Données projet'!$B$10,Paramètres!$A$1:$I$89,5,0)</f>
        <v>86.486400000000003</v>
      </c>
      <c r="AK29" s="13">
        <f t="shared" si="35"/>
        <v>23.715875325195146</v>
      </c>
      <c r="AL29" s="20">
        <f t="shared" si="4"/>
        <v>191.93562952471487</v>
      </c>
      <c r="AM29" s="59">
        <f t="shared" si="5"/>
        <v>485.26896285804821</v>
      </c>
      <c r="AN29" s="59">
        <f ca="1">AVERAGE(OFFSET($AM$3,0,0,'Données projet'!$E$10+1,1))-AVERAGE(OFFSET($H$3,0,0,'Données projet'!$E$10+1,1))</f>
        <v>242.48830542479988</v>
      </c>
      <c r="AO29" s="59">
        <f t="shared" si="36"/>
        <v>226.11219631227061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2.9235042735042733</v>
      </c>
      <c r="BD29" s="12">
        <f>IF('Données projet'!$A$88&gt;35,BD28+BC29-BL28,IF(A29&lt;'Données projet'!$A$88,$BA$205^A29,IF(A29='Données projet'!$A$88,'Données projet'!$B$88,BD28+BC29-BL28)))</f>
        <v>48.30087400300993</v>
      </c>
      <c r="BE29" s="13">
        <f>BD29*VLOOKUP('Données projet'!$B$11,Paramètres!$A$1:$I$89,3,0)*VLOOKUP('Données projet'!$B$11,Paramètres!$A$1:$I$89,5,0)</f>
        <v>48.97708623905207</v>
      </c>
      <c r="BF29" s="13">
        <f t="shared" si="37"/>
        <v>14.34927076103458</v>
      </c>
      <c r="BG29" s="20">
        <f t="shared" si="7"/>
        <v>110.29340510848425</v>
      </c>
      <c r="BH29" s="59">
        <f t="shared" si="8"/>
        <v>403.62673844181757</v>
      </c>
      <c r="BI29" s="59">
        <f ca="1">AVERAGE(OFFSET($BH$3,0,0,'Données projet'!$E$11+1,1))-AVERAGE(OFFSET($H$3,0,0,'Données projet'!$E$11+1,1))</f>
        <v>402.5435069258703</v>
      </c>
      <c r="BJ29" s="59">
        <f t="shared" si="38"/>
        <v>163.60655195816349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2.9235042735042733</v>
      </c>
      <c r="BY29" s="12">
        <f>IF('Données projet'!$A$114&gt;35,BY28+BX29-CG28,IF(A29&lt;'Données projet'!$A$114,$BV$205^A29,IF(A29='Données projet'!$A$114,'Données projet'!$B$114,BY28+BX29-CG28)))</f>
        <v>48.30087400300993</v>
      </c>
      <c r="BZ29" s="13">
        <f>BY29*VLOOKUP('Données projet'!$B$12,Paramètres!$A$1:$I$89,3,0)*VLOOKUP('Données projet'!$B$12,Paramètres!$A$1:$I$89,5,0)</f>
        <v>43.702630797923383</v>
      </c>
      <c r="CA29" s="13">
        <f t="shared" si="39"/>
        <v>12.974916262929579</v>
      </c>
      <c r="CB29" s="20">
        <f t="shared" si="10"/>
        <v>98.71339446431891</v>
      </c>
      <c r="CC29" s="59">
        <f t="shared" si="11"/>
        <v>392.04672779765224</v>
      </c>
      <c r="CD29" s="59">
        <f ca="1">AVERAGE(OFFSET($CC$3,0,0,'Données projet'!$E$12+1,1))-AVERAGE(OFFSET($H$3,0,0,'Données projet'!$E$12+1,1))</f>
        <v>350.91577977538822</v>
      </c>
      <c r="CE29" s="59">
        <f t="shared" si="40"/>
        <v>142.87103313412547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11.8</v>
      </c>
      <c r="CT29" s="12">
        <f>IF('Données projet'!$A$140&gt;35,CT28+CS29-DB28,IF(A29&lt;'Données projet'!$A$140,$CQ$205^A29,IF(A29='Données projet'!$A$140,'Données projet'!$B$140,CT28+CS29-DB28)))</f>
        <v>98.799999999999969</v>
      </c>
      <c r="CU29" s="17">
        <f>CT29*VLOOKUP('Données projet'!$B$13,Paramètres!$A$1:$I$89,3,0)*VLOOKUP('Données projet'!$B$13,Paramètres!$A$1:$I$89,5,0)</f>
        <v>80.14655999999998</v>
      </c>
      <c r="CV29" s="13">
        <f t="shared" si="41"/>
        <v>22.17301499240547</v>
      </c>
      <c r="CW29" s="20">
        <f t="shared" si="13"/>
        <v>178.2065931117728</v>
      </c>
      <c r="CX29" s="59">
        <f t="shared" si="14"/>
        <v>471.53992644510612</v>
      </c>
      <c r="CY29" s="59">
        <f ca="1">AVERAGE(OFFSET($CX$3,0,0,'Données projet'!$E$13+1,1))-AVERAGE(OFFSET($H$3,0,0,'Données projet'!$E$13+1,1))</f>
        <v>230.38929580146208</v>
      </c>
      <c r="CZ29" s="59">
        <f t="shared" si="42"/>
        <v>227.1847788696258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7.2760000000000016</v>
      </c>
      <c r="DO29" s="12">
        <f>IF('Données projet'!$A$166&gt;35,DO28+DN29-DW28,IF(A29&lt;'Données projet'!$A$166,$DL$205^A29,IF(A29='Données projet'!$A$166,'Données projet'!$B$166,DO28+DN29-DW28)))</f>
        <v>42.325999999999993</v>
      </c>
      <c r="DP29" s="17">
        <f>DO29*VLOOKUP('Données projet'!$B$14,Paramètres!$A$1:$I$89,3,0)*VLOOKUP('Données projet'!$B$14,Paramètres!$A$1:$I$89,5,0)</f>
        <v>25.310947999999996</v>
      </c>
      <c r="DQ29" s="13">
        <f t="shared" si="43"/>
        <v>8.0078398189465325</v>
      </c>
      <c r="DR29" s="20">
        <f t="shared" si="16"/>
        <v>58.030222117998541</v>
      </c>
      <c r="DS29" s="59">
        <f t="shared" si="17"/>
        <v>351.36355545133188</v>
      </c>
      <c r="DT29" s="59">
        <f ca="1">AVERAGE(OFFSET($DS$3,0,0,'Données projet'!$E$14+1,1))-AVERAGE(OFFSET($H$3,0,0,'Données projet'!$E$14+1,1))</f>
        <v>145.97103392561058</v>
      </c>
      <c r="DU29" s="59">
        <f t="shared" si="44"/>
        <v>62.920713953681172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28.819999999999993</v>
      </c>
      <c r="N30" s="13">
        <f>IF('Données projet'!$A$36&gt;35,N29+M30-V29,IF(A30&lt;'Données projet'!$A$36,$K$205^A30,IF(A30='Données projet'!$A$36,'Données projet'!$B$36,N29+M30-V29)))</f>
        <v>324.23</v>
      </c>
      <c r="O30" s="13">
        <f>N30*VLOOKUP('Données projet'!$B$9,Paramètres!$A$1:$I$89,3,0)*VLOOKUP('Données projet'!$B$9,Paramètres!$A$1:$I$89,5,0)</f>
        <v>181.24457000000001</v>
      </c>
      <c r="P30" s="13">
        <f t="shared" si="33"/>
        <v>45.598968922238527</v>
      </c>
      <c r="Q30" s="20">
        <f t="shared" si="2"/>
        <v>395.08583028956542</v>
      </c>
      <c r="R30" s="59">
        <f t="shared" si="0"/>
        <v>688.41916362289874</v>
      </c>
      <c r="S30" s="59">
        <f ca="1">AVERAGE(OFFSET($R$3,0,0,'Données projet'!$E$9+1,1))-AVERAGE(OFFSET($H$3,0,0,'Données projet'!$E$9+1,1))</f>
        <v>350.01600895263641</v>
      </c>
      <c r="T30" s="59">
        <f t="shared" si="34"/>
        <v>464.08921044376882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19.210758561661205</v>
      </c>
      <c r="AB30" s="21">
        <f>EXP(-LN(2)/2)*AB29+(1-EXP(-LN(2)/2))/(LN(2)/2)*V30*Y30*VLOOKUP('Données projet'!$B$9,Paramètres!$A$1:$I$89,3,0)*0.475*44/12</f>
        <v>2.0928112945578095</v>
      </c>
      <c r="AC30" s="22">
        <f t="shared" si="3"/>
        <v>21.303569856219013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</v>
      </c>
      <c r="AI30" s="13">
        <f>IF('Données projet'!$A$62&gt;35,AI29+AH30-AQ29,IF(A30&lt;'Données projet'!$A$62,$AF$205^A30,IF(A30='Données projet'!$A$62,'Données projet'!$B$62,AI29+AH30-AQ29)))</f>
        <v>107.99999999999999</v>
      </c>
      <c r="AJ30" s="13">
        <f>AI30*VLOOKUP('Données projet'!$B$10,Paramètres!$A$1:$I$89,3,0)*VLOOKUP('Données projet'!$B$10,Paramètres!$A$1:$I$89,5,0)</f>
        <v>94.348799999999997</v>
      </c>
      <c r="AK30" s="13">
        <f t="shared" si="35"/>
        <v>25.611153022386461</v>
      </c>
      <c r="AL30" s="20">
        <f t="shared" si="4"/>
        <v>208.9302515139897</v>
      </c>
      <c r="AM30" s="59">
        <f t="shared" si="5"/>
        <v>502.26358484732305</v>
      </c>
      <c r="AN30" s="59">
        <f ca="1">AVERAGE(OFFSET($AM$3,0,0,'Données projet'!$E$10+1,1))-AVERAGE(OFFSET($H$3,0,0,'Données projet'!$E$10+1,1))</f>
        <v>242.48830542479988</v>
      </c>
      <c r="AO30" s="59">
        <f t="shared" si="36"/>
        <v>226.11219631227061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2.9235042735042733</v>
      </c>
      <c r="BD30" s="12">
        <f>IF('Données projet'!$A$88&gt;35,BD29+BC30-BL29,IF(A30&lt;'Données projet'!$A$88,$BA$205^A30,IF(A30='Données projet'!$A$88,'Données projet'!$B$88,BD29+BC30-BL29)))</f>
        <v>56.068958494210662</v>
      </c>
      <c r="BE30" s="13">
        <f>BD30*VLOOKUP('Données projet'!$B$11,Paramètres!$A$1:$I$89,3,0)*VLOOKUP('Données projet'!$B$11,Paramètres!$A$1:$I$89,5,0)</f>
        <v>56.853923913129613</v>
      </c>
      <c r="BF30" s="13">
        <f t="shared" si="37"/>
        <v>16.370366147143088</v>
      </c>
      <c r="BG30" s="20">
        <f t="shared" si="7"/>
        <v>127.53230518830827</v>
      </c>
      <c r="BH30" s="59">
        <f t="shared" si="8"/>
        <v>420.86563852164159</v>
      </c>
      <c r="BI30" s="59">
        <f ca="1">AVERAGE(OFFSET($BH$3,0,0,'Données projet'!$E$11+1,1))-AVERAGE(OFFSET($H$3,0,0,'Données projet'!$E$11+1,1))</f>
        <v>402.5435069258703</v>
      </c>
      <c r="BJ30" s="59">
        <f t="shared" si="38"/>
        <v>163.60655195816349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2.9235042735042733</v>
      </c>
      <c r="BY30" s="12">
        <f>IF('Données projet'!$A$114&gt;35,BY29+BX30-CG29,IF(A30&lt;'Données projet'!$A$114,$BV$205^A30,IF(A30='Données projet'!$A$114,'Données projet'!$B$114,BY29+BX30-CG29)))</f>
        <v>56.068958494210662</v>
      </c>
      <c r="BZ30" s="13">
        <f>BY30*VLOOKUP('Données projet'!$B$12,Paramètres!$A$1:$I$89,3,0)*VLOOKUP('Données projet'!$B$12,Paramètres!$A$1:$I$89,5,0)</f>
        <v>50.731193645561802</v>
      </c>
      <c r="CA30" s="13">
        <f t="shared" si="39"/>
        <v>14.802433760568636</v>
      </c>
      <c r="CB30" s="20">
        <f t="shared" si="10"/>
        <v>114.13773439901051</v>
      </c>
      <c r="CC30" s="59">
        <f t="shared" si="11"/>
        <v>407.47106773234384</v>
      </c>
      <c r="CD30" s="59">
        <f ca="1">AVERAGE(OFFSET($CC$3,0,0,'Données projet'!$E$12+1,1))-AVERAGE(OFFSET($H$3,0,0,'Données projet'!$E$12+1,1))</f>
        <v>350.91577977538822</v>
      </c>
      <c r="CE30" s="59">
        <f t="shared" si="40"/>
        <v>142.87103313412547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11.8</v>
      </c>
      <c r="CT30" s="12">
        <f>IF('Données projet'!$A$140&gt;35,CT29+CS30-DB29,IF(A30&lt;'Données projet'!$A$140,$CQ$205^A30,IF(A30='Données projet'!$A$140,'Données projet'!$B$140,CT29+CS30-DB29)))</f>
        <v>110.59999999999997</v>
      </c>
      <c r="CU30" s="17">
        <f>CT30*VLOOKUP('Données projet'!$B$13,Paramètres!$A$1:$I$89,3,0)*VLOOKUP('Données projet'!$B$13,Paramètres!$A$1:$I$89,5,0)</f>
        <v>89.718719999999976</v>
      </c>
      <c r="CV30" s="13">
        <f t="shared" si="41"/>
        <v>24.49737467739692</v>
      </c>
      <c r="CW30" s="20">
        <f t="shared" si="13"/>
        <v>198.92636489646625</v>
      </c>
      <c r="CX30" s="59">
        <f t="shared" si="14"/>
        <v>492.2596982297996</v>
      </c>
      <c r="CY30" s="59">
        <f ca="1">AVERAGE(OFFSET($CX$3,0,0,'Données projet'!$E$13+1,1))-AVERAGE(OFFSET($H$3,0,0,'Données projet'!$E$13+1,1))</f>
        <v>230.38929580146208</v>
      </c>
      <c r="CZ30" s="59">
        <f t="shared" si="42"/>
        <v>227.1847788696258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7.2760000000000016</v>
      </c>
      <c r="DO30" s="12">
        <f>IF('Données projet'!$A$166&gt;35,DO29+DN30-DW29,IF(A30&lt;'Données projet'!$A$166,$DL$205^A30,IF(A30='Données projet'!$A$166,'Données projet'!$B$166,DO29+DN30-DW29)))</f>
        <v>49.601999999999997</v>
      </c>
      <c r="DP30" s="17">
        <f>DO30*VLOOKUP('Données projet'!$B$14,Paramètres!$A$1:$I$89,3,0)*VLOOKUP('Données projet'!$B$14,Paramètres!$A$1:$I$89,5,0)</f>
        <v>29.661996000000002</v>
      </c>
      <c r="DQ30" s="13">
        <f t="shared" si="43"/>
        <v>9.212729367990292</v>
      </c>
      <c r="DR30" s="20">
        <f t="shared" si="16"/>
        <v>67.706813349249757</v>
      </c>
      <c r="DS30" s="59">
        <f t="shared" si="17"/>
        <v>361.0401466825831</v>
      </c>
      <c r="DT30" s="59">
        <f ca="1">AVERAGE(OFFSET($DS$3,0,0,'Données projet'!$E$14+1,1))-AVERAGE(OFFSET($H$3,0,0,'Données projet'!$E$14+1,1))</f>
        <v>145.97103392561058</v>
      </c>
      <c r="DU30" s="59">
        <f t="shared" si="44"/>
        <v>62.920713953681172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28.819999999999993</v>
      </c>
      <c r="N31" s="13">
        <f>IF('Données projet'!$A$36&gt;35,N30+M31-V30,IF(A31&lt;'Données projet'!$A$36,$K$205^A31,IF(A31='Données projet'!$A$36,'Données projet'!$B$36,N30+M31-V30)))</f>
        <v>353.05</v>
      </c>
      <c r="O31" s="13">
        <f>N31*VLOOKUP('Données projet'!$B$9,Paramètres!$A$1:$I$89,3,0)*VLOOKUP('Données projet'!$B$9,Paramètres!$A$1:$I$89,5,0)</f>
        <v>197.35495</v>
      </c>
      <c r="P31" s="13">
        <f t="shared" si="33"/>
        <v>49.162416141827357</v>
      </c>
      <c r="Q31" s="20">
        <f t="shared" si="2"/>
        <v>429.35107936368263</v>
      </c>
      <c r="R31" s="59">
        <f t="shared" si="0"/>
        <v>722.68441269701589</v>
      </c>
      <c r="S31" s="59">
        <f ca="1">AVERAGE(OFFSET($R$3,0,0,'Données projet'!$E$9+1,1))-AVERAGE(OFFSET($H$3,0,0,'Données projet'!$E$9+1,1))</f>
        <v>350.01600895263641</v>
      </c>
      <c r="T31" s="59">
        <f t="shared" si="34"/>
        <v>464.08921044376882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18.685439358542695</v>
      </c>
      <c r="AB31" s="21">
        <f>EXP(-LN(2)/2)*AB30+(1-EXP(-LN(2)/2))/(LN(2)/2)*V31*Y31*VLOOKUP('Données projet'!$B$9,Paramètres!$A$1:$I$89,3,0)*0.475*44/12</f>
        <v>1.4798410581256243</v>
      </c>
      <c r="AC31" s="22">
        <f t="shared" si="3"/>
        <v>20.16528041666832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</v>
      </c>
      <c r="AI31" s="13">
        <f>IF('Données projet'!$A$62&gt;35,AI30+AH31-AQ30,IF(A31&lt;'Données projet'!$A$62,$AF$205^A31,IF(A31='Données projet'!$A$62,'Données projet'!$B$62,AI30+AH31-AQ30)))</f>
        <v>116.99999999999999</v>
      </c>
      <c r="AJ31" s="13">
        <f>AI31*VLOOKUP('Données projet'!$B$10,Paramètres!$A$1:$I$89,3,0)*VLOOKUP('Données projet'!$B$10,Paramètres!$A$1:$I$89,5,0)</f>
        <v>102.21119999999999</v>
      </c>
      <c r="AK31" s="13">
        <f t="shared" si="35"/>
        <v>27.488113037666018</v>
      </c>
      <c r="AL31" s="20">
        <f t="shared" si="4"/>
        <v>225.89297020726829</v>
      </c>
      <c r="AM31" s="59">
        <f t="shared" si="5"/>
        <v>519.22630354060163</v>
      </c>
      <c r="AN31" s="59">
        <f ca="1">AVERAGE(OFFSET($AM$3,0,0,'Données projet'!$E$10+1,1))-AVERAGE(OFFSET($H$3,0,0,'Données projet'!$E$10+1,1))</f>
        <v>242.48830542479988</v>
      </c>
      <c r="AO31" s="59">
        <f t="shared" si="36"/>
        <v>226.11219631227061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2.9235042735042733</v>
      </c>
      <c r="BD31" s="12">
        <f>IF('Données projet'!$A$88&gt;35,BD30+BC31-BL30,IF(A31&lt;'Données projet'!$A$88,$BA$205^A31,IF(A31='Données projet'!$A$88,'Données projet'!$B$88,BD30+BC31-BL30)))</f>
        <v>65.086360682202411</v>
      </c>
      <c r="BE31" s="13">
        <f>BD31*VLOOKUP('Données projet'!$B$11,Paramètres!$A$1:$I$89,3,0)*VLOOKUP('Données projet'!$B$11,Paramètres!$A$1:$I$89,5,0)</f>
        <v>65.997569731753245</v>
      </c>
      <c r="BF31" s="13">
        <f t="shared" si="37"/>
        <v>18.67613290281286</v>
      </c>
      <c r="BG31" s="20">
        <f t="shared" si="7"/>
        <v>147.47336542186929</v>
      </c>
      <c r="BH31" s="59">
        <f t="shared" si="8"/>
        <v>440.8066987552026</v>
      </c>
      <c r="BI31" s="59">
        <f ca="1">AVERAGE(OFFSET($BH$3,0,0,'Données projet'!$E$11+1,1))-AVERAGE(OFFSET($H$3,0,0,'Données projet'!$E$11+1,1))</f>
        <v>402.5435069258703</v>
      </c>
      <c r="BJ31" s="59">
        <f t="shared" si="38"/>
        <v>163.60655195816349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2.9235042735042733</v>
      </c>
      <c r="BY31" s="12">
        <f>IF('Données projet'!$A$114&gt;35,BY30+BX31-CG30,IF(A31&lt;'Données projet'!$A$114,$BV$205^A31,IF(A31='Données projet'!$A$114,'Données projet'!$B$114,BY30+BX31-CG30)))</f>
        <v>65.086360682202411</v>
      </c>
      <c r="BZ31" s="13">
        <f>BY31*VLOOKUP('Données projet'!$B$12,Paramètres!$A$1:$I$89,3,0)*VLOOKUP('Données projet'!$B$12,Paramètres!$A$1:$I$89,5,0)</f>
        <v>58.89013914525674</v>
      </c>
      <c r="CA31" s="13">
        <f t="shared" si="39"/>
        <v>16.887357174091651</v>
      </c>
      <c r="CB31" s="20">
        <f t="shared" si="10"/>
        <v>131.9791394228651</v>
      </c>
      <c r="CC31" s="59">
        <f t="shared" si="11"/>
        <v>425.31247275619842</v>
      </c>
      <c r="CD31" s="59">
        <f ca="1">AVERAGE(OFFSET($CC$3,0,0,'Données projet'!$E$12+1,1))-AVERAGE(OFFSET($H$3,0,0,'Données projet'!$E$12+1,1))</f>
        <v>350.91577977538822</v>
      </c>
      <c r="CE31" s="59">
        <f t="shared" si="40"/>
        <v>142.87103313412547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11.8</v>
      </c>
      <c r="CT31" s="12">
        <f>IF('Données projet'!$A$140&gt;35,CT30+CS31-DB30,IF(A31&lt;'Données projet'!$A$140,$CQ$205^A31,IF(A31='Données projet'!$A$140,'Données projet'!$B$140,CT30+CS31-DB30)))</f>
        <v>122.39999999999996</v>
      </c>
      <c r="CU31" s="17">
        <f>CT31*VLOOKUP('Données projet'!$B$13,Paramètres!$A$1:$I$89,3,0)*VLOOKUP('Données projet'!$B$13,Paramètres!$A$1:$I$89,5,0)</f>
        <v>99.290879999999973</v>
      </c>
      <c r="CV31" s="13">
        <f t="shared" si="41"/>
        <v>26.792989580133234</v>
      </c>
      <c r="CW31" s="20">
        <f t="shared" si="13"/>
        <v>219.5960728520653</v>
      </c>
      <c r="CX31" s="59">
        <f t="shared" si="14"/>
        <v>512.92940618539865</v>
      </c>
      <c r="CY31" s="59">
        <f ca="1">AVERAGE(OFFSET($CX$3,0,0,'Données projet'!$E$13+1,1))-AVERAGE(OFFSET($H$3,0,0,'Données projet'!$E$13+1,1))</f>
        <v>230.38929580146208</v>
      </c>
      <c r="CZ31" s="59">
        <f t="shared" si="42"/>
        <v>227.1847788696258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7.2760000000000016</v>
      </c>
      <c r="DO31" s="12">
        <f>IF('Données projet'!$A$166&gt;35,DO30+DN31-DW30,IF(A31&lt;'Données projet'!$A$166,$DL$205^A31,IF(A31='Données projet'!$A$166,'Données projet'!$B$166,DO30+DN31-DW30)))</f>
        <v>56.878</v>
      </c>
      <c r="DP31" s="17">
        <f>DO31*VLOOKUP('Données projet'!$B$14,Paramètres!$A$1:$I$89,3,0)*VLOOKUP('Données projet'!$B$14,Paramètres!$A$1:$I$89,5,0)</f>
        <v>34.013044000000008</v>
      </c>
      <c r="DQ31" s="13">
        <f t="shared" si="43"/>
        <v>10.397143293340241</v>
      </c>
      <c r="DR31" s="20">
        <f t="shared" si="16"/>
        <v>77.347742869234267</v>
      </c>
      <c r="DS31" s="59">
        <f t="shared" si="17"/>
        <v>370.68107620256757</v>
      </c>
      <c r="DT31" s="59">
        <f ca="1">AVERAGE(OFFSET($DS$3,0,0,'Données projet'!$E$14+1,1))-AVERAGE(OFFSET($H$3,0,0,'Données projet'!$E$14+1,1))</f>
        <v>145.97103392561058</v>
      </c>
      <c r="DU31" s="59">
        <f t="shared" si="44"/>
        <v>62.920713953681172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28.819999999999993</v>
      </c>
      <c r="N32" s="13">
        <f>IF('Données projet'!$A$36&gt;35,N31+M32-V31,IF(A32&lt;'Données projet'!$A$36,$K$205^A32,IF(A32='Données projet'!$A$36,'Données projet'!$B$36,N31+M32-V31)))</f>
        <v>381.87</v>
      </c>
      <c r="O32" s="13">
        <f>N32*VLOOKUP('Données projet'!$B$9,Paramètres!$A$1:$I$89,3,0)*VLOOKUP('Données projet'!$B$9,Paramètres!$A$1:$I$89,5,0)</f>
        <v>213.46533000000002</v>
      </c>
      <c r="P32" s="13">
        <f t="shared" si="33"/>
        <v>52.692124649376929</v>
      </c>
      <c r="Q32" s="20">
        <f t="shared" si="2"/>
        <v>463.55756684766487</v>
      </c>
      <c r="R32" s="59">
        <f t="shared" si="0"/>
        <v>756.89090018099819</v>
      </c>
      <c r="S32" s="59">
        <f ca="1">AVERAGE(OFFSET($R$3,0,0,'Données projet'!$E$9+1,1))-AVERAGE(OFFSET($H$3,0,0,'Données projet'!$E$9+1,1))</f>
        <v>350.01600895263641</v>
      </c>
      <c r="T32" s="59">
        <f t="shared" si="34"/>
        <v>464.08921044376882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18.174485036658794</v>
      </c>
      <c r="AB32" s="21">
        <f>EXP(-LN(2)/2)*AB31+(1-EXP(-LN(2)/2))/(LN(2)/2)*V32*Y32*VLOOKUP('Données projet'!$B$9,Paramètres!$A$1:$I$89,3,0)*0.475*44/12</f>
        <v>1.0464056472789047</v>
      </c>
      <c r="AC32" s="22">
        <f t="shared" si="3"/>
        <v>19.2208906839377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</v>
      </c>
      <c r="AI32" s="13">
        <f>IF('Données projet'!$A$62&gt;35,AI31+AH32-AQ31,IF(A32&lt;'Données projet'!$A$62,$AF$205^A32,IF(A32='Données projet'!$A$62,'Données projet'!$B$62,AI31+AH32-AQ31)))</f>
        <v>125.99999999999999</v>
      </c>
      <c r="AJ32" s="13">
        <f>AI32*VLOOKUP('Données projet'!$B$10,Paramètres!$A$1:$I$89,3,0)*VLOOKUP('Données projet'!$B$10,Paramètres!$A$1:$I$89,5,0)</f>
        <v>110.07360000000001</v>
      </c>
      <c r="AK32" s="13">
        <f t="shared" si="35"/>
        <v>29.348324631518828</v>
      </c>
      <c r="AL32" s="20">
        <f t="shared" si="4"/>
        <v>242.8265187332286</v>
      </c>
      <c r="AM32" s="59">
        <f t="shared" si="5"/>
        <v>536.15985206656194</v>
      </c>
      <c r="AN32" s="59">
        <f ca="1">AVERAGE(OFFSET($AM$3,0,0,'Données projet'!$E$10+1,1))-AVERAGE(OFFSET($H$3,0,0,'Données projet'!$E$10+1,1))</f>
        <v>242.48830542479988</v>
      </c>
      <c r="AO32" s="59">
        <f t="shared" si="36"/>
        <v>226.11219631227061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2.9235042735042733</v>
      </c>
      <c r="BD32" s="12">
        <f>IF('Données projet'!$A$88&gt;35,BD31+BC32-BL31,IF(A32&lt;'Données projet'!$A$88,$BA$205^A32,IF(A32='Données projet'!$A$88,'Données projet'!$B$88,BD31+BC32-BL31)))</f>
        <v>75.55400457975604</v>
      </c>
      <c r="BE32" s="13">
        <f>BD32*VLOOKUP('Données projet'!$B$11,Paramètres!$A$1:$I$89,3,0)*VLOOKUP('Données projet'!$B$11,Paramètres!$A$1:$I$89,5,0)</f>
        <v>76.611760643872628</v>
      </c>
      <c r="BF32" s="13">
        <f t="shared" si="37"/>
        <v>21.306667002338269</v>
      </c>
      <c r="BG32" s="20">
        <f t="shared" si="7"/>
        <v>170.54126148381732</v>
      </c>
      <c r="BH32" s="59">
        <f t="shared" si="8"/>
        <v>463.87459481715064</v>
      </c>
      <c r="BI32" s="59">
        <f ca="1">AVERAGE(OFFSET($BH$3,0,0,'Données projet'!$E$11+1,1))-AVERAGE(OFFSET($H$3,0,0,'Données projet'!$E$11+1,1))</f>
        <v>402.5435069258703</v>
      </c>
      <c r="BJ32" s="59">
        <f t="shared" si="38"/>
        <v>163.60655195816349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2.9235042735042733</v>
      </c>
      <c r="BY32" s="12">
        <f>IF('Données projet'!$A$114&gt;35,BY31+BX32-CG31,IF(A32&lt;'Données projet'!$A$114,$BV$205^A32,IF(A32='Données projet'!$A$114,'Données projet'!$B$114,BY31+BX32-CG31)))</f>
        <v>75.55400457975604</v>
      </c>
      <c r="BZ32" s="13">
        <f>BY32*VLOOKUP('Données projet'!$B$12,Paramètres!$A$1:$I$89,3,0)*VLOOKUP('Données projet'!$B$12,Paramètres!$A$1:$I$89,5,0)</f>
        <v>68.36126334376327</v>
      </c>
      <c r="CA32" s="13">
        <f t="shared" si="39"/>
        <v>19.265942137503561</v>
      </c>
      <c r="CB32" s="20">
        <f t="shared" si="10"/>
        <v>152.61738287987308</v>
      </c>
      <c r="CC32" s="59">
        <f t="shared" si="11"/>
        <v>445.95071621320642</v>
      </c>
      <c r="CD32" s="59">
        <f ca="1">AVERAGE(OFFSET($CC$3,0,0,'Données projet'!$E$12+1,1))-AVERAGE(OFFSET($H$3,0,0,'Données projet'!$E$12+1,1))</f>
        <v>350.91577977538822</v>
      </c>
      <c r="CE32" s="59">
        <f t="shared" si="40"/>
        <v>142.87103313412547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11.8</v>
      </c>
      <c r="CT32" s="12">
        <f>IF('Données projet'!$A$140&gt;35,CT31+CS32-DB31,IF(A32&lt;'Données projet'!$A$140,$CQ$205^A32,IF(A32='Données projet'!$A$140,'Données projet'!$B$140,CT31+CS32-DB31)))</f>
        <v>134.19999999999996</v>
      </c>
      <c r="CU32" s="17">
        <f>CT32*VLOOKUP('Données projet'!$B$13,Paramètres!$A$1:$I$89,3,0)*VLOOKUP('Données projet'!$B$13,Paramètres!$A$1:$I$89,5,0)</f>
        <v>108.86303999999997</v>
      </c>
      <c r="CV32" s="13">
        <f t="shared" si="41"/>
        <v>29.062946162784755</v>
      </c>
      <c r="CW32" s="20">
        <f t="shared" si="13"/>
        <v>240.22109256685007</v>
      </c>
      <c r="CX32" s="59">
        <f t="shared" si="14"/>
        <v>533.55442590018333</v>
      </c>
      <c r="CY32" s="59">
        <f ca="1">AVERAGE(OFFSET($CX$3,0,0,'Données projet'!$E$13+1,1))-AVERAGE(OFFSET($H$3,0,0,'Données projet'!$E$13+1,1))</f>
        <v>230.38929580146208</v>
      </c>
      <c r="CZ32" s="59">
        <f t="shared" si="42"/>
        <v>227.1847788696258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7.2760000000000016</v>
      </c>
      <c r="DO32" s="12">
        <f>IF('Données projet'!$A$166&gt;35,DO31+DN32-DW31,IF(A32&lt;'Données projet'!$A$166,$DL$205^A32,IF(A32='Données projet'!$A$166,'Données projet'!$B$166,DO31+DN32-DW31)))</f>
        <v>64.153999999999996</v>
      </c>
      <c r="DP32" s="17">
        <f>DO32*VLOOKUP('Données projet'!$B$14,Paramètres!$A$1:$I$89,3,0)*VLOOKUP('Données projet'!$B$14,Paramètres!$A$1:$I$89,5,0)</f>
        <v>38.364091999999999</v>
      </c>
      <c r="DQ32" s="13">
        <f t="shared" si="43"/>
        <v>11.564001185790431</v>
      </c>
      <c r="DR32" s="20">
        <f t="shared" si="16"/>
        <v>86.95809563191834</v>
      </c>
      <c r="DS32" s="59">
        <f t="shared" si="17"/>
        <v>380.29142896525167</v>
      </c>
      <c r="DT32" s="59">
        <f ca="1">AVERAGE(OFFSET($DS$3,0,0,'Données projet'!$E$14+1,1))-AVERAGE(OFFSET($H$3,0,0,'Données projet'!$E$14+1,1))</f>
        <v>145.97103392561058</v>
      </c>
      <c r="DU32" s="59">
        <f t="shared" si="44"/>
        <v>62.920713953681172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410.69</v>
      </c>
      <c r="L33" s="12">
        <f>VLOOKUP(A33,'Données projet'!$A$35:$I$55,9,0)</f>
        <v>28.819999999999993</v>
      </c>
      <c r="M33" s="12">
        <f t="array" ref="M33">INDEX(L:L,MIN(IF(ISNUMBER(L33:L229),ROW(L33:L229),"")))</f>
        <v>28.819999999999993</v>
      </c>
      <c r="N33" s="13">
        <f>IF('Données projet'!$A$36&gt;35,N32+M33-V32,IF(A33&lt;'Données projet'!$A$36,$K$205^A33,IF(A33='Données projet'!$A$36,'Données projet'!$B$36,N32+M33-V32)))</f>
        <v>410.69</v>
      </c>
      <c r="O33" s="13">
        <f>N33*VLOOKUP('Données projet'!$B$9,Paramètres!$A$1:$I$89,3,0)*VLOOKUP('Données projet'!$B$9,Paramètres!$A$1:$I$89,5,0)</f>
        <v>229.57571000000002</v>
      </c>
      <c r="P33" s="13">
        <f t="shared" si="33"/>
        <v>56.190930256761952</v>
      </c>
      <c r="Q33" s="20">
        <f t="shared" si="2"/>
        <v>497.71023178052701</v>
      </c>
      <c r="R33" s="59">
        <f t="shared" si="0"/>
        <v>791.04356511386027</v>
      </c>
      <c r="S33" s="59">
        <f ca="1">AVERAGE(OFFSET($R$3,0,0,'Données projet'!$E$9+1,1))-AVERAGE(OFFSET($H$3,0,0,'Données projet'!$E$9+1,1))</f>
        <v>350.01600895263641</v>
      </c>
      <c r="T33" s="59">
        <f t="shared" si="34"/>
        <v>464.08921044376882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80.97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0.55000000000000004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50.571271540152075</v>
      </c>
      <c r="AB33" s="21">
        <f>EXP(-LN(2)/2)*AB32+(1-EXP(-LN(2)/2))/(LN(2)/2)*V33*Y33*VLOOKUP('Données projet'!$B$9,Paramètres!$A$1:$I$89,3,0)*0.475*44/12</f>
        <v>0.73992052906281214</v>
      </c>
      <c r="AC33" s="22">
        <f t="shared" si="3"/>
        <v>51.31119206921489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135</v>
      </c>
      <c r="AG33" s="12">
        <f>VLOOKUP(A33,'Données projet'!$A$61:$I$81,9,0)</f>
        <v>9</v>
      </c>
      <c r="AH33" s="12">
        <f t="array" ref="AH33">INDEX(AG:AG,MIN(IF(ISNUMBER(AG33:AG229),ROW(AG33:AG229),"")))</f>
        <v>9</v>
      </c>
      <c r="AI33" s="13">
        <f>IF('Données projet'!$A$62&gt;35,AI32+AH33-AQ32,IF(A33&lt;'Données projet'!$A$62,$AF$205^A33,IF(A33='Données projet'!$A$62,'Données projet'!$B$62,AI32+AH33-AQ32)))</f>
        <v>135</v>
      </c>
      <c r="AJ33" s="13">
        <f>AI33*VLOOKUP('Données projet'!$B$10,Paramètres!$A$1:$I$89,3,0)*VLOOKUP('Données projet'!$B$10,Paramètres!$A$1:$I$89,5,0)</f>
        <v>117.93600000000002</v>
      </c>
      <c r="AK33" s="13">
        <f t="shared" si="35"/>
        <v>31.1931201812605</v>
      </c>
      <c r="AL33" s="20">
        <f t="shared" si="4"/>
        <v>259.73321764902875</v>
      </c>
      <c r="AM33" s="59">
        <f t="shared" si="5"/>
        <v>553.06655098236206</v>
      </c>
      <c r="AN33" s="59">
        <f ca="1">AVERAGE(OFFSET($AM$3,0,0,'Données projet'!$E$10+1,1))-AVERAGE(OFFSET($H$3,0,0,'Données projet'!$E$10+1,1))</f>
        <v>242.48830542479988</v>
      </c>
      <c r="AO33" s="59">
        <f t="shared" si="36"/>
        <v>226.11219631227061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24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87.705128205128204</v>
      </c>
      <c r="BB33" s="12">
        <f>VLOOKUP(A33,'Données projet'!$A$87:$I$107,9,0)</f>
        <v>2.9235042735042733</v>
      </c>
      <c r="BC33" s="12">
        <f t="array" ref="BC33">INDEX(BB:BB,MIN(IF(ISNUMBER(BB33:BB229),ROW(BB33:BB229),"")))</f>
        <v>2.9235042735042733</v>
      </c>
      <c r="BD33" s="12">
        <f>IF('Données projet'!$A$88&gt;35,BD32+BC33-BL32,IF(A33&lt;'Données projet'!$A$88,$BA$205^A33,IF(A33='Données projet'!$A$88,'Données projet'!$B$88,BD32+BC33-BL32)))</f>
        <v>87.705128205128204</v>
      </c>
      <c r="BE33" s="13">
        <f>BD33*VLOOKUP('Données projet'!$B$11,Paramètres!$A$1:$I$89,3,0)*VLOOKUP('Données projet'!$B$11,Paramètres!$A$1:$I$89,5,0)</f>
        <v>88.933000000000007</v>
      </c>
      <c r="BF33" s="13">
        <f t="shared" si="37"/>
        <v>24.307711939667918</v>
      </c>
      <c r="BG33" s="20">
        <f t="shared" si="7"/>
        <v>197.22757329492163</v>
      </c>
      <c r="BH33" s="59">
        <f t="shared" si="8"/>
        <v>490.56090662825494</v>
      </c>
      <c r="BI33" s="59">
        <f ca="1">AVERAGE(OFFSET($BH$3,0,0,'Données projet'!$E$11+1,1))-AVERAGE(OFFSET($H$3,0,0,'Données projet'!$E$11+1,1))</f>
        <v>402.5435069258703</v>
      </c>
      <c r="BJ33" s="59">
        <f t="shared" si="38"/>
        <v>163.60655195816349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87.705128205128204</v>
      </c>
      <c r="BW33" s="12">
        <f>VLOOKUP(A33,'Données projet'!$A$113:$I$133,9,0)</f>
        <v>2.9235042735042733</v>
      </c>
      <c r="BX33" s="12">
        <f t="array" ref="BX33">INDEX(BW:BW,MIN(IF(ISNUMBER(BW33:BW229),ROW(BW33:BW229),"")))</f>
        <v>2.9235042735042733</v>
      </c>
      <c r="BY33" s="12">
        <f>IF('Données projet'!$A$114&gt;35,BY32+BX33-CG32,IF(A33&lt;'Données projet'!$A$114,$BV$205^A33,IF(A33='Données projet'!$A$114,'Données projet'!$B$114,BY32+BX33-CG32)))</f>
        <v>87.705128205128204</v>
      </c>
      <c r="BZ33" s="13">
        <f>BY33*VLOOKUP('Données projet'!$B$12,Paramètres!$A$1:$I$89,3,0)*VLOOKUP('Données projet'!$B$12,Paramètres!$A$1:$I$89,5,0)</f>
        <v>79.355599999999995</v>
      </c>
      <c r="CA33" s="13">
        <f t="shared" si="39"/>
        <v>21.979550892373382</v>
      </c>
      <c r="CB33" s="20">
        <f t="shared" si="10"/>
        <v>176.49205447088363</v>
      </c>
      <c r="CC33" s="59">
        <f t="shared" si="11"/>
        <v>469.82538780421692</v>
      </c>
      <c r="CD33" s="59">
        <f ca="1">AVERAGE(OFFSET($CC$3,0,0,'Données projet'!$E$12+1,1))-AVERAGE(OFFSET($H$3,0,0,'Données projet'!$E$12+1,1))</f>
        <v>350.91577977538822</v>
      </c>
      <c r="CE33" s="59">
        <f t="shared" si="40"/>
        <v>142.87103313412547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146</v>
      </c>
      <c r="CR33" s="12">
        <f>VLOOKUP(A33,'Données projet'!$A$139:$I$159,9,0)</f>
        <v>11.8</v>
      </c>
      <c r="CS33" s="12">
        <f t="array" ref="CS33">INDEX(CR:CR,MIN(IF(ISNUMBER(CR33:CR229),ROW(CR33:CR229),"")))</f>
        <v>11.8</v>
      </c>
      <c r="CT33" s="12">
        <f>IF('Données projet'!$A$140&gt;35,CT32+CS33-DB32,IF(A33&lt;'Données projet'!$A$140,$CQ$205^A33,IF(A33='Données projet'!$A$140,'Données projet'!$B$140,CT32+CS33-DB32)))</f>
        <v>145.99999999999997</v>
      </c>
      <c r="CU33" s="17">
        <f>CT33*VLOOKUP('Données projet'!$B$13,Paramètres!$A$1:$I$89,3,0)*VLOOKUP('Données projet'!$B$13,Paramètres!$A$1:$I$89,5,0)</f>
        <v>118.43519999999998</v>
      </c>
      <c r="CV33" s="13">
        <f t="shared" si="41"/>
        <v>31.309757056296963</v>
      </c>
      <c r="CW33" s="20">
        <f t="shared" si="13"/>
        <v>260.80580020638388</v>
      </c>
      <c r="CX33" s="59">
        <f t="shared" si="14"/>
        <v>554.13913353971725</v>
      </c>
      <c r="CY33" s="59">
        <f ca="1">AVERAGE(OFFSET($CX$3,0,0,'Données projet'!$E$13+1,1))-AVERAGE(OFFSET($H$3,0,0,'Données projet'!$E$13+1,1))</f>
        <v>230.38929580146208</v>
      </c>
      <c r="CZ33" s="59">
        <f t="shared" si="42"/>
        <v>227.1847788696258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28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71.430000000000007</v>
      </c>
      <c r="DM33" s="12">
        <f>VLOOKUP(A33,'Données projet'!$A$165:$I$185,9,0)</f>
        <v>7.2760000000000016</v>
      </c>
      <c r="DN33" s="12">
        <f t="array" ref="DN33">INDEX(DM:DM,MIN(IF(ISNUMBER(DM33:DM229),ROW(DM33:DM229),"")))</f>
        <v>7.2760000000000016</v>
      </c>
      <c r="DO33" s="12">
        <f>IF('Données projet'!$A$166&gt;35,DO32+DN33-DW32,IF(A33&lt;'Données projet'!$A$166,$DL$205^A33,IF(A33='Données projet'!$A$166,'Données projet'!$B$166,DO32+DN33-DW32)))</f>
        <v>71.429999999999993</v>
      </c>
      <c r="DP33" s="17">
        <f>DO33*VLOOKUP('Données projet'!$B$14,Paramètres!$A$1:$I$89,3,0)*VLOOKUP('Données projet'!$B$14,Paramètres!$A$1:$I$89,5,0)</f>
        <v>42.715139999999998</v>
      </c>
      <c r="DQ33" s="13">
        <f t="shared" si="43"/>
        <v>12.715521410778546</v>
      </c>
      <c r="DR33" s="20">
        <f t="shared" si="16"/>
        <v>96.541735290439291</v>
      </c>
      <c r="DS33" s="59">
        <f t="shared" si="17"/>
        <v>389.87506862377262</v>
      </c>
      <c r="DT33" s="59">
        <f ca="1">AVERAGE(OFFSET($DS$3,0,0,'Données projet'!$E$14+1,1))-AVERAGE(OFFSET($H$3,0,0,'Données projet'!$E$14+1,1))</f>
        <v>145.97103392561058</v>
      </c>
      <c r="DU33" s="59">
        <f t="shared" si="44"/>
        <v>62.920713953681172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28.661666666666662</v>
      </c>
      <c r="N34" s="13">
        <f>IF('Données projet'!$A$36&gt;35,N33+M34-V33,IF(A34&lt;'Données projet'!$A$36,$K$205^A34,IF(A34='Données projet'!$A$36,'Données projet'!$B$36,N33+M34-V33)))</f>
        <v>358.38166666666666</v>
      </c>
      <c r="O34" s="13">
        <f>N34*VLOOKUP('Données projet'!$B$9,Paramètres!$A$1:$I$89,3,0)*VLOOKUP('Données projet'!$B$9,Paramètres!$A$1:$I$89,5,0)</f>
        <v>200.33535166666667</v>
      </c>
      <c r="P34" s="13">
        <f t="shared" si="33"/>
        <v>49.817860683914162</v>
      </c>
      <c r="Q34" s="20">
        <f t="shared" si="2"/>
        <v>435.68351151059488</v>
      </c>
      <c r="R34" s="59">
        <f t="shared" si="0"/>
        <v>729.0168448439282</v>
      </c>
      <c r="S34" s="59">
        <f ca="1">AVERAGE(OFFSET($R$3,0,0,'Données projet'!$E$9+1,1))-AVERAGE(OFFSET($H$3,0,0,'Données projet'!$E$9+1,1))</f>
        <v>350.01600895263641</v>
      </c>
      <c r="T34" s="59">
        <f t="shared" si="34"/>
        <v>464.08921044376882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49.188397460459029</v>
      </c>
      <c r="AB34" s="21">
        <f>EXP(-LN(2)/2)*AB33+(1-EXP(-LN(2)/2))/(LN(2)/2)*V34*Y34*VLOOKUP('Données projet'!$B$9,Paramètres!$A$1:$I$89,3,0)*0.475*44/12</f>
        <v>0.52320282363945236</v>
      </c>
      <c r="AC34" s="22">
        <f t="shared" si="3"/>
        <v>49.711600284098481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8.4</v>
      </c>
      <c r="AI34" s="13">
        <f>IF('Données projet'!$A$62&gt;35,AI33+AH34-AQ33,IF(A34&lt;'Données projet'!$A$62,$AF$205^A34,IF(A34='Données projet'!$A$62,'Données projet'!$B$62,AI33+AH34-AQ33)))</f>
        <v>119.4</v>
      </c>
      <c r="AJ34" s="13">
        <f>AI34*VLOOKUP('Données projet'!$B$10,Paramètres!$A$1:$I$89,3,0)*VLOOKUP('Données projet'!$B$10,Paramètres!$A$1:$I$89,5,0)</f>
        <v>104.30784000000001</v>
      </c>
      <c r="AK34" s="13">
        <f t="shared" si="35"/>
        <v>27.985748297693263</v>
      </c>
      <c r="AL34" s="20">
        <f t="shared" si="4"/>
        <v>230.41133295181578</v>
      </c>
      <c r="AM34" s="59">
        <f t="shared" si="5"/>
        <v>523.74466628514915</v>
      </c>
      <c r="AN34" s="59">
        <f ca="1">AVERAGE(OFFSET($AM$3,0,0,'Données projet'!$E$10+1,1))-AVERAGE(OFFSET($H$3,0,0,'Données projet'!$E$10+1,1))</f>
        <v>242.48830542479988</v>
      </c>
      <c r="AO34" s="59">
        <f t="shared" si="36"/>
        <v>226.11219631227061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8.1474908424908428</v>
      </c>
      <c r="BD34" s="12">
        <f>IF('Données projet'!$A$88&gt;35,BD33+BC34-BL33,IF(A34&lt;'Données projet'!$A$88,$BA$205^A34,IF(A34='Données projet'!$A$88,'Données projet'!$B$88,BD33+BC34-BL33)))</f>
        <v>95.852619047619044</v>
      </c>
      <c r="BE34" s="13">
        <f>BD34*VLOOKUP('Données projet'!$B$11,Paramètres!$A$1:$I$89,3,0)*VLOOKUP('Données projet'!$B$11,Paramètres!$A$1:$I$89,5,0)</f>
        <v>97.194555714285727</v>
      </c>
      <c r="BF34" s="13">
        <f t="shared" si="37"/>
        <v>26.292536293767313</v>
      </c>
      <c r="BG34" s="20">
        <f t="shared" si="7"/>
        <v>215.07335191402572</v>
      </c>
      <c r="BH34" s="59">
        <f t="shared" si="8"/>
        <v>508.40668524735906</v>
      </c>
      <c r="BI34" s="59">
        <f ca="1">AVERAGE(OFFSET($BH$3,0,0,'Données projet'!$E$11+1,1))-AVERAGE(OFFSET($H$3,0,0,'Données projet'!$E$11+1,1))</f>
        <v>402.5435069258703</v>
      </c>
      <c r="BJ34" s="59">
        <f t="shared" si="38"/>
        <v>163.60655195816349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8.1474908424908428</v>
      </c>
      <c r="BY34" s="12">
        <f>IF('Données projet'!$A$114&gt;35,BY33+BX34-CG33,IF(A34&lt;'Données projet'!$A$114,$BV$205^A34,IF(A34='Données projet'!$A$114,'Données projet'!$B$114,BY33+BX34-CG33)))</f>
        <v>95.852619047619044</v>
      </c>
      <c r="BZ34" s="13">
        <f>BY34*VLOOKUP('Données projet'!$B$12,Paramètres!$A$1:$I$89,3,0)*VLOOKUP('Données projet'!$B$12,Paramètres!$A$1:$I$89,5,0)</f>
        <v>86.727449714285711</v>
      </c>
      <c r="CA34" s="13">
        <f t="shared" si="39"/>
        <v>23.774271350293436</v>
      </c>
      <c r="CB34" s="20">
        <f t="shared" si="10"/>
        <v>192.45716418747534</v>
      </c>
      <c r="CC34" s="59">
        <f t="shared" si="11"/>
        <v>485.79049752080869</v>
      </c>
      <c r="CD34" s="59">
        <f ca="1">AVERAGE(OFFSET($CC$3,0,0,'Données projet'!$E$12+1,1))-AVERAGE(OFFSET($H$3,0,0,'Données projet'!$E$12+1,1))</f>
        <v>350.91577977538822</v>
      </c>
      <c r="CE34" s="59">
        <f t="shared" si="40"/>
        <v>142.87103313412547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10.8</v>
      </c>
      <c r="CT34" s="12">
        <f>IF('Données projet'!$A$140&gt;35,CT33+CS34-DB33,IF(A34&lt;'Données projet'!$A$140,$CQ$205^A34,IF(A34='Données projet'!$A$140,'Données projet'!$B$140,CT33+CS34-DB33)))</f>
        <v>128.79999999999998</v>
      </c>
      <c r="CU34" s="17">
        <f>CT34*VLOOKUP('Données projet'!$B$13,Paramètres!$A$1:$I$89,3,0)*VLOOKUP('Données projet'!$B$13,Paramètres!$A$1:$I$89,5,0)</f>
        <v>104.48256000000001</v>
      </c>
      <c r="CV34" s="13">
        <f t="shared" si="41"/>
        <v>28.02716504477474</v>
      </c>
      <c r="CW34" s="20">
        <f t="shared" si="13"/>
        <v>230.78777111964931</v>
      </c>
      <c r="CX34" s="59">
        <f t="shared" si="14"/>
        <v>524.12110445298265</v>
      </c>
      <c r="CY34" s="59">
        <f ca="1">AVERAGE(OFFSET($CX$3,0,0,'Données projet'!$E$13+1,1))-AVERAGE(OFFSET($H$3,0,0,'Données projet'!$E$13+1,1))</f>
        <v>230.38929580146208</v>
      </c>
      <c r="CZ34" s="59">
        <f t="shared" si="42"/>
        <v>227.1847788696258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8.5539999999999985</v>
      </c>
      <c r="DO34" s="12">
        <f>IF('Données projet'!$A$166&gt;35,DO33+DN34-DW33,IF(A34&lt;'Données projet'!$A$166,$DL$205^A34,IF(A34='Données projet'!$A$166,'Données projet'!$B$166,DO33+DN34-DW33)))</f>
        <v>79.983999999999995</v>
      </c>
      <c r="DP34" s="17">
        <f>DO34*VLOOKUP('Données projet'!$B$14,Paramètres!$A$1:$I$89,3,0)*VLOOKUP('Données projet'!$B$14,Paramètres!$A$1:$I$89,5,0)</f>
        <v>47.830432000000002</v>
      </c>
      <c r="DQ34" s="13">
        <f t="shared" si="43"/>
        <v>14.052020909420596</v>
      </c>
      <c r="DR34" s="20">
        <f t="shared" si="16"/>
        <v>107.77860548390754</v>
      </c>
      <c r="DS34" s="59">
        <f t="shared" si="17"/>
        <v>401.11193881724085</v>
      </c>
      <c r="DT34" s="59">
        <f ca="1">AVERAGE(OFFSET($DS$3,0,0,'Données projet'!$E$14+1,1))-AVERAGE(OFFSET($H$3,0,0,'Données projet'!$E$14+1,1))</f>
        <v>145.97103392561058</v>
      </c>
      <c r="DU34" s="59">
        <f t="shared" si="44"/>
        <v>62.920713953681172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28.661666666666662</v>
      </c>
      <c r="N35" s="13">
        <f>IF('Données projet'!$A$36&gt;35,N34+M35-V34,IF(A35&lt;'Données projet'!$A$36,$K$205^A35,IF(A35='Données projet'!$A$36,'Données projet'!$B$36,N34+M35-V34)))</f>
        <v>387.04333333333329</v>
      </c>
      <c r="O35" s="13">
        <f>N35*VLOOKUP('Données projet'!$B$9,Paramètres!$A$1:$I$89,3,0)*VLOOKUP('Données projet'!$B$9,Paramètres!$A$1:$I$89,5,0)</f>
        <v>216.35722333333334</v>
      </c>
      <c r="P35" s="13">
        <f t="shared" si="33"/>
        <v>53.322378483830668</v>
      </c>
      <c r="Q35" s="20">
        <f t="shared" ref="Q35:Q66" si="53">(O35+P35)*0.475*44/12</f>
        <v>469.69197316489391</v>
      </c>
      <c r="R35" s="59">
        <f t="shared" si="0"/>
        <v>763.02530649822722</v>
      </c>
      <c r="S35" s="59">
        <f ca="1">AVERAGE(OFFSET($R$3,0,0,'Données projet'!$E$9+1,1))-AVERAGE(OFFSET($H$3,0,0,'Données projet'!$E$9+1,1))</f>
        <v>350.01600895263641</v>
      </c>
      <c r="T35" s="59">
        <f t="shared" si="34"/>
        <v>464.08921044376882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47.843338145197379</v>
      </c>
      <c r="AB35" s="21">
        <f>EXP(-LN(2)/2)*AB34+(1-EXP(-LN(2)/2))/(LN(2)/2)*V35*Y35*VLOOKUP('Données projet'!$B$9,Paramètres!$A$1:$I$89,3,0)*0.475*44/12</f>
        <v>0.36996026453140607</v>
      </c>
      <c r="AC35" s="22">
        <f t="shared" si="3"/>
        <v>48.213298409728786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8.4</v>
      </c>
      <c r="AI35" s="13">
        <f>IF('Données projet'!$A$62&gt;35,AI34+AH35-AQ34,IF(A35&lt;'Données projet'!$A$62,$AF$205^A35,IF(A35='Données projet'!$A$62,'Données projet'!$B$62,AI34+AH35-AQ34)))</f>
        <v>127.80000000000001</v>
      </c>
      <c r="AJ35" s="13">
        <f>AI35*VLOOKUP('Données projet'!$B$10,Paramètres!$A$1:$I$89,3,0)*VLOOKUP('Données projet'!$B$10,Paramètres!$A$1:$I$89,5,0)</f>
        <v>111.64608000000003</v>
      </c>
      <c r="AK35" s="13">
        <f t="shared" si="35"/>
        <v>29.718477955114288</v>
      </c>
      <c r="AL35" s="20">
        <f t="shared" si="4"/>
        <v>246.20993843849078</v>
      </c>
      <c r="AM35" s="59">
        <f t="shared" si="5"/>
        <v>539.54327177182404</v>
      </c>
      <c r="AN35" s="59">
        <f ca="1">AVERAGE(OFFSET($AM$3,0,0,'Données projet'!$E$10+1,1))-AVERAGE(OFFSET($H$3,0,0,'Données projet'!$E$10+1,1))</f>
        <v>242.48830542479988</v>
      </c>
      <c r="AO35" s="59">
        <f t="shared" si="36"/>
        <v>226.11219631227061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8.1474908424908428</v>
      </c>
      <c r="BD35" s="12">
        <f>IF('Données projet'!$A$88&gt;35,BD34+BC35-BL34,IF(A35&lt;'Données projet'!$A$88,$BA$205^A35,IF(A35='Données projet'!$A$88,'Données projet'!$B$88,BD34+BC35-BL34)))</f>
        <v>104.00010989010988</v>
      </c>
      <c r="BE35" s="13">
        <f>BD35*VLOOKUP('Données projet'!$B$11,Paramètres!$A$1:$I$89,3,0)*VLOOKUP('Données projet'!$B$11,Paramètres!$A$1:$I$89,5,0)</f>
        <v>105.45611142857143</v>
      </c>
      <c r="BF35" s="13">
        <f t="shared" si="37"/>
        <v>28.25779472863746</v>
      </c>
      <c r="BG35" s="20">
        <f t="shared" si="7"/>
        <v>232.88505322380547</v>
      </c>
      <c r="BH35" s="59">
        <f t="shared" si="8"/>
        <v>526.21838655713873</v>
      </c>
      <c r="BI35" s="59">
        <f ca="1">AVERAGE(OFFSET($BH$3,0,0,'Données projet'!$E$11+1,1))-AVERAGE(OFFSET($H$3,0,0,'Données projet'!$E$11+1,1))</f>
        <v>402.5435069258703</v>
      </c>
      <c r="BJ35" s="59">
        <f t="shared" si="38"/>
        <v>163.60655195816349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8.1474908424908428</v>
      </c>
      <c r="BY35" s="12">
        <f>IF('Données projet'!$A$114&gt;35,BY34+BX35-CG34,IF(A35&lt;'Données projet'!$A$114,$BV$205^A35,IF(A35='Données projet'!$A$114,'Données projet'!$B$114,BY34+BX35-CG34)))</f>
        <v>104.00010989010988</v>
      </c>
      <c r="BZ35" s="13">
        <f>BY35*VLOOKUP('Données projet'!$B$12,Paramètres!$A$1:$I$89,3,0)*VLOOKUP('Données projet'!$B$12,Paramètres!$A$1:$I$89,5,0)</f>
        <v>94.099299428571413</v>
      </c>
      <c r="CA35" s="13">
        <f t="shared" si="39"/>
        <v>25.551299887290501</v>
      </c>
      <c r="CB35" s="20">
        <f t="shared" si="10"/>
        <v>208.39146047512614</v>
      </c>
      <c r="CC35" s="59">
        <f t="shared" si="11"/>
        <v>501.72479380845948</v>
      </c>
      <c r="CD35" s="59">
        <f ca="1">AVERAGE(OFFSET($CC$3,0,0,'Données projet'!$E$12+1,1))-AVERAGE(OFFSET($H$3,0,0,'Données projet'!$E$12+1,1))</f>
        <v>350.91577977538822</v>
      </c>
      <c r="CE35" s="59">
        <f t="shared" si="40"/>
        <v>142.87103313412547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10.8</v>
      </c>
      <c r="CT35" s="12">
        <f>IF('Données projet'!$A$140&gt;35,CT34+CS35-DB34,IF(A35&lt;'Données projet'!$A$140,$CQ$205^A35,IF(A35='Données projet'!$A$140,'Données projet'!$B$140,CT34+CS35-DB34)))</f>
        <v>139.6</v>
      </c>
      <c r="CU35" s="17">
        <f>CT35*VLOOKUP('Données projet'!$B$13,Paramètres!$A$1:$I$89,3,0)*VLOOKUP('Données projet'!$B$13,Paramètres!$A$1:$I$89,5,0)</f>
        <v>113.24352</v>
      </c>
      <c r="CV35" s="13">
        <f t="shared" si="41"/>
        <v>30.093885898919435</v>
      </c>
      <c r="CW35" s="20">
        <f t="shared" si="13"/>
        <v>249.64598194061804</v>
      </c>
      <c r="CX35" s="59">
        <f t="shared" si="14"/>
        <v>542.97931527395133</v>
      </c>
      <c r="CY35" s="59">
        <f ca="1">AVERAGE(OFFSET($CX$3,0,0,'Données projet'!$E$13+1,1))-AVERAGE(OFFSET($H$3,0,0,'Données projet'!$E$13+1,1))</f>
        <v>230.38929580146208</v>
      </c>
      <c r="CZ35" s="59">
        <f t="shared" si="42"/>
        <v>227.1847788696258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8.5539999999999985</v>
      </c>
      <c r="DO35" s="12">
        <f>IF('Données projet'!$A$166&gt;35,DO34+DN35-DW34,IF(A35&lt;'Données projet'!$A$166,$DL$205^A35,IF(A35='Données projet'!$A$166,'Données projet'!$B$166,DO34+DN35-DW34)))</f>
        <v>88.537999999999997</v>
      </c>
      <c r="DP35" s="17">
        <f>DO35*VLOOKUP('Données projet'!$B$14,Paramètres!$A$1:$I$89,3,0)*VLOOKUP('Données projet'!$B$14,Paramètres!$A$1:$I$89,5,0)</f>
        <v>52.945723999999998</v>
      </c>
      <c r="DQ35" s="13">
        <f t="shared" si="43"/>
        <v>15.371952737006829</v>
      </c>
      <c r="DR35" s="20">
        <f t="shared" si="16"/>
        <v>118.98662031695353</v>
      </c>
      <c r="DS35" s="59">
        <f t="shared" si="17"/>
        <v>412.31995365028683</v>
      </c>
      <c r="DT35" s="59">
        <f ca="1">AVERAGE(OFFSET($DS$3,0,0,'Données projet'!$E$14+1,1))-AVERAGE(OFFSET($H$3,0,0,'Données projet'!$E$14+1,1))</f>
        <v>145.97103392561058</v>
      </c>
      <c r="DU35" s="59">
        <f t="shared" si="44"/>
        <v>62.920713953681172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28.661666666666662</v>
      </c>
      <c r="N36" s="13">
        <f>IF('Données projet'!$A$36&gt;35,N35+M36-V35,IF(A36&lt;'Données projet'!$A$36,$K$205^A36,IF(A36='Données projet'!$A$36,'Données projet'!$B$36,N35+M36-V35)))</f>
        <v>415.70499999999993</v>
      </c>
      <c r="O36" s="13">
        <f>N36*VLOOKUP('Données projet'!$B$9,Paramètres!$A$1:$I$89,3,0)*VLOOKUP('Données projet'!$B$9,Paramètres!$A$1:$I$89,5,0)</f>
        <v>232.37909499999998</v>
      </c>
      <c r="P36" s="13">
        <f t="shared" si="33"/>
        <v>56.796788993130136</v>
      </c>
      <c r="Q36" s="20">
        <f t="shared" si="53"/>
        <v>503.64799795470162</v>
      </c>
      <c r="R36" s="59">
        <f t="shared" si="0"/>
        <v>796.98133128803488</v>
      </c>
      <c r="S36" s="59">
        <f ca="1">AVERAGE(OFFSET($R$3,0,0,'Données projet'!$E$9+1,1))-AVERAGE(OFFSET($H$3,0,0,'Données projet'!$E$9+1,1))</f>
        <v>350.01600895263641</v>
      </c>
      <c r="T36" s="59">
        <f t="shared" si="34"/>
        <v>464.08921044376882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46.535059547645147</v>
      </c>
      <c r="AB36" s="21">
        <f>EXP(-LN(2)/2)*AB35+(1-EXP(-LN(2)/2))/(LN(2)/2)*V36*Y36*VLOOKUP('Données projet'!$B$9,Paramètres!$A$1:$I$89,3,0)*0.475*44/12</f>
        <v>0.26160141181972618</v>
      </c>
      <c r="AC36" s="22">
        <f t="shared" si="3"/>
        <v>46.796660959464873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8.4</v>
      </c>
      <c r="AI36" s="13">
        <f>IF('Données projet'!$A$62&gt;35,AI35+AH36-AQ35,IF(A36&lt;'Données projet'!$A$62,$AF$205^A36,IF(A36='Données projet'!$A$62,'Données projet'!$B$62,AI35+AH36-AQ35)))</f>
        <v>136.20000000000002</v>
      </c>
      <c r="AJ36" s="13">
        <f>AI36*VLOOKUP('Données projet'!$B$10,Paramètres!$A$1:$I$89,3,0)*VLOOKUP('Données projet'!$B$10,Paramètres!$A$1:$I$89,5,0)</f>
        <v>118.98432000000004</v>
      </c>
      <c r="AK36" s="13">
        <f t="shared" si="35"/>
        <v>31.437991550787316</v>
      </c>
      <c r="AL36" s="20">
        <f t="shared" si="4"/>
        <v>261.98552595095464</v>
      </c>
      <c r="AM36" s="59">
        <f t="shared" si="5"/>
        <v>555.31885928428801</v>
      </c>
      <c r="AN36" s="59">
        <f ca="1">AVERAGE(OFFSET($AM$3,0,0,'Données projet'!$E$10+1,1))-AVERAGE(OFFSET($H$3,0,0,'Données projet'!$E$10+1,1))</f>
        <v>242.48830542479988</v>
      </c>
      <c r="AO36" s="59">
        <f t="shared" si="36"/>
        <v>226.11219631227061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8.1474908424908428</v>
      </c>
      <c r="BD36" s="12">
        <f>IF('Données projet'!$A$88&gt;35,BD35+BC36-BL35,IF(A36&lt;'Données projet'!$A$88,$BA$205^A36,IF(A36='Données projet'!$A$88,'Données projet'!$B$88,BD35+BC36-BL35)))</f>
        <v>112.14760073260072</v>
      </c>
      <c r="BE36" s="13">
        <f>BD36*VLOOKUP('Données projet'!$B$11,Paramètres!$A$1:$I$89,3,0)*VLOOKUP('Données projet'!$B$11,Paramètres!$A$1:$I$89,5,0)</f>
        <v>113.71766714285714</v>
      </c>
      <c r="BF36" s="13">
        <f t="shared" si="37"/>
        <v>30.205194334004659</v>
      </c>
      <c r="BG36" s="20">
        <f t="shared" si="7"/>
        <v>250.66565040553425</v>
      </c>
      <c r="BH36" s="59">
        <f t="shared" si="8"/>
        <v>543.99898373886754</v>
      </c>
      <c r="BI36" s="59">
        <f ca="1">AVERAGE(OFFSET($BH$3,0,0,'Données projet'!$E$11+1,1))-AVERAGE(OFFSET($H$3,0,0,'Données projet'!$E$11+1,1))</f>
        <v>402.5435069258703</v>
      </c>
      <c r="BJ36" s="59">
        <f t="shared" si="38"/>
        <v>163.60655195816349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8.1474908424908428</v>
      </c>
      <c r="BY36" s="12">
        <f>IF('Données projet'!$A$114&gt;35,BY35+BX36-CG35,IF(A36&lt;'Données projet'!$A$114,$BV$205^A36,IF(A36='Données projet'!$A$114,'Données projet'!$B$114,BY35+BX36-CG35)))</f>
        <v>112.14760073260072</v>
      </c>
      <c r="BZ36" s="13">
        <f>BY36*VLOOKUP('Données projet'!$B$12,Paramètres!$A$1:$I$89,3,0)*VLOOKUP('Données projet'!$B$12,Paramètres!$A$1:$I$89,5,0)</f>
        <v>101.47114914285712</v>
      </c>
      <c r="CA36" s="13">
        <f t="shared" si="39"/>
        <v>27.312180090256305</v>
      </c>
      <c r="CB36" s="20">
        <f t="shared" si="10"/>
        <v>224.29763174767254</v>
      </c>
      <c r="CC36" s="59">
        <f t="shared" si="11"/>
        <v>517.6309650810058</v>
      </c>
      <c r="CD36" s="59">
        <f ca="1">AVERAGE(OFFSET($CC$3,0,0,'Données projet'!$E$12+1,1))-AVERAGE(OFFSET($H$3,0,0,'Données projet'!$E$12+1,1))</f>
        <v>350.91577977538822</v>
      </c>
      <c r="CE36" s="59">
        <f t="shared" si="40"/>
        <v>142.87103313412547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10.8</v>
      </c>
      <c r="CT36" s="12">
        <f>IF('Données projet'!$A$140&gt;35,CT35+CS36-DB35,IF(A36&lt;'Données projet'!$A$140,$CQ$205^A36,IF(A36='Données projet'!$A$140,'Données projet'!$B$140,CT35+CS36-DB35)))</f>
        <v>150.4</v>
      </c>
      <c r="CU36" s="17">
        <f>CT36*VLOOKUP('Données projet'!$B$13,Paramètres!$A$1:$I$89,3,0)*VLOOKUP('Données projet'!$B$13,Paramètres!$A$1:$I$89,5,0)</f>
        <v>122.00448000000003</v>
      </c>
      <c r="CV36" s="13">
        <f t="shared" si="41"/>
        <v>32.142059634860118</v>
      </c>
      <c r="CW36" s="20">
        <f t="shared" si="13"/>
        <v>268.47188986404808</v>
      </c>
      <c r="CX36" s="59">
        <f t="shared" si="14"/>
        <v>561.80522319738134</v>
      </c>
      <c r="CY36" s="59">
        <f ca="1">AVERAGE(OFFSET($CX$3,0,0,'Données projet'!$E$13+1,1))-AVERAGE(OFFSET($H$3,0,0,'Données projet'!$E$13+1,1))</f>
        <v>230.38929580146208</v>
      </c>
      <c r="CZ36" s="59">
        <f t="shared" si="42"/>
        <v>227.1847788696258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8.5539999999999985</v>
      </c>
      <c r="DO36" s="12">
        <f>IF('Données projet'!$A$166&gt;35,DO35+DN36-DW35,IF(A36&lt;'Données projet'!$A$166,$DL$205^A36,IF(A36='Données projet'!$A$166,'Données projet'!$B$166,DO35+DN36-DW35)))</f>
        <v>97.091999999999999</v>
      </c>
      <c r="DP36" s="17">
        <f>DO36*VLOOKUP('Données projet'!$B$14,Paramètres!$A$1:$I$89,3,0)*VLOOKUP('Données projet'!$B$14,Paramètres!$A$1:$I$89,5,0)</f>
        <v>58.061016000000002</v>
      </c>
      <c r="DQ36" s="13">
        <f t="shared" si="43"/>
        <v>16.677099696741287</v>
      </c>
      <c r="DR36" s="20">
        <f t="shared" si="16"/>
        <v>130.1688848384911</v>
      </c>
      <c r="DS36" s="59">
        <f t="shared" si="17"/>
        <v>423.50221817182444</v>
      </c>
      <c r="DT36" s="59">
        <f ca="1">AVERAGE(OFFSET($DS$3,0,0,'Données projet'!$E$14+1,1))-AVERAGE(OFFSET($H$3,0,0,'Données projet'!$E$14+1,1))</f>
        <v>145.97103392561058</v>
      </c>
      <c r="DU36" s="59">
        <f t="shared" si="44"/>
        <v>62.920713953681172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28.661666666666662</v>
      </c>
      <c r="N37" s="13">
        <f>IF('Données projet'!$A$36&gt;35,N36+M37-V36,IF(A37&lt;'Données projet'!$A$36,$K$205^A37,IF(A37='Données projet'!$A$36,'Données projet'!$B$36,N36+M37-V36)))</f>
        <v>444.36666666666656</v>
      </c>
      <c r="O37" s="13">
        <f>N37*VLOOKUP('Données projet'!$B$9,Paramètres!$A$1:$I$89,3,0)*VLOOKUP('Données projet'!$B$9,Paramètres!$A$1:$I$89,5,0)</f>
        <v>248.40096666666662</v>
      </c>
      <c r="P37" s="13">
        <f t="shared" si="33"/>
        <v>60.243404162664191</v>
      </c>
      <c r="Q37" s="20">
        <f t="shared" si="53"/>
        <v>537.55561252775112</v>
      </c>
      <c r="R37" s="59">
        <f t="shared" si="0"/>
        <v>830.88894586108449</v>
      </c>
      <c r="S37" s="59">
        <f ca="1">AVERAGE(OFFSET($R$3,0,0,'Données projet'!$E$9+1,1))-AVERAGE(OFFSET($H$3,0,0,'Données projet'!$E$9+1,1))</f>
        <v>350.01600895263641</v>
      </c>
      <c r="T37" s="59">
        <f t="shared" si="34"/>
        <v>464.08921044376882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45.26255589714237</v>
      </c>
      <c r="AB37" s="21">
        <f>EXP(-LN(2)/2)*AB36+(1-EXP(-LN(2)/2))/(LN(2)/2)*V37*Y37*VLOOKUP('Données projet'!$B$9,Paramètres!$A$1:$I$89,3,0)*0.475*44/12</f>
        <v>0.18498013226570303</v>
      </c>
      <c r="AC37" s="22">
        <f t="shared" si="3"/>
        <v>45.44753602940807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8.4</v>
      </c>
      <c r="AI37" s="13">
        <f>IF('Données projet'!$A$62&gt;35,AI36+AH37-AQ36,IF(A37&lt;'Données projet'!$A$62,$AF$205^A37,IF(A37='Données projet'!$A$62,'Données projet'!$B$62,AI36+AH37-AQ36)))</f>
        <v>144.60000000000002</v>
      </c>
      <c r="AJ37" s="13">
        <f>AI37*VLOOKUP('Données projet'!$B$10,Paramètres!$A$1:$I$89,3,0)*VLOOKUP('Données projet'!$B$10,Paramètres!$A$1:$I$89,5,0)</f>
        <v>126.32256000000005</v>
      </c>
      <c r="AK37" s="13">
        <f t="shared" si="35"/>
        <v>33.145196976032764</v>
      </c>
      <c r="AL37" s="20">
        <f t="shared" si="4"/>
        <v>277.73967673325717</v>
      </c>
      <c r="AM37" s="59">
        <f t="shared" si="5"/>
        <v>571.07301006659054</v>
      </c>
      <c r="AN37" s="59">
        <f ca="1">AVERAGE(OFFSET($AM$3,0,0,'Données projet'!$E$10+1,1))-AVERAGE(OFFSET($H$3,0,0,'Données projet'!$E$10+1,1))</f>
        <v>242.48830542479988</v>
      </c>
      <c r="AO37" s="59">
        <f t="shared" si="36"/>
        <v>226.11219631227061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8.1474908424908428</v>
      </c>
      <c r="BD37" s="12">
        <f>IF('Données projet'!$A$88&gt;35,BD36+BC37-BL36,IF(A37&lt;'Données projet'!$A$88,$BA$205^A37,IF(A37='Données projet'!$A$88,'Données projet'!$B$88,BD36+BC37-BL36)))</f>
        <v>120.29509157509156</v>
      </c>
      <c r="BE37" s="13">
        <f>BD37*VLOOKUP('Données projet'!$B$11,Paramètres!$A$1:$I$89,3,0)*VLOOKUP('Données projet'!$B$11,Paramètres!$A$1:$I$89,5,0)</f>
        <v>121.97922285714284</v>
      </c>
      <c r="BF37" s="13">
        <f t="shared" si="37"/>
        <v>32.13618009843735</v>
      </c>
      <c r="BG37" s="20">
        <f t="shared" si="7"/>
        <v>268.41766014763544</v>
      </c>
      <c r="BH37" s="59">
        <f t="shared" si="8"/>
        <v>561.75099348096876</v>
      </c>
      <c r="BI37" s="59">
        <f ca="1">AVERAGE(OFFSET($BH$3,0,0,'Données projet'!$E$11+1,1))-AVERAGE(OFFSET($H$3,0,0,'Données projet'!$E$11+1,1))</f>
        <v>402.5435069258703</v>
      </c>
      <c r="BJ37" s="59">
        <f t="shared" si="38"/>
        <v>163.60655195816349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8.1474908424908428</v>
      </c>
      <c r="BY37" s="12">
        <f>IF('Données projet'!$A$114&gt;35,BY36+BX37-CG36,IF(A37&lt;'Données projet'!$A$114,$BV$205^A37,IF(A37='Données projet'!$A$114,'Données projet'!$B$114,BY36+BX37-CG36)))</f>
        <v>120.29509157509156</v>
      </c>
      <c r="BZ37" s="13">
        <f>BY37*VLOOKUP('Données projet'!$B$12,Paramètres!$A$1:$I$89,3,0)*VLOOKUP('Données projet'!$B$12,Paramètres!$A$1:$I$89,5,0)</f>
        <v>108.84299885714283</v>
      </c>
      <c r="CA37" s="13">
        <f t="shared" si="39"/>
        <v>29.058218548632766</v>
      </c>
      <c r="CB37" s="20">
        <f t="shared" si="10"/>
        <v>240.1779536483925</v>
      </c>
      <c r="CC37" s="59">
        <f t="shared" si="11"/>
        <v>533.51128698172579</v>
      </c>
      <c r="CD37" s="59">
        <f ca="1">AVERAGE(OFFSET($CC$3,0,0,'Données projet'!$E$12+1,1))-AVERAGE(OFFSET($H$3,0,0,'Données projet'!$E$12+1,1))</f>
        <v>350.91577977538822</v>
      </c>
      <c r="CE37" s="59">
        <f t="shared" si="40"/>
        <v>142.87103313412547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10.8</v>
      </c>
      <c r="CT37" s="12">
        <f>IF('Données projet'!$A$140&gt;35,CT36+CS37-DB36,IF(A37&lt;'Données projet'!$A$140,$CQ$205^A37,IF(A37='Données projet'!$A$140,'Données projet'!$B$140,CT36+CS37-DB36)))</f>
        <v>161.20000000000002</v>
      </c>
      <c r="CU37" s="17">
        <f>CT37*VLOOKUP('Données projet'!$B$13,Paramètres!$A$1:$I$89,3,0)*VLOOKUP('Données projet'!$B$13,Paramètres!$A$1:$I$89,5,0)</f>
        <v>130.76544000000001</v>
      </c>
      <c r="CV37" s="13">
        <f t="shared" si="41"/>
        <v>34.173169564532692</v>
      </c>
      <c r="CW37" s="20">
        <f t="shared" si="13"/>
        <v>287.26807832489447</v>
      </c>
      <c r="CX37" s="59">
        <f t="shared" si="14"/>
        <v>580.60141165822779</v>
      </c>
      <c r="CY37" s="59">
        <f ca="1">AVERAGE(OFFSET($CX$3,0,0,'Données projet'!$E$13+1,1))-AVERAGE(OFFSET($H$3,0,0,'Données projet'!$E$13+1,1))</f>
        <v>230.38929580146208</v>
      </c>
      <c r="CZ37" s="59">
        <f t="shared" si="42"/>
        <v>227.1847788696258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8.5539999999999985</v>
      </c>
      <c r="DO37" s="12">
        <f>IF('Données projet'!$A$166&gt;35,DO36+DN37-DW36,IF(A37&lt;'Données projet'!$A$166,$DL$205^A37,IF(A37='Données projet'!$A$166,'Données projet'!$B$166,DO36+DN37-DW36)))</f>
        <v>105.646</v>
      </c>
      <c r="DP37" s="17">
        <f>DO37*VLOOKUP('Données projet'!$B$14,Paramètres!$A$1:$I$89,3,0)*VLOOKUP('Données projet'!$B$14,Paramètres!$A$1:$I$89,5,0)</f>
        <v>63.176308000000006</v>
      </c>
      <c r="DQ37" s="13">
        <f t="shared" si="43"/>
        <v>17.968912478617408</v>
      </c>
      <c r="DR37" s="20">
        <f t="shared" si="16"/>
        <v>141.32792566692532</v>
      </c>
      <c r="DS37" s="59">
        <f t="shared" si="17"/>
        <v>434.66125900025861</v>
      </c>
      <c r="DT37" s="59">
        <f ca="1">AVERAGE(OFFSET($DS$3,0,0,'Données projet'!$E$14+1,1))-AVERAGE(OFFSET($H$3,0,0,'Données projet'!$E$14+1,1))</f>
        <v>145.97103392561058</v>
      </c>
      <c r="DU37" s="59">
        <f t="shared" si="44"/>
        <v>62.920713953681172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28.661666666666662</v>
      </c>
      <c r="N38" s="13">
        <f>IF('Données projet'!$A$36&gt;35,N37+M38-V37,IF(A38&lt;'Données projet'!$A$36,$K$205^A38,IF(A38='Données projet'!$A$36,'Données projet'!$B$36,N37+M38-V37)))</f>
        <v>473.02833333333319</v>
      </c>
      <c r="O38" s="13">
        <f>N38*VLOOKUP('Données projet'!$B$9,Paramètres!$A$1:$I$89,3,0)*VLOOKUP('Données projet'!$B$9,Paramètres!$A$1:$I$89,5,0)</f>
        <v>264.42283833333329</v>
      </c>
      <c r="P38" s="13">
        <f t="shared" si="33"/>
        <v>63.664220837814945</v>
      </c>
      <c r="Q38" s="20">
        <f t="shared" si="53"/>
        <v>571.41829472308314</v>
      </c>
      <c r="R38" s="59">
        <f t="shared" si="0"/>
        <v>864.75162805641639</v>
      </c>
      <c r="S38" s="59">
        <f ca="1">AVERAGE(OFFSET($R$3,0,0,'Données projet'!$E$9+1,1))-AVERAGE(OFFSET($H$3,0,0,'Données projet'!$E$9+1,1))</f>
        <v>350.01600895263641</v>
      </c>
      <c r="T38" s="59">
        <f t="shared" si="34"/>
        <v>464.08921044376882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44.024848925880647</v>
      </c>
      <c r="AB38" s="21">
        <f>EXP(-LN(2)/2)*AB37+(1-EXP(-LN(2)/2))/(LN(2)/2)*V38*Y38*VLOOKUP('Données projet'!$B$9,Paramètres!$A$1:$I$89,3,0)*0.475*44/12</f>
        <v>0.13080070590986309</v>
      </c>
      <c r="AC38" s="22">
        <f t="shared" si="3"/>
        <v>44.15564963179051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153</v>
      </c>
      <c r="AG38" s="12">
        <f>VLOOKUP(A38,'Données projet'!$A$61:$I$81,9,0)</f>
        <v>8.4</v>
      </c>
      <c r="AH38" s="12">
        <f t="array" ref="AH38">INDEX(AG:AG,MIN(IF(ISNUMBER(AG38:AG234),ROW(AG38:AG234),"")))</f>
        <v>8.4</v>
      </c>
      <c r="AI38" s="13">
        <f>IF('Données projet'!$A$62&gt;35,AI37+AH38-AQ37,IF(A38&lt;'Données projet'!$A$62,$AF$205^A38,IF(A38='Données projet'!$A$62,'Données projet'!$B$62,AI37+AH38-AQ37)))</f>
        <v>153.00000000000003</v>
      </c>
      <c r="AJ38" s="13">
        <f>AI38*VLOOKUP('Données projet'!$B$10,Paramètres!$A$1:$I$89,3,0)*VLOOKUP('Données projet'!$B$10,Paramètres!$A$1:$I$89,5,0)</f>
        <v>133.66080000000005</v>
      </c>
      <c r="AK38" s="13">
        <f t="shared" si="35"/>
        <v>34.840890682716747</v>
      </c>
      <c r="AL38" s="20">
        <f t="shared" si="4"/>
        <v>293.47377793906509</v>
      </c>
      <c r="AM38" s="59">
        <f t="shared" si="5"/>
        <v>586.8071112723984</v>
      </c>
      <c r="AN38" s="59">
        <f ca="1">AVERAGE(OFFSET($AM$3,0,0,'Données projet'!$E$10+1,1))-AVERAGE(OFFSET($H$3,0,0,'Données projet'!$E$10+1,1))</f>
        <v>242.48830542479988</v>
      </c>
      <c r="AO38" s="59">
        <f t="shared" si="36"/>
        <v>226.11219631227061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24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9.9664256911390492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9.9664256911390492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8.1474908424908428</v>
      </c>
      <c r="BD38" s="12">
        <f>IF('Données projet'!$A$88&gt;35,BD37+BC38-BL37,IF(A38&lt;'Données projet'!$A$88,$BA$205^A38,IF(A38='Données projet'!$A$88,'Données projet'!$B$88,BD37+BC38-BL37)))</f>
        <v>128.4425824175824</v>
      </c>
      <c r="BE38" s="13">
        <f>BD38*VLOOKUP('Données projet'!$B$11,Paramètres!$A$1:$I$89,3,0)*VLOOKUP('Données projet'!$B$11,Paramètres!$A$1:$I$89,5,0)</f>
        <v>130.24077857142856</v>
      </c>
      <c r="BF38" s="13">
        <f t="shared" si="37"/>
        <v>34.051990197544384</v>
      </c>
      <c r="BG38" s="20">
        <f t="shared" si="7"/>
        <v>286.14323893929458</v>
      </c>
      <c r="BH38" s="59">
        <f t="shared" si="8"/>
        <v>579.47657227262789</v>
      </c>
      <c r="BI38" s="59">
        <f ca="1">AVERAGE(OFFSET($BH$3,0,0,'Données projet'!$E$11+1,1))-AVERAGE(OFFSET($H$3,0,0,'Données projet'!$E$11+1,1))</f>
        <v>402.5435069258703</v>
      </c>
      <c r="BJ38" s="59">
        <f t="shared" si="38"/>
        <v>163.60655195816349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8.1474908424908428</v>
      </c>
      <c r="BY38" s="12">
        <f>IF('Données projet'!$A$114&gt;35,BY37+BX38-CG37,IF(A38&lt;'Données projet'!$A$114,$BV$205^A38,IF(A38='Données projet'!$A$114,'Données projet'!$B$114,BY37+BX38-CG37)))</f>
        <v>128.4425824175824</v>
      </c>
      <c r="BZ38" s="13">
        <f>BY38*VLOOKUP('Données projet'!$B$12,Paramètres!$A$1:$I$89,3,0)*VLOOKUP('Données projet'!$B$12,Paramètres!$A$1:$I$89,5,0)</f>
        <v>116.21484857142855</v>
      </c>
      <c r="CA38" s="13">
        <f t="shared" si="39"/>
        <v>30.790534847178687</v>
      </c>
      <c r="CB38" s="20">
        <f t="shared" si="10"/>
        <v>256.03437612074089</v>
      </c>
      <c r="CC38" s="59">
        <f t="shared" si="11"/>
        <v>549.3677094540742</v>
      </c>
      <c r="CD38" s="59">
        <f ca="1">AVERAGE(OFFSET($CC$3,0,0,'Données projet'!$E$12+1,1))-AVERAGE(OFFSET($H$3,0,0,'Données projet'!$E$12+1,1))</f>
        <v>350.91577977538822</v>
      </c>
      <c r="CE38" s="59">
        <f t="shared" si="40"/>
        <v>142.87103313412547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172</v>
      </c>
      <c r="CR38" s="12">
        <f>VLOOKUP(A38,'Données projet'!$A$139:$I$159,9,0)</f>
        <v>10.8</v>
      </c>
      <c r="CS38" s="12">
        <f t="array" ref="CS38">INDEX(CR:CR,MIN(IF(ISNUMBER(CR38:CR234),ROW(CR38:CR234),"")))</f>
        <v>10.8</v>
      </c>
      <c r="CT38" s="12">
        <f>IF('Données projet'!$A$140&gt;35,CT37+CS38-DB37,IF(A38&lt;'Données projet'!$A$140,$CQ$205^A38,IF(A38='Données projet'!$A$140,'Données projet'!$B$140,CT37+CS38-DB37)))</f>
        <v>172.00000000000003</v>
      </c>
      <c r="CU38" s="17">
        <f>CT38*VLOOKUP('Données projet'!$B$13,Paramètres!$A$1:$I$89,3,0)*VLOOKUP('Données projet'!$B$13,Paramètres!$A$1:$I$89,5,0)</f>
        <v>139.52640000000002</v>
      </c>
      <c r="CV38" s="13">
        <f t="shared" si="41"/>
        <v>36.188488997813884</v>
      </c>
      <c r="CW38" s="20">
        <f t="shared" si="13"/>
        <v>306.03676500452588</v>
      </c>
      <c r="CX38" s="59">
        <f t="shared" si="14"/>
        <v>599.37009833785919</v>
      </c>
      <c r="CY38" s="59">
        <f ca="1">AVERAGE(OFFSET($CX$3,0,0,'Données projet'!$E$13+1,1))-AVERAGE(OFFSET($H$3,0,0,'Données projet'!$E$13+1,1))</f>
        <v>230.38929580146208</v>
      </c>
      <c r="CZ38" s="59">
        <f t="shared" si="42"/>
        <v>227.1847788696258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28</v>
      </c>
      <c r="DC38" s="16">
        <f>IF(ISNA(VLOOKUP(A38,'Données projet'!$A$139:$I$159,5,0)),0%,VLOOKUP(A38,'Données projet'!$A$139:$I$159,5,0)*VLOOKUP('Données projet'!$B$13,Paramètres!$A$1:$I$89,7,0))</f>
        <v>0.53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13.307882366656598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13.307882366656598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114.2</v>
      </c>
      <c r="DM38" s="12">
        <f>VLOOKUP(A38,'Données projet'!$A$165:$I$185,9,0)</f>
        <v>8.5539999999999985</v>
      </c>
      <c r="DN38" s="12">
        <f t="array" ref="DN38">INDEX(DM:DM,MIN(IF(ISNUMBER(DM38:DM234),ROW(DM38:DM234),"")))</f>
        <v>8.5539999999999985</v>
      </c>
      <c r="DO38" s="12">
        <f>IF('Données projet'!$A$166&gt;35,DO37+DN38-DW37,IF(A38&lt;'Données projet'!$A$166,$DL$205^A38,IF(A38='Données projet'!$A$166,'Données projet'!$B$166,DO37+DN38-DW37)))</f>
        <v>114.2</v>
      </c>
      <c r="DP38" s="17">
        <f>DO38*VLOOKUP('Données projet'!$B$14,Paramètres!$A$1:$I$89,3,0)*VLOOKUP('Données projet'!$B$14,Paramètres!$A$1:$I$89,5,0)</f>
        <v>68.291600000000003</v>
      </c>
      <c r="DQ38" s="13">
        <f t="shared" si="43"/>
        <v>19.248593476479869</v>
      </c>
      <c r="DR38" s="20">
        <f t="shared" si="16"/>
        <v>152.46583697153577</v>
      </c>
      <c r="DS38" s="59">
        <f t="shared" si="17"/>
        <v>445.79917030486911</v>
      </c>
      <c r="DT38" s="59">
        <f ca="1">AVERAGE(OFFSET($DS$3,0,0,'Données projet'!$E$14+1,1))-AVERAGE(OFFSET($H$3,0,0,'Données projet'!$E$14+1,1))</f>
        <v>145.97103392561058</v>
      </c>
      <c r="DU38" s="59">
        <f t="shared" si="44"/>
        <v>62.920713953681172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501.69</v>
      </c>
      <c r="L39" s="12">
        <f>VLOOKUP(A39,'Données projet'!$A$35:$I$55,9,0)</f>
        <v>28.661666666666662</v>
      </c>
      <c r="M39" s="12">
        <f t="array" ref="M39">INDEX(L:L,MIN(IF(ISNUMBER(L39:L235),ROW(L39:L235),"")))</f>
        <v>28.661666666666662</v>
      </c>
      <c r="N39" s="13">
        <f>IF('Données projet'!$A$36&gt;35,N38+M39-V38,IF(A39&lt;'Données projet'!$A$36,$K$205^A39,IF(A39='Données projet'!$A$36,'Données projet'!$B$36,N38+M39-V38)))</f>
        <v>501.68999999999983</v>
      </c>
      <c r="O39" s="13">
        <f>N39*VLOOKUP('Données projet'!$B$9,Paramètres!$A$1:$I$89,3,0)*VLOOKUP('Données projet'!$B$9,Paramètres!$A$1:$I$89,5,0)</f>
        <v>280.44470999999987</v>
      </c>
      <c r="P39" s="13">
        <f t="shared" si="33"/>
        <v>67.06098020598759</v>
      </c>
      <c r="Q39" s="20">
        <f t="shared" si="53"/>
        <v>605.23907710876153</v>
      </c>
      <c r="R39" s="59">
        <f t="shared" si="0"/>
        <v>898.57241044209491</v>
      </c>
      <c r="S39" s="59">
        <f ca="1">AVERAGE(OFFSET($R$3,0,0,'Données projet'!$E$9+1,1))-AVERAGE(OFFSET($H$3,0,0,'Données projet'!$E$9+1,1))</f>
        <v>350.01600895263641</v>
      </c>
      <c r="T39" s="59">
        <f t="shared" si="34"/>
        <v>464.08921044376882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85.88</v>
      </c>
      <c r="W39" s="16">
        <f>IF(ISNA(VLOOKUP(A39,'Données projet'!$A$35:$I$55,5,0)),0%,VLOOKUP(A39,'Données projet'!$A$35:$I$55,5,0)*VLOOKUP('Données projet'!$B$9,Paramètres!$A$1:$I$89,7,0))</f>
        <v>0.55000000000000004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35.026350527921267</v>
      </c>
      <c r="AA39" s="21">
        <f>EXP(-LN(2)/25)*AA38+(1-EXP(-LN(2)/25))/(LN(2)/25)*Calculateur!V39*Calculateur!X39*VLOOKUP('Données projet'!$B$9,Paramètres!$A$1:$I$89,3,0)*0.475*44/12</f>
        <v>42.820987116836257</v>
      </c>
      <c r="AB39" s="21">
        <f>EXP(-LN(2)/2)*AB38+(1-EXP(-LN(2)/2))/(LN(2)/2)*V39*Y39*VLOOKUP('Données projet'!$B$9,Paramètres!$A$1:$I$89,3,0)*0.475*44/12</f>
        <v>9.2490066132851517E-2</v>
      </c>
      <c r="AC39" s="22">
        <f t="shared" si="3"/>
        <v>77.93982771089037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7.8</v>
      </c>
      <c r="AI39" s="13">
        <f>IF('Données projet'!$A$62&gt;35,AI38+AH39-AQ38,IF(A39&lt;'Données projet'!$A$62,$AF$205^A39,IF(A39='Données projet'!$A$62,'Données projet'!$B$62,AI38+AH39-AQ38)))</f>
        <v>136.80000000000004</v>
      </c>
      <c r="AJ39" s="13">
        <f>AI39*VLOOKUP('Données projet'!$B$10,Paramètres!$A$1:$I$89,3,0)*VLOOKUP('Données projet'!$B$10,Paramètres!$A$1:$I$89,5,0)</f>
        <v>119.50848000000005</v>
      </c>
      <c r="AK39" s="13">
        <f t="shared" si="35"/>
        <v>31.560332955588962</v>
      </c>
      <c r="AL39" s="20">
        <f t="shared" si="4"/>
        <v>263.1115158976508</v>
      </c>
      <c r="AM39" s="59">
        <f t="shared" si="5"/>
        <v>556.44484923098412</v>
      </c>
      <c r="AN39" s="59">
        <f ca="1">AVERAGE(OFFSET($AM$3,0,0,'Données projet'!$E$10+1,1))-AVERAGE(OFFSET($H$3,0,0,'Données projet'!$E$10+1,1))</f>
        <v>242.48830542479988</v>
      </c>
      <c r="AO39" s="59">
        <f t="shared" si="36"/>
        <v>226.11219631227061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9.7709901622552398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9.7709901622552398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8.1474908424908428</v>
      </c>
      <c r="BD39" s="12">
        <f>IF('Données projet'!$A$88&gt;35,BD38+BC39-BL38,IF(A39&lt;'Données projet'!$A$88,$BA$205^A39,IF(A39='Données projet'!$A$88,'Données projet'!$B$88,BD38+BC39-BL38)))</f>
        <v>136.59007326007324</v>
      </c>
      <c r="BE39" s="13">
        <f>BD39*VLOOKUP('Données projet'!$B$11,Paramètres!$A$1:$I$89,3,0)*VLOOKUP('Données projet'!$B$11,Paramètres!$A$1:$I$89,5,0)</f>
        <v>138.50233428571428</v>
      </c>
      <c r="BF39" s="13">
        <f t="shared" si="37"/>
        <v>35.953696844768018</v>
      </c>
      <c r="BG39" s="20">
        <f t="shared" si="7"/>
        <v>303.84425421892331</v>
      </c>
      <c r="BH39" s="59">
        <f t="shared" si="8"/>
        <v>597.17758755225668</v>
      </c>
      <c r="BI39" s="59">
        <f ca="1">AVERAGE(OFFSET($BH$3,0,0,'Données projet'!$E$11+1,1))-AVERAGE(OFFSET($H$3,0,0,'Données projet'!$E$11+1,1))</f>
        <v>402.5435069258703</v>
      </c>
      <c r="BJ39" s="59">
        <f t="shared" si="38"/>
        <v>163.60655195816349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8.1474908424908428</v>
      </c>
      <c r="BY39" s="12">
        <f>IF('Données projet'!$A$114&gt;35,BY38+BX39-CG38,IF(A39&lt;'Données projet'!$A$114,$BV$205^A39,IF(A39='Données projet'!$A$114,'Données projet'!$B$114,BY38+BX39-CG38)))</f>
        <v>136.59007326007324</v>
      </c>
      <c r="BZ39" s="13">
        <f>BY39*VLOOKUP('Données projet'!$B$12,Paramètres!$A$1:$I$89,3,0)*VLOOKUP('Données projet'!$B$12,Paramètres!$A$1:$I$89,5,0)</f>
        <v>123.58669828571426</v>
      </c>
      <c r="CA39" s="13">
        <f t="shared" si="39"/>
        <v>32.510098504126788</v>
      </c>
      <c r="CB39" s="20">
        <f t="shared" si="10"/>
        <v>271.86858774230649</v>
      </c>
      <c r="CC39" s="59">
        <f t="shared" si="11"/>
        <v>565.2019210756398</v>
      </c>
      <c r="CD39" s="59">
        <f ca="1">AVERAGE(OFFSET($CC$3,0,0,'Données projet'!$E$12+1,1))-AVERAGE(OFFSET($H$3,0,0,'Données projet'!$E$12+1,1))</f>
        <v>350.91577977538822</v>
      </c>
      <c r="CE39" s="59">
        <f t="shared" si="40"/>
        <v>142.87103313412547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9.6</v>
      </c>
      <c r="CT39" s="12">
        <f>IF('Données projet'!$A$140&gt;35,CT38+CS39-DB38,IF(A39&lt;'Données projet'!$A$140,$CQ$205^A39,IF(A39='Données projet'!$A$140,'Données projet'!$B$140,CT38+CS39-DB38)))</f>
        <v>153.60000000000002</v>
      </c>
      <c r="CU39" s="17">
        <f>CT39*VLOOKUP('Données projet'!$B$13,Paramètres!$A$1:$I$89,3,0)*VLOOKUP('Données projet'!$B$13,Paramètres!$A$1:$I$89,5,0)</f>
        <v>124.60032000000002</v>
      </c>
      <c r="CV39" s="13">
        <f t="shared" si="41"/>
        <v>32.745587947600931</v>
      </c>
      <c r="CW39" s="20">
        <f t="shared" si="13"/>
        <v>274.04412300873832</v>
      </c>
      <c r="CX39" s="59">
        <f t="shared" si="14"/>
        <v>567.37745634207158</v>
      </c>
      <c r="CY39" s="59">
        <f ca="1">AVERAGE(OFFSET($CX$3,0,0,'Données projet'!$E$13+1,1))-AVERAGE(OFFSET($H$3,0,0,'Données projet'!$E$13+1,1))</f>
        <v>230.38929580146208</v>
      </c>
      <c r="CZ39" s="59">
        <f t="shared" si="42"/>
        <v>227.1847788696258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13.046922910453217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13.046922910453217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8.8460000000000001</v>
      </c>
      <c r="DO39" s="12">
        <f>IF('Données projet'!$A$166&gt;35,DO38+DN39-DW38,IF(A39&lt;'Données projet'!$A$166,$DL$205^A39,IF(A39='Données projet'!$A$166,'Données projet'!$B$166,DO38+DN39-DW38)))</f>
        <v>123.04600000000001</v>
      </c>
      <c r="DP39" s="17">
        <f>DO39*VLOOKUP('Données projet'!$B$14,Paramètres!$A$1:$I$89,3,0)*VLOOKUP('Données projet'!$B$14,Paramètres!$A$1:$I$89,5,0)</f>
        <v>73.581508000000014</v>
      </c>
      <c r="DQ39" s="13">
        <f t="shared" si="43"/>
        <v>20.560272869162294</v>
      </c>
      <c r="DR39" s="20">
        <f t="shared" si="16"/>
        <v>163.96360168045766</v>
      </c>
      <c r="DS39" s="59">
        <f t="shared" si="17"/>
        <v>457.29693501379097</v>
      </c>
      <c r="DT39" s="59">
        <f ca="1">AVERAGE(OFFSET($DS$3,0,0,'Données projet'!$E$14+1,1))-AVERAGE(OFFSET($H$3,0,0,'Données projet'!$E$14+1,1))</f>
        <v>145.97103392561058</v>
      </c>
      <c r="DU39" s="59">
        <f t="shared" si="44"/>
        <v>62.920713953681172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28.093333333333334</v>
      </c>
      <c r="N40" s="13">
        <f>IF('Données projet'!$A$36&gt;35,N39+M40-V39,IF(A40&lt;'Données projet'!$A$36,$K$205^A40,IF(A40='Données projet'!$A$36,'Données projet'!$B$36,N39+M40-V39)))</f>
        <v>443.90333333333319</v>
      </c>
      <c r="O40" s="13">
        <f>N40*VLOOKUP('Données projet'!$B$9,Paramètres!$A$1:$I$89,3,0)*VLOOKUP('Données projet'!$B$9,Paramètres!$A$1:$I$89,5,0)</f>
        <v>248.14196333333328</v>
      </c>
      <c r="P40" s="13">
        <f t="shared" si="33"/>
        <v>60.187897687681328</v>
      </c>
      <c r="Q40" s="20">
        <f t="shared" si="53"/>
        <v>537.00784127826716</v>
      </c>
      <c r="R40" s="59">
        <f t="shared" si="0"/>
        <v>830.34117461160054</v>
      </c>
      <c r="S40" s="59">
        <f ca="1">AVERAGE(OFFSET($R$3,0,0,'Données projet'!$E$9+1,1))-AVERAGE(OFFSET($H$3,0,0,'Données projet'!$E$9+1,1))</f>
        <v>350.01600895263641</v>
      </c>
      <c r="T40" s="59">
        <f t="shared" si="34"/>
        <v>464.08921044376882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34.339505158033035</v>
      </c>
      <c r="AA40" s="21">
        <f>EXP(-LN(2)/25)*AA39+(1-EXP(-LN(2)/25))/(LN(2)/25)*Calculateur!V40*Calculateur!X40*VLOOKUP('Données projet'!$B$9,Paramètres!$A$1:$I$89,3,0)*0.475*44/12</f>
        <v>41.650044972268525</v>
      </c>
      <c r="AB40" s="21">
        <f>EXP(-LN(2)/2)*AB39+(1-EXP(-LN(2)/2))/(LN(2)/2)*V40*Y40*VLOOKUP('Données projet'!$B$9,Paramètres!$A$1:$I$89,3,0)*0.475*44/12</f>
        <v>6.5400352954931545E-2</v>
      </c>
      <c r="AC40" s="22">
        <f t="shared" si="3"/>
        <v>76.054950483256491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7.8</v>
      </c>
      <c r="AI40" s="13">
        <f>IF('Données projet'!$A$62&gt;35,AI39+AH40-AQ39,IF(A40&lt;'Données projet'!$A$62,$AF$205^A40,IF(A40='Données projet'!$A$62,'Données projet'!$B$62,AI39+AH40-AQ39)))</f>
        <v>144.60000000000005</v>
      </c>
      <c r="AJ40" s="13">
        <f>AI40*VLOOKUP('Données projet'!$B$10,Paramètres!$A$1:$I$89,3,0)*VLOOKUP('Données projet'!$B$10,Paramètres!$A$1:$I$89,5,0)</f>
        <v>126.32256000000007</v>
      </c>
      <c r="AK40" s="13">
        <f t="shared" si="35"/>
        <v>33.145196976032764</v>
      </c>
      <c r="AL40" s="20">
        <f t="shared" si="4"/>
        <v>277.73967673325717</v>
      </c>
      <c r="AM40" s="59">
        <f t="shared" si="5"/>
        <v>571.07301006659054</v>
      </c>
      <c r="AN40" s="59">
        <f ca="1">AVERAGE(OFFSET($AM$3,0,0,'Données projet'!$E$10+1,1))-AVERAGE(OFFSET($H$3,0,0,'Données projet'!$E$10+1,1))</f>
        <v>242.48830542479988</v>
      </c>
      <c r="AO40" s="59">
        <f t="shared" si="36"/>
        <v>226.11219631227061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9.5793870048889396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9.5793870048889396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8.1474908424908428</v>
      </c>
      <c r="BD40" s="12">
        <f>IF('Données projet'!$A$88&gt;35,BD39+BC40-BL39,IF(A40&lt;'Données projet'!$A$88,$BA$205^A40,IF(A40='Données projet'!$A$88,'Données projet'!$B$88,BD39+BC40-BL39)))</f>
        <v>144.73756410256408</v>
      </c>
      <c r="BE40" s="13">
        <f>BD40*VLOOKUP('Données projet'!$B$11,Paramètres!$A$1:$I$89,3,0)*VLOOKUP('Données projet'!$B$11,Paramètres!$A$1:$I$89,5,0)</f>
        <v>146.76389</v>
      </c>
      <c r="BF40" s="13">
        <f t="shared" si="37"/>
        <v>37.842237113592738</v>
      </c>
      <c r="BG40" s="20">
        <f t="shared" si="7"/>
        <v>321.52233805617396</v>
      </c>
      <c r="BH40" s="59">
        <f t="shared" si="8"/>
        <v>614.85567138950728</v>
      </c>
      <c r="BI40" s="59">
        <f ca="1">AVERAGE(OFFSET($BH$3,0,0,'Données projet'!$E$11+1,1))-AVERAGE(OFFSET($H$3,0,0,'Données projet'!$E$11+1,1))</f>
        <v>402.5435069258703</v>
      </c>
      <c r="BJ40" s="59">
        <f t="shared" si="38"/>
        <v>163.60655195816349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8.1474908424908428</v>
      </c>
      <c r="BY40" s="12">
        <f>IF('Données projet'!$A$114&gt;35,BY39+BX40-CG39,IF(A40&lt;'Données projet'!$A$114,$BV$205^A40,IF(A40='Données projet'!$A$114,'Données projet'!$B$114,BY39+BX40-CG39)))</f>
        <v>144.73756410256408</v>
      </c>
      <c r="BZ40" s="13">
        <f>BY40*VLOOKUP('Données projet'!$B$12,Paramètres!$A$1:$I$89,3,0)*VLOOKUP('Données projet'!$B$12,Paramètres!$A$1:$I$89,5,0)</f>
        <v>130.95854799999998</v>
      </c>
      <c r="CA40" s="13">
        <f t="shared" si="39"/>
        <v>34.217756841281521</v>
      </c>
      <c r="CB40" s="20">
        <f t="shared" si="10"/>
        <v>287.68206426523193</v>
      </c>
      <c r="CC40" s="59">
        <f t="shared" si="11"/>
        <v>581.01539759856519</v>
      </c>
      <c r="CD40" s="59">
        <f ca="1">AVERAGE(OFFSET($CC$3,0,0,'Données projet'!$E$12+1,1))-AVERAGE(OFFSET($H$3,0,0,'Données projet'!$E$12+1,1))</f>
        <v>350.91577977538822</v>
      </c>
      <c r="CE40" s="59">
        <f t="shared" si="40"/>
        <v>142.87103313412547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9.6</v>
      </c>
      <c r="CT40" s="12">
        <f>IF('Données projet'!$A$140&gt;35,CT39+CS40-DB39,IF(A40&lt;'Données projet'!$A$140,$CQ$205^A40,IF(A40='Données projet'!$A$140,'Données projet'!$B$140,CT39+CS40-DB39)))</f>
        <v>163.20000000000002</v>
      </c>
      <c r="CU40" s="17">
        <f>CT40*VLOOKUP('Données projet'!$B$13,Paramètres!$A$1:$I$89,3,0)*VLOOKUP('Données projet'!$B$13,Paramètres!$A$1:$I$89,5,0)</f>
        <v>132.38784000000004</v>
      </c>
      <c r="CV40" s="13">
        <f t="shared" si="41"/>
        <v>34.547533199821324</v>
      </c>
      <c r="CW40" s="20">
        <f t="shared" si="13"/>
        <v>290.74577498968887</v>
      </c>
      <c r="CX40" s="59">
        <f t="shared" si="14"/>
        <v>584.07910832302218</v>
      </c>
      <c r="CY40" s="59">
        <f ca="1">AVERAGE(OFFSET($CX$3,0,0,'Données projet'!$E$13+1,1))-AVERAGE(OFFSET($H$3,0,0,'Données projet'!$E$13+1,1))</f>
        <v>230.38929580146208</v>
      </c>
      <c r="CZ40" s="59">
        <f t="shared" si="42"/>
        <v>227.1847788696258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12.791080710016434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12.791080710016434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8.8460000000000001</v>
      </c>
      <c r="DO40" s="12">
        <f>IF('Données projet'!$A$166&gt;35,DO39+DN40-DW39,IF(A40&lt;'Données projet'!$A$166,$DL$205^A40,IF(A40='Données projet'!$A$166,'Données projet'!$B$166,DO39+DN40-DW39)))</f>
        <v>131.892</v>
      </c>
      <c r="DP40" s="17">
        <f>DO40*VLOOKUP('Données projet'!$B$14,Paramètres!$A$1:$I$89,3,0)*VLOOKUP('Données projet'!$B$14,Paramètres!$A$1:$I$89,5,0)</f>
        <v>78.871416000000011</v>
      </c>
      <c r="DQ40" s="13">
        <f t="shared" si="43"/>
        <v>21.861011712183601</v>
      </c>
      <c r="DR40" s="20">
        <f t="shared" si="16"/>
        <v>175.44231159871978</v>
      </c>
      <c r="DS40" s="59">
        <f t="shared" si="17"/>
        <v>468.77564493205307</v>
      </c>
      <c r="DT40" s="59">
        <f ca="1">AVERAGE(OFFSET($DS$3,0,0,'Données projet'!$E$14+1,1))-AVERAGE(OFFSET($H$3,0,0,'Données projet'!$E$14+1,1))</f>
        <v>145.97103392561058</v>
      </c>
      <c r="DU40" s="59">
        <f t="shared" si="44"/>
        <v>62.920713953681172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28.093333333333334</v>
      </c>
      <c r="N41" s="13">
        <f>IF('Données projet'!$A$36&gt;35,N40+M41-V40,IF(A41&lt;'Données projet'!$A$36,$K$205^A41,IF(A41='Données projet'!$A$36,'Données projet'!$B$36,N40+M41-V40)))</f>
        <v>471.99666666666656</v>
      </c>
      <c r="O41" s="13">
        <f>N41*VLOOKUP('Données projet'!$B$9,Paramètres!$A$1:$I$89,3,0)*VLOOKUP('Données projet'!$B$9,Paramètres!$A$1:$I$89,5,0)</f>
        <v>263.84613666666661</v>
      </c>
      <c r="P41" s="13">
        <f t="shared" si="33"/>
        <v>63.541516886809745</v>
      </c>
      <c r="Q41" s="20">
        <f t="shared" si="53"/>
        <v>570.20016327230462</v>
      </c>
      <c r="R41" s="59">
        <f t="shared" si="0"/>
        <v>863.53349660563799</v>
      </c>
      <c r="S41" s="59">
        <f ca="1">AVERAGE(OFFSET($R$3,0,0,'Données projet'!$E$9+1,1))-AVERAGE(OFFSET($H$3,0,0,'Données projet'!$E$9+1,1))</f>
        <v>350.01600895263641</v>
      </c>
      <c r="T41" s="59">
        <f t="shared" si="34"/>
        <v>464.08921044376882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33.666128406914005</v>
      </c>
      <c r="AA41" s="21">
        <f>EXP(-LN(2)/25)*AA40+(1-EXP(-LN(2)/25))/(LN(2)/25)*Calculateur!V41*Calculateur!X41*VLOOKUP('Données projet'!$B$9,Paramètres!$A$1:$I$89,3,0)*0.475*44/12</f>
        <v>40.511122302221168</v>
      </c>
      <c r="AB41" s="21">
        <f>EXP(-LN(2)/2)*AB40+(1-EXP(-LN(2)/2))/(LN(2)/2)*V41*Y41*VLOOKUP('Données projet'!$B$9,Paramètres!$A$1:$I$89,3,0)*0.475*44/12</f>
        <v>4.6245033066425759E-2</v>
      </c>
      <c r="AC41" s="22">
        <f t="shared" si="3"/>
        <v>74.223495742201592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7.8</v>
      </c>
      <c r="AI41" s="13">
        <f>IF('Données projet'!$A$62&gt;35,AI40+AH41-AQ40,IF(A41&lt;'Données projet'!$A$62,$AF$205^A41,IF(A41='Données projet'!$A$62,'Données projet'!$B$62,AI40+AH41-AQ40)))</f>
        <v>152.40000000000006</v>
      </c>
      <c r="AJ41" s="13">
        <f>AI41*VLOOKUP('Données projet'!$B$10,Paramètres!$A$1:$I$89,3,0)*VLOOKUP('Données projet'!$B$10,Paramètres!$A$1:$I$89,5,0)</f>
        <v>133.13664000000006</v>
      </c>
      <c r="AK41" s="13">
        <f t="shared" si="35"/>
        <v>34.720135986247172</v>
      </c>
      <c r="AL41" s="20">
        <f t="shared" si="4"/>
        <v>292.35055150938058</v>
      </c>
      <c r="AM41" s="59">
        <f t="shared" si="5"/>
        <v>585.68388484271395</v>
      </c>
      <c r="AN41" s="59">
        <f ca="1">AVERAGE(OFFSET($AM$3,0,0,'Données projet'!$E$10+1,1))-AVERAGE(OFFSET($H$3,0,0,'Données projet'!$E$10+1,1))</f>
        <v>242.48830542479988</v>
      </c>
      <c r="AO41" s="59">
        <f t="shared" si="36"/>
        <v>226.11219631227061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9.3915410685722076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9.3915410685722076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8.1474908424908428</v>
      </c>
      <c r="BD41" s="12">
        <f>IF('Données projet'!$A$88&gt;35,BD40+BC41-BL40,IF(A41&lt;'Données projet'!$A$88,$BA$205^A41,IF(A41='Données projet'!$A$88,'Données projet'!$B$88,BD40+BC41-BL40)))</f>
        <v>152.88505494505492</v>
      </c>
      <c r="BE41" s="13">
        <f>BD41*VLOOKUP('Données projet'!$B$11,Paramètres!$A$1:$I$89,3,0)*VLOOKUP('Données projet'!$B$11,Paramètres!$A$1:$I$89,5,0)</f>
        <v>155.02544571428569</v>
      </c>
      <c r="BF41" s="13">
        <f t="shared" si="37"/>
        <v>39.718436620407388</v>
      </c>
      <c r="BG41" s="20">
        <f t="shared" si="7"/>
        <v>339.1789283995904</v>
      </c>
      <c r="BH41" s="59">
        <f t="shared" si="8"/>
        <v>632.51226173292366</v>
      </c>
      <c r="BI41" s="59">
        <f ca="1">AVERAGE(OFFSET($BH$3,0,0,'Données projet'!$E$11+1,1))-AVERAGE(OFFSET($H$3,0,0,'Données projet'!$E$11+1,1))</f>
        <v>402.5435069258703</v>
      </c>
      <c r="BJ41" s="59">
        <f t="shared" si="38"/>
        <v>163.60655195816349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8.1474908424908428</v>
      </c>
      <c r="BY41" s="12">
        <f>IF('Données projet'!$A$114&gt;35,BY40+BX41-CG40,IF(A41&lt;'Données projet'!$A$114,$BV$205^A41,IF(A41='Données projet'!$A$114,'Données projet'!$B$114,BY40+BX41-CG40)))</f>
        <v>152.88505494505492</v>
      </c>
      <c r="BZ41" s="13">
        <f>BY41*VLOOKUP('Données projet'!$B$12,Paramètres!$A$1:$I$89,3,0)*VLOOKUP('Données projet'!$B$12,Paramètres!$A$1:$I$89,5,0)</f>
        <v>138.33039771428568</v>
      </c>
      <c r="CA41" s="13">
        <f t="shared" si="39"/>
        <v>35.914256398567368</v>
      </c>
      <c r="CB41" s="20">
        <f t="shared" si="10"/>
        <v>303.47610591321904</v>
      </c>
      <c r="CC41" s="59">
        <f t="shared" si="11"/>
        <v>596.8094392465523</v>
      </c>
      <c r="CD41" s="59">
        <f ca="1">AVERAGE(OFFSET($CC$3,0,0,'Données projet'!$E$12+1,1))-AVERAGE(OFFSET($H$3,0,0,'Données projet'!$E$12+1,1))</f>
        <v>350.91577977538822</v>
      </c>
      <c r="CE41" s="59">
        <f t="shared" si="40"/>
        <v>142.87103313412547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9.6</v>
      </c>
      <c r="CT41" s="12">
        <f>IF('Données projet'!$A$140&gt;35,CT40+CS41-DB40,IF(A41&lt;'Données projet'!$A$140,$CQ$205^A41,IF(A41='Données projet'!$A$140,'Données projet'!$B$140,CT40+CS41-DB40)))</f>
        <v>172.8</v>
      </c>
      <c r="CU41" s="17">
        <f>CT41*VLOOKUP('Données projet'!$B$13,Paramètres!$A$1:$I$89,3,0)*VLOOKUP('Données projet'!$B$13,Paramètres!$A$1:$I$89,5,0)</f>
        <v>140.17536000000001</v>
      </c>
      <c r="CV41" s="13">
        <f t="shared" si="41"/>
        <v>36.337175081323657</v>
      </c>
      <c r="CW41" s="20">
        <f t="shared" si="13"/>
        <v>307.42599859997205</v>
      </c>
      <c r="CX41" s="59">
        <f t="shared" si="14"/>
        <v>600.75933193330536</v>
      </c>
      <c r="CY41" s="59">
        <f ca="1">AVERAGE(OFFSET($CX$3,0,0,'Données projet'!$E$13+1,1))-AVERAGE(OFFSET($H$3,0,0,'Données projet'!$E$13+1,1))</f>
        <v>230.38929580146208</v>
      </c>
      <c r="CZ41" s="59">
        <f t="shared" si="42"/>
        <v>227.1847788696258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12.540255419081882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12.540255419081882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8.8460000000000001</v>
      </c>
      <c r="DO41" s="12">
        <f>IF('Données projet'!$A$166&gt;35,DO40+DN41-DW40,IF(A41&lt;'Données projet'!$A$166,$DL$205^A41,IF(A41='Données projet'!$A$166,'Données projet'!$B$166,DO40+DN41-DW40)))</f>
        <v>140.738</v>
      </c>
      <c r="DP41" s="17">
        <f>DO41*VLOOKUP('Données projet'!$B$14,Paramètres!$A$1:$I$89,3,0)*VLOOKUP('Données projet'!$B$14,Paramètres!$A$1:$I$89,5,0)</f>
        <v>84.161324000000008</v>
      </c>
      <c r="DQ41" s="13">
        <f t="shared" si="43"/>
        <v>23.151627277794848</v>
      </c>
      <c r="DR41" s="20">
        <f t="shared" si="16"/>
        <v>186.90339014215934</v>
      </c>
      <c r="DS41" s="59">
        <f t="shared" si="17"/>
        <v>480.23672347549268</v>
      </c>
      <c r="DT41" s="59">
        <f ca="1">AVERAGE(OFFSET($DS$3,0,0,'Données projet'!$E$14+1,1))-AVERAGE(OFFSET($H$3,0,0,'Données projet'!$E$14+1,1))</f>
        <v>145.97103392561058</v>
      </c>
      <c r="DU41" s="59">
        <f t="shared" si="44"/>
        <v>62.920713953681172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28.093333333333334</v>
      </c>
      <c r="N42" s="13">
        <f>IF('Données projet'!$A$36&gt;35,N41+M42-V41,IF(A42&lt;'Données projet'!$A$36,$K$205^A42,IF(A42='Données projet'!$A$36,'Données projet'!$B$36,N41+M42-V41)))</f>
        <v>500.08999999999992</v>
      </c>
      <c r="O42" s="13">
        <f>N42*VLOOKUP('Données projet'!$B$9,Paramètres!$A$1:$I$89,3,0)*VLOOKUP('Données projet'!$B$9,Paramètres!$A$1:$I$89,5,0)</f>
        <v>279.55030999999997</v>
      </c>
      <c r="P42" s="13">
        <f t="shared" si="33"/>
        <v>66.871967568934934</v>
      </c>
      <c r="Q42" s="20">
        <f t="shared" si="53"/>
        <v>603.35213343256157</v>
      </c>
      <c r="R42" s="59">
        <f t="shared" si="0"/>
        <v>896.68546676589494</v>
      </c>
      <c r="S42" s="59">
        <f ca="1">AVERAGE(OFFSET($R$3,0,0,'Données projet'!$E$9+1,1))-AVERAGE(OFFSET($H$3,0,0,'Données projet'!$E$9+1,1))</f>
        <v>350.01600895263641</v>
      </c>
      <c r="T42" s="59">
        <f t="shared" si="34"/>
        <v>464.08921044376882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33.005956163165152</v>
      </c>
      <c r="AA42" s="21">
        <f>EXP(-LN(2)/25)*AA41+(1-EXP(-LN(2)/25))/(LN(2)/25)*Calculateur!V42*Calculateur!X42*VLOOKUP('Données projet'!$B$9,Paramètres!$A$1:$I$89,3,0)*0.475*44/12</f>
        <v>39.403343532479596</v>
      </c>
      <c r="AB42" s="21">
        <f>EXP(-LN(2)/2)*AB41+(1-EXP(-LN(2)/2))/(LN(2)/2)*V42*Y42*VLOOKUP('Données projet'!$B$9,Paramètres!$A$1:$I$89,3,0)*0.475*44/12</f>
        <v>3.2700176477465773E-2</v>
      </c>
      <c r="AC42" s="22">
        <f t="shared" si="3"/>
        <v>72.44199987212221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7.8</v>
      </c>
      <c r="AI42" s="13">
        <f>IF('Données projet'!$A$62&gt;35,AI41+AH42-AQ41,IF(A42&lt;'Données projet'!$A$62,$AF$205^A42,IF(A42='Données projet'!$A$62,'Données projet'!$B$62,AI41+AH42-AQ41)))</f>
        <v>160.20000000000007</v>
      </c>
      <c r="AJ42" s="13">
        <f>AI42*VLOOKUP('Données projet'!$B$10,Paramètres!$A$1:$I$89,3,0)*VLOOKUP('Données projet'!$B$10,Paramètres!$A$1:$I$89,5,0)</f>
        <v>139.95072000000008</v>
      </c>
      <c r="AK42" s="13">
        <f t="shared" si="35"/>
        <v>36.285715907711953</v>
      </c>
      <c r="AL42" s="20">
        <f t="shared" si="4"/>
        <v>306.94512587259845</v>
      </c>
      <c r="AM42" s="59">
        <f t="shared" si="5"/>
        <v>600.27845920593177</v>
      </c>
      <c r="AN42" s="59">
        <f ca="1">AVERAGE(OFFSET($AM$3,0,0,'Données projet'!$E$10+1,1))-AVERAGE(OFFSET($H$3,0,0,'Données projet'!$E$10+1,1))</f>
        <v>242.48830542479988</v>
      </c>
      <c r="AO42" s="59">
        <f t="shared" si="36"/>
        <v>226.11219631227061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9.2073786764919383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9.2073786764919383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8.1474908424908428</v>
      </c>
      <c r="BD42" s="12">
        <f>IF('Données projet'!$A$88&gt;35,BD41+BC42-BL41,IF(A42&lt;'Données projet'!$A$88,$BA$205^A42,IF(A42='Données projet'!$A$88,'Données projet'!$B$88,BD41+BC42-BL41)))</f>
        <v>161.03254578754576</v>
      </c>
      <c r="BE42" s="13">
        <f>BD42*VLOOKUP('Données projet'!$B$11,Paramètres!$A$1:$I$89,3,0)*VLOOKUP('Données projet'!$B$11,Paramètres!$A$1:$I$89,5,0)</f>
        <v>163.28700142857141</v>
      </c>
      <c r="BF42" s="13">
        <f t="shared" si="37"/>
        <v>41.583028014804654</v>
      </c>
      <c r="BG42" s="20">
        <f t="shared" si="7"/>
        <v>356.81530128054663</v>
      </c>
      <c r="BH42" s="59">
        <f t="shared" si="8"/>
        <v>650.14863461387995</v>
      </c>
      <c r="BI42" s="59">
        <f ca="1">AVERAGE(OFFSET($BH$3,0,0,'Données projet'!$E$11+1,1))-AVERAGE(OFFSET($H$3,0,0,'Données projet'!$E$11+1,1))</f>
        <v>402.5435069258703</v>
      </c>
      <c r="BJ42" s="59">
        <f t="shared" si="38"/>
        <v>163.60655195816349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8.1474908424908428</v>
      </c>
      <c r="BY42" s="12">
        <f>IF('Données projet'!$A$114&gt;35,BY41+BX42-CG41,IF(A42&lt;'Données projet'!$A$114,$BV$205^A42,IF(A42='Données projet'!$A$114,'Données projet'!$B$114,BY41+BX42-CG41)))</f>
        <v>161.03254578754576</v>
      </c>
      <c r="BZ42" s="13">
        <f>BY42*VLOOKUP('Données projet'!$B$12,Paramètres!$A$1:$I$89,3,0)*VLOOKUP('Données projet'!$B$12,Paramètres!$A$1:$I$89,5,0)</f>
        <v>145.70224742857138</v>
      </c>
      <c r="CA42" s="13">
        <f t="shared" si="39"/>
        <v>37.600259653351507</v>
      </c>
      <c r="CB42" s="20">
        <f t="shared" si="10"/>
        <v>319.25186650101574</v>
      </c>
      <c r="CC42" s="59">
        <f t="shared" si="11"/>
        <v>612.58519983434905</v>
      </c>
      <c r="CD42" s="59">
        <f ca="1">AVERAGE(OFFSET($CC$3,0,0,'Données projet'!$E$12+1,1))-AVERAGE(OFFSET($H$3,0,0,'Données projet'!$E$12+1,1))</f>
        <v>350.91577977538822</v>
      </c>
      <c r="CE42" s="59">
        <f t="shared" si="40"/>
        <v>142.87103313412547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9.6</v>
      </c>
      <c r="CT42" s="12">
        <f>IF('Données projet'!$A$140&gt;35,CT41+CS42-DB41,IF(A42&lt;'Données projet'!$A$140,$CQ$205^A42,IF(A42='Données projet'!$A$140,'Données projet'!$B$140,CT41+CS42-DB41)))</f>
        <v>182.4</v>
      </c>
      <c r="CU42" s="17">
        <f>CT42*VLOOKUP('Données projet'!$B$13,Paramètres!$A$1:$I$89,3,0)*VLOOKUP('Données projet'!$B$13,Paramètres!$A$1:$I$89,5,0)</f>
        <v>147.96288000000001</v>
      </c>
      <c r="CV42" s="13">
        <f t="shared" si="41"/>
        <v>38.115275017059226</v>
      </c>
      <c r="CW42" s="20">
        <f t="shared" si="13"/>
        <v>324.0861199880448</v>
      </c>
      <c r="CX42" s="59">
        <f t="shared" si="14"/>
        <v>617.41945332137811</v>
      </c>
      <c r="CY42" s="59">
        <f ca="1">AVERAGE(OFFSET($CX$3,0,0,'Données projet'!$E$13+1,1))-AVERAGE(OFFSET($H$3,0,0,'Données projet'!$E$13+1,1))</f>
        <v>230.38929580146208</v>
      </c>
      <c r="CZ42" s="59">
        <f t="shared" si="42"/>
        <v>227.1847788696258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12.294348659114236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12.294348659114236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8.8460000000000001</v>
      </c>
      <c r="DO42" s="12">
        <f>IF('Données projet'!$A$166&gt;35,DO41+DN42-DW41,IF(A42&lt;'Données projet'!$A$166,$DL$205^A42,IF(A42='Données projet'!$A$166,'Données projet'!$B$166,DO41+DN42-DW41)))</f>
        <v>149.584</v>
      </c>
      <c r="DP42" s="17">
        <f>DO42*VLOOKUP('Données projet'!$B$14,Paramètres!$A$1:$I$89,3,0)*VLOOKUP('Données projet'!$B$14,Paramètres!$A$1:$I$89,5,0)</f>
        <v>89.451232000000019</v>
      </c>
      <c r="DQ42" s="13">
        <f t="shared" si="43"/>
        <v>24.432828292790447</v>
      </c>
      <c r="DR42" s="20">
        <f t="shared" si="16"/>
        <v>198.34807167661006</v>
      </c>
      <c r="DS42" s="59">
        <f t="shared" si="17"/>
        <v>491.68140500994338</v>
      </c>
      <c r="DT42" s="59">
        <f ca="1">AVERAGE(OFFSET($DS$3,0,0,'Données projet'!$E$14+1,1))-AVERAGE(OFFSET($H$3,0,0,'Données projet'!$E$14+1,1))</f>
        <v>145.97103392561058</v>
      </c>
      <c r="DU42" s="59">
        <f t="shared" si="44"/>
        <v>62.920713953681172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28.093333333333334</v>
      </c>
      <c r="N43" s="13">
        <f>IF('Données projet'!$A$36&gt;35,N42+M43-V42,IF(A43&lt;'Données projet'!$A$36,$K$205^A43,IF(A43='Données projet'!$A$36,'Données projet'!$B$36,N42+M43-V42)))</f>
        <v>528.18333333333328</v>
      </c>
      <c r="O43" s="13">
        <f>N43*VLOOKUP('Données projet'!$B$9,Paramètres!$A$1:$I$89,3,0)*VLOOKUP('Données projet'!$B$9,Paramètres!$A$1:$I$89,5,0)</f>
        <v>295.25448333333333</v>
      </c>
      <c r="P43" s="13">
        <f t="shared" si="33"/>
        <v>70.180699585942122</v>
      </c>
      <c r="Q43" s="20">
        <f t="shared" si="53"/>
        <v>636.46627691773801</v>
      </c>
      <c r="R43" s="59">
        <f t="shared" si="0"/>
        <v>929.79961025107127</v>
      </c>
      <c r="S43" s="59">
        <f ca="1">AVERAGE(OFFSET($R$3,0,0,'Données projet'!$E$9+1,1))-AVERAGE(OFFSET($H$3,0,0,'Données projet'!$E$9+1,1))</f>
        <v>350.01600895263641</v>
      </c>
      <c r="T43" s="59">
        <f t="shared" si="34"/>
        <v>464.08921044376882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32.358729494450905</v>
      </c>
      <c r="AA43" s="21">
        <f>EXP(-LN(2)/25)*AA42+(1-EXP(-LN(2)/25))/(LN(2)/25)*Calculateur!V43*Calculateur!X43*VLOOKUP('Données projet'!$B$9,Paramètres!$A$1:$I$89,3,0)*0.475*44/12</f>
        <v>38.325857031452159</v>
      </c>
      <c r="AB43" s="21">
        <f>EXP(-LN(2)/2)*AB42+(1-EXP(-LN(2)/2))/(LN(2)/2)*V43*Y43*VLOOKUP('Données projet'!$B$9,Paramètres!$A$1:$I$89,3,0)*0.475*44/12</f>
        <v>2.3122516533212879E-2</v>
      </c>
      <c r="AC43" s="22">
        <f t="shared" si="3"/>
        <v>70.707709042436264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168</v>
      </c>
      <c r="AG43" s="12">
        <f>VLOOKUP(A43,'Données projet'!$A$61:$I$81,9,0)</f>
        <v>7.8</v>
      </c>
      <c r="AH43" s="12">
        <f t="array" ref="AH43">INDEX(AG:AG,MIN(IF(ISNUMBER(AG43:AG239),ROW(AG43:AG239),"")))</f>
        <v>7.8</v>
      </c>
      <c r="AI43" s="13">
        <f>IF('Données projet'!$A$62&gt;35,AI42+AH43-AQ42,IF(A43&lt;'Données projet'!$A$62,$AF$205^A43,IF(A43='Données projet'!$A$62,'Données projet'!$B$62,AI42+AH43-AQ42)))</f>
        <v>168.00000000000009</v>
      </c>
      <c r="AJ43" s="13">
        <f>AI43*VLOOKUP('Données projet'!$B$10,Paramètres!$A$1:$I$89,3,0)*VLOOKUP('Données projet'!$B$10,Paramètres!$A$1:$I$89,5,0)</f>
        <v>146.76480000000009</v>
      </c>
      <c r="AK43" s="13">
        <f t="shared" si="35"/>
        <v>37.842444439956665</v>
      </c>
      <c r="AL43" s="20">
        <f t="shared" si="4"/>
        <v>321.52428406625802</v>
      </c>
      <c r="AM43" s="59">
        <f t="shared" si="5"/>
        <v>614.85761739959139</v>
      </c>
      <c r="AN43" s="59">
        <f ca="1">AVERAGE(OFFSET($AM$3,0,0,'Données projet'!$E$10+1,1))-AVERAGE(OFFSET($H$3,0,0,'Données projet'!$E$10+1,1))</f>
        <v>242.48830542479988</v>
      </c>
      <c r="AO43" s="59">
        <f t="shared" si="36"/>
        <v>226.11219631227061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23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18.577985550600651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18.577985550600651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8.1474908424908428</v>
      </c>
      <c r="BD43" s="12">
        <f>IF('Données projet'!$A$88&gt;35,BD42+BC43-BL42,IF(A43&lt;'Données projet'!$A$88,$BA$205^A43,IF(A43='Données projet'!$A$88,'Données projet'!$B$88,BD42+BC43-BL42)))</f>
        <v>169.1800366300366</v>
      </c>
      <c r="BE43" s="13">
        <f>BD43*VLOOKUP('Données projet'!$B$11,Paramètres!$A$1:$I$89,3,0)*VLOOKUP('Données projet'!$B$11,Paramètres!$A$1:$I$89,5,0)</f>
        <v>171.54855714285713</v>
      </c>
      <c r="BF43" s="13">
        <f t="shared" si="37"/>
        <v>43.436665621359722</v>
      </c>
      <c r="BG43" s="20">
        <f t="shared" si="7"/>
        <v>374.43259631434438</v>
      </c>
      <c r="BH43" s="59">
        <f t="shared" si="8"/>
        <v>667.76592964767769</v>
      </c>
      <c r="BI43" s="59">
        <f ca="1">AVERAGE(OFFSET($BH$3,0,0,'Données projet'!$E$11+1,1))-AVERAGE(OFFSET($H$3,0,0,'Données projet'!$E$11+1,1))</f>
        <v>402.5435069258703</v>
      </c>
      <c r="BJ43" s="59">
        <f t="shared" si="38"/>
        <v>163.60655195816349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8.1474908424908428</v>
      </c>
      <c r="BY43" s="12">
        <f>IF('Données projet'!$A$114&gt;35,BY42+BX43-CG42,IF(A43&lt;'Données projet'!$A$114,$BV$205^A43,IF(A43='Données projet'!$A$114,'Données projet'!$B$114,BY42+BX43-CG42)))</f>
        <v>169.1800366300366</v>
      </c>
      <c r="BZ43" s="13">
        <f>BY43*VLOOKUP('Données projet'!$B$12,Paramètres!$A$1:$I$89,3,0)*VLOOKUP('Données projet'!$B$12,Paramètres!$A$1:$I$89,5,0)</f>
        <v>153.07409714285711</v>
      </c>
      <c r="CA43" s="13">
        <f t="shared" si="39"/>
        <v>39.27635825985206</v>
      </c>
      <c r="CB43" s="20">
        <f t="shared" si="10"/>
        <v>335.01037649305175</v>
      </c>
      <c r="CC43" s="59">
        <f t="shared" si="11"/>
        <v>628.34370982638507</v>
      </c>
      <c r="CD43" s="59">
        <f ca="1">AVERAGE(OFFSET($CC$3,0,0,'Données projet'!$E$12+1,1))-AVERAGE(OFFSET($H$3,0,0,'Données projet'!$E$12+1,1))</f>
        <v>350.91577977538822</v>
      </c>
      <c r="CE43" s="59">
        <f t="shared" si="40"/>
        <v>142.87103313412547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192</v>
      </c>
      <c r="CR43" s="12">
        <f>VLOOKUP(A43,'Données projet'!$A$139:$I$159,9,0)</f>
        <v>9.6</v>
      </c>
      <c r="CS43" s="12">
        <f t="array" ref="CS43">INDEX(CR:CR,MIN(IF(ISNUMBER(CR43:CR239),ROW(CR43:CR239),"")))</f>
        <v>9.6</v>
      </c>
      <c r="CT43" s="12">
        <f>IF('Données projet'!$A$140&gt;35,CT42+CS43-DB42,IF(A43&lt;'Données projet'!$A$140,$CQ$205^A43,IF(A43='Données projet'!$A$140,'Données projet'!$B$140,CT42+CS43-DB42)))</f>
        <v>192</v>
      </c>
      <c r="CU43" s="17">
        <f>CT43*VLOOKUP('Données projet'!$B$13,Paramètres!$A$1:$I$89,3,0)*VLOOKUP('Données projet'!$B$13,Paramètres!$A$1:$I$89,5,0)</f>
        <v>155.75040000000001</v>
      </c>
      <c r="CV43" s="13">
        <f t="shared" si="41"/>
        <v>39.882509755133754</v>
      </c>
      <c r="CW43" s="20">
        <f t="shared" si="13"/>
        <v>340.72731782352463</v>
      </c>
      <c r="CX43" s="59">
        <f t="shared" si="14"/>
        <v>634.06065115685794</v>
      </c>
      <c r="CY43" s="59">
        <f ca="1">AVERAGE(OFFSET($CX$3,0,0,'Données projet'!$E$13+1,1))-AVERAGE(OFFSET($H$3,0,0,'Données projet'!$E$13+1,1))</f>
        <v>230.38929580146208</v>
      </c>
      <c r="CZ43" s="59">
        <f t="shared" si="42"/>
        <v>227.1847788696258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28</v>
      </c>
      <c r="DC43" s="16">
        <f>IF(ISNA(VLOOKUP(A43,'Données projet'!$A$139:$I$159,5,0)),0%,VLOOKUP(A43,'Données projet'!$A$139:$I$159,5,0)*VLOOKUP('Données projet'!$B$13,Paramètres!$A$1:$I$89,7,0))</f>
        <v>0.53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25.36114634737784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25.36114634737784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158.43</v>
      </c>
      <c r="DM43" s="12">
        <f>VLOOKUP(A43,'Données projet'!$A$165:$I$185,9,0)</f>
        <v>8.8460000000000001</v>
      </c>
      <c r="DN43" s="12">
        <f t="array" ref="DN43">INDEX(DM:DM,MIN(IF(ISNUMBER(DM43:DM239),ROW(DM43:DM239),"")))</f>
        <v>8.8460000000000001</v>
      </c>
      <c r="DO43" s="12">
        <f>IF('Données projet'!$A$166&gt;35,DO42+DN43-DW42,IF(A43&lt;'Données projet'!$A$166,$DL$205^A43,IF(A43='Données projet'!$A$166,'Données projet'!$B$166,DO42+DN43-DW42)))</f>
        <v>158.43</v>
      </c>
      <c r="DP43" s="17">
        <f>DO43*VLOOKUP('Données projet'!$B$14,Paramètres!$A$1:$I$89,3,0)*VLOOKUP('Données projet'!$B$14,Paramètres!$A$1:$I$89,5,0)</f>
        <v>94.741140000000016</v>
      </c>
      <c r="DQ43" s="13">
        <f t="shared" si="43"/>
        <v>25.705234924070822</v>
      </c>
      <c r="DR43" s="20">
        <f t="shared" si="16"/>
        <v>209.77743632609</v>
      </c>
      <c r="DS43" s="59">
        <f t="shared" si="17"/>
        <v>503.11076965942334</v>
      </c>
      <c r="DT43" s="59">
        <f ca="1">AVERAGE(OFFSET($DS$3,0,0,'Données projet'!$E$14+1,1))-AVERAGE(OFFSET($H$3,0,0,'Données projet'!$E$14+1,1))</f>
        <v>145.97103392561058</v>
      </c>
      <c r="DU43" s="59">
        <f t="shared" si="44"/>
        <v>62.920713953681172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28.093333333333334</v>
      </c>
      <c r="N44" s="13">
        <f>IF('Données projet'!$A$36&gt;35,N43+M44-V43,IF(A44&lt;'Données projet'!$A$36,$K$205^A44,IF(A44='Données projet'!$A$36,'Données projet'!$B$36,N43+M44-V43)))</f>
        <v>556.27666666666664</v>
      </c>
      <c r="O44" s="13">
        <f>N44*VLOOKUP('Données projet'!$B$9,Paramètres!$A$1:$I$89,3,0)*VLOOKUP('Données projet'!$B$9,Paramètres!$A$1:$I$89,5,0)</f>
        <v>310.95865666666663</v>
      </c>
      <c r="P44" s="13">
        <f t="shared" si="33"/>
        <v>73.468999847738303</v>
      </c>
      <c r="Q44" s="20">
        <f t="shared" si="53"/>
        <v>669.54483509592194</v>
      </c>
      <c r="R44" s="59">
        <f t="shared" si="0"/>
        <v>962.87816842925531</v>
      </c>
      <c r="S44" s="59">
        <f ca="1">AVERAGE(OFFSET($R$3,0,0,'Données projet'!$E$9+1,1))-AVERAGE(OFFSET($H$3,0,0,'Données projet'!$E$9+1,1))</f>
        <v>350.01600895263641</v>
      </c>
      <c r="T44" s="59">
        <f t="shared" si="34"/>
        <v>464.08921044376882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31.724194545940861</v>
      </c>
      <c r="AA44" s="21">
        <f>EXP(-LN(2)/25)*AA43+(1-EXP(-LN(2)/25))/(LN(2)/25)*Calculateur!V44*Calculateur!X44*VLOOKUP('Données projet'!$B$9,Paramètres!$A$1:$I$89,3,0)*0.475*44/12</f>
        <v>37.277834455457871</v>
      </c>
      <c r="AB44" s="21">
        <f>EXP(-LN(2)/2)*AB43+(1-EXP(-LN(2)/2))/(LN(2)/2)*V44*Y44*VLOOKUP('Données projet'!$B$9,Paramètres!$A$1:$I$89,3,0)*0.475*44/12</f>
        <v>1.6350088238732886E-2</v>
      </c>
      <c r="AC44" s="22">
        <f t="shared" si="3"/>
        <v>69.018379089637477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</v>
      </c>
      <c r="AI44" s="13">
        <f>IF('Données projet'!$A$62&gt;35,AI43+AH44-AQ43,IF(A44&lt;'Données projet'!$A$62,$AF$205^A44,IF(A44='Données projet'!$A$62,'Données projet'!$B$62,AI43+AH44-AQ43)))</f>
        <v>152.00000000000009</v>
      </c>
      <c r="AJ44" s="13">
        <f>AI44*VLOOKUP('Données projet'!$B$10,Paramètres!$A$1:$I$89,3,0)*VLOOKUP('Données projet'!$B$10,Paramètres!$A$1:$I$89,5,0)</f>
        <v>132.7872000000001</v>
      </c>
      <c r="AK44" s="13">
        <f t="shared" si="35"/>
        <v>34.639602119854608</v>
      </c>
      <c r="AL44" s="20">
        <f t="shared" si="4"/>
        <v>291.60168035874693</v>
      </c>
      <c r="AM44" s="59">
        <f t="shared" si="5"/>
        <v>584.93501369208025</v>
      </c>
      <c r="AN44" s="59">
        <f ca="1">AVERAGE(OFFSET($AM$3,0,0,'Données projet'!$E$10+1,1))-AVERAGE(OFFSET($H$3,0,0,'Données projet'!$E$10+1,1))</f>
        <v>242.48830542479988</v>
      </c>
      <c r="AO44" s="59">
        <f t="shared" si="36"/>
        <v>226.11219631227061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18.213682585405671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18.213682585405671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8.1474908424908428</v>
      </c>
      <c r="BD44" s="12">
        <f>IF('Données projet'!$A$88&gt;35,BD43+BC44-BL43,IF(A44&lt;'Données projet'!$A$88,$BA$205^A44,IF(A44='Données projet'!$A$88,'Données projet'!$B$88,BD43+BC44-BL43)))</f>
        <v>177.32752747252744</v>
      </c>
      <c r="BE44" s="13">
        <f>BD44*VLOOKUP('Données projet'!$B$11,Paramètres!$A$1:$I$89,3,0)*VLOOKUP('Données projet'!$B$11,Paramètres!$A$1:$I$89,5,0)</f>
        <v>179.81011285714283</v>
      </c>
      <c r="BF44" s="13">
        <f t="shared" si="37"/>
        <v>45.279937180927462</v>
      </c>
      <c r="BG44" s="20">
        <f t="shared" si="7"/>
        <v>392.0318371496391</v>
      </c>
      <c r="BH44" s="59">
        <f t="shared" si="8"/>
        <v>685.36517048297242</v>
      </c>
      <c r="BI44" s="59">
        <f ca="1">AVERAGE(OFFSET($BH$3,0,0,'Données projet'!$E$11+1,1))-AVERAGE(OFFSET($H$3,0,0,'Données projet'!$E$11+1,1))</f>
        <v>402.5435069258703</v>
      </c>
      <c r="BJ44" s="59">
        <f t="shared" si="38"/>
        <v>163.60655195816349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8.1474908424908428</v>
      </c>
      <c r="BY44" s="12">
        <f>IF('Données projet'!$A$114&gt;35,BY43+BX44-CG43,IF(A44&lt;'Données projet'!$A$114,$BV$205^A44,IF(A44='Données projet'!$A$114,'Données projet'!$B$114,BY43+BX44-CG43)))</f>
        <v>177.32752747252744</v>
      </c>
      <c r="BZ44" s="13">
        <f>BY44*VLOOKUP('Données projet'!$B$12,Paramètres!$A$1:$I$89,3,0)*VLOOKUP('Données projet'!$B$12,Paramètres!$A$1:$I$89,5,0)</f>
        <v>160.44594685714281</v>
      </c>
      <c r="CA44" s="13">
        <f t="shared" si="39"/>
        <v>40.94308366586894</v>
      </c>
      <c r="CB44" s="20">
        <f t="shared" si="10"/>
        <v>350.75256149424541</v>
      </c>
      <c r="CC44" s="59">
        <f t="shared" si="11"/>
        <v>644.08589482757873</v>
      </c>
      <c r="CD44" s="59">
        <f ca="1">AVERAGE(OFFSET($CC$3,0,0,'Données projet'!$E$12+1,1))-AVERAGE(OFFSET($H$3,0,0,'Données projet'!$E$12+1,1))</f>
        <v>350.91577977538822</v>
      </c>
      <c r="CE44" s="59">
        <f t="shared" si="40"/>
        <v>142.87103313412547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8.1999999999999993</v>
      </c>
      <c r="CT44" s="12">
        <f>IF('Données projet'!$A$140&gt;35,CT43+CS44-DB43,IF(A44&lt;'Données projet'!$A$140,$CQ$205^A44,IF(A44='Données projet'!$A$140,'Données projet'!$B$140,CT43+CS44-DB43)))</f>
        <v>172.2</v>
      </c>
      <c r="CU44" s="17">
        <f>CT44*VLOOKUP('Données projet'!$B$13,Paramètres!$A$1:$I$89,3,0)*VLOOKUP('Données projet'!$B$13,Paramètres!$A$1:$I$89,5,0)</f>
        <v>139.68863999999999</v>
      </c>
      <c r="CV44" s="13">
        <f t="shared" si="41"/>
        <v>36.22566805112433</v>
      </c>
      <c r="CW44" s="20">
        <f t="shared" si="13"/>
        <v>306.38408652237484</v>
      </c>
      <c r="CX44" s="59">
        <f t="shared" si="14"/>
        <v>599.71741985570816</v>
      </c>
      <c r="CY44" s="59">
        <f ca="1">AVERAGE(OFFSET($CX$3,0,0,'Données projet'!$E$13+1,1))-AVERAGE(OFFSET($H$3,0,0,'Données projet'!$E$13+1,1))</f>
        <v>230.38929580146208</v>
      </c>
      <c r="CZ44" s="59">
        <f t="shared" si="42"/>
        <v>227.1847788696258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24.863829736277619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24.863829736277619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9.2360000000000007</v>
      </c>
      <c r="DO44" s="12">
        <f>IF('Données projet'!$A$166&gt;35,DO43+DN44-DW43,IF(A44&lt;'Données projet'!$A$166,$DL$205^A44,IF(A44='Données projet'!$A$166,'Données projet'!$B$166,DO43+DN44-DW43)))</f>
        <v>167.666</v>
      </c>
      <c r="DP44" s="17">
        <f>DO44*VLOOKUP('Données projet'!$B$14,Paramètres!$A$1:$I$89,3,0)*VLOOKUP('Données projet'!$B$14,Paramètres!$A$1:$I$89,5,0)</f>
        <v>100.26426800000002</v>
      </c>
      <c r="DQ44" s="13">
        <f t="shared" si="43"/>
        <v>27.024946081471317</v>
      </c>
      <c r="DR44" s="20">
        <f t="shared" si="16"/>
        <v>221.6953811918959</v>
      </c>
      <c r="DS44" s="59">
        <f t="shared" si="17"/>
        <v>515.02871452522925</v>
      </c>
      <c r="DT44" s="59">
        <f ca="1">AVERAGE(OFFSET($DS$3,0,0,'Données projet'!$E$14+1,1))-AVERAGE(OFFSET($H$3,0,0,'Données projet'!$E$14+1,1))</f>
        <v>145.97103392561058</v>
      </c>
      <c r="DU44" s="59">
        <f t="shared" si="44"/>
        <v>62.920713953681172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584.37</v>
      </c>
      <c r="L45" s="12">
        <f>VLOOKUP(A45,'Données projet'!$A$35:$I$55,9,0)</f>
        <v>28.093333333333334</v>
      </c>
      <c r="M45" s="12">
        <f t="array" ref="M45">INDEX(L:L,MIN(IF(ISNUMBER(L45:L241),ROW(L45:L241),"")))</f>
        <v>28.093333333333334</v>
      </c>
      <c r="N45" s="13">
        <f>IF('Données projet'!$A$36&gt;35,N44+M45-V44,IF(A45&lt;'Données projet'!$A$36,$K$205^A45,IF(A45='Données projet'!$A$36,'Données projet'!$B$36,N44+M45-V44)))</f>
        <v>584.37</v>
      </c>
      <c r="O45" s="13">
        <f>N45*VLOOKUP('Données projet'!$B$9,Paramètres!$A$1:$I$89,3,0)*VLOOKUP('Données projet'!$B$9,Paramètres!$A$1:$I$89,5,0)</f>
        <v>326.66282999999999</v>
      </c>
      <c r="P45" s="13">
        <f t="shared" si="33"/>
        <v>76.738017937615012</v>
      </c>
      <c r="Q45" s="20">
        <f t="shared" si="53"/>
        <v>702.58981015801282</v>
      </c>
      <c r="R45" s="59">
        <f t="shared" si="0"/>
        <v>995.92314349134608</v>
      </c>
      <c r="S45" s="59">
        <f ca="1">AVERAGE(OFFSET($R$3,0,0,'Données projet'!$E$9+1,1))-AVERAGE(OFFSET($H$3,0,0,'Données projet'!$E$9+1,1))</f>
        <v>350.01600895263641</v>
      </c>
      <c r="T45" s="59">
        <f t="shared" si="34"/>
        <v>464.08921044376882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91.25</v>
      </c>
      <c r="W45" s="16">
        <f>IF(ISNA(VLOOKUP(A45,'Données projet'!$A$35:$I$55,5,0)),0%,VLOOKUP(A45,'Données projet'!$A$35:$I$55,5,0)*VLOOKUP('Données projet'!$B$9,Paramètres!$A$1:$I$89,7,0))</f>
        <v>0.55000000000000004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68.31861950726389</v>
      </c>
      <c r="AA45" s="21">
        <f>EXP(-LN(2)/25)*AA44+(1-EXP(-LN(2)/25))/(LN(2)/25)*Calculateur!V45*Calculateur!X45*VLOOKUP('Données projet'!$B$9,Paramètres!$A$1:$I$89,3,0)*0.475*44/12</f>
        <v>36.258470111917262</v>
      </c>
      <c r="AB45" s="21">
        <f>EXP(-LN(2)/2)*AB44+(1-EXP(-LN(2)/2))/(LN(2)/2)*V45*Y45*VLOOKUP('Données projet'!$B$9,Paramètres!$A$1:$I$89,3,0)*0.475*44/12</f>
        <v>1.156125826660644E-2</v>
      </c>
      <c r="AC45" s="22">
        <f t="shared" si="3"/>
        <v>104.58865087744776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</v>
      </c>
      <c r="AI45" s="13">
        <f>IF('Données projet'!$A$62&gt;35,AI44+AH45-AQ44,IF(A45&lt;'Données projet'!$A$62,$AF$205^A45,IF(A45='Données projet'!$A$62,'Données projet'!$B$62,AI44+AH45-AQ44)))</f>
        <v>159.00000000000009</v>
      </c>
      <c r="AJ45" s="13">
        <f>AI45*VLOOKUP('Données projet'!$B$10,Paramètres!$A$1:$I$89,3,0)*VLOOKUP('Données projet'!$B$10,Paramètres!$A$1:$I$89,5,0)</f>
        <v>138.90240000000011</v>
      </c>
      <c r="AK45" s="13">
        <f t="shared" si="35"/>
        <v>36.045445680666461</v>
      </c>
      <c r="AL45" s="20">
        <f t="shared" si="4"/>
        <v>304.7008312271609</v>
      </c>
      <c r="AM45" s="59">
        <f t="shared" si="5"/>
        <v>598.03416456049422</v>
      </c>
      <c r="AN45" s="59">
        <f ca="1">AVERAGE(OFFSET($AM$3,0,0,'Données projet'!$E$10+1,1))-AVERAGE(OFFSET($H$3,0,0,'Données projet'!$E$10+1,1))</f>
        <v>242.48830542479988</v>
      </c>
      <c r="AO45" s="59">
        <f t="shared" si="36"/>
        <v>226.11219631227061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17.856523379155295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17.856523379155295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8.1474908424908428</v>
      </c>
      <c r="BD45" s="12">
        <f>IF('Données projet'!$A$88&gt;35,BD44+BC45-BL44,IF(A45&lt;'Données projet'!$A$88,$BA$205^A45,IF(A45='Données projet'!$A$88,'Données projet'!$B$88,BD44+BC45-BL44)))</f>
        <v>185.47501831501827</v>
      </c>
      <c r="BE45" s="13">
        <f>BD45*VLOOKUP('Données projet'!$B$11,Paramètres!$A$1:$I$89,3,0)*VLOOKUP('Données projet'!$B$11,Paramètres!$A$1:$I$89,5,0)</f>
        <v>188.07166857142855</v>
      </c>
      <c r="BF45" s="13">
        <f t="shared" si="37"/>
        <v>47.113373373048681</v>
      </c>
      <c r="BG45" s="20">
        <f t="shared" si="7"/>
        <v>409.61394805329786</v>
      </c>
      <c r="BH45" s="59">
        <f t="shared" si="8"/>
        <v>702.94728138663118</v>
      </c>
      <c r="BI45" s="59">
        <f ca="1">AVERAGE(OFFSET($BH$3,0,0,'Données projet'!$E$11+1,1))-AVERAGE(OFFSET($H$3,0,0,'Données projet'!$E$11+1,1))</f>
        <v>402.5435069258703</v>
      </c>
      <c r="BJ45" s="59">
        <f t="shared" si="38"/>
        <v>163.60655195816349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8.1474908424908428</v>
      </c>
      <c r="BY45" s="12">
        <f>IF('Données projet'!$A$114&gt;35,BY44+BX45-CG44,IF(A45&lt;'Données projet'!$A$114,$BV$205^A45,IF(A45='Données projet'!$A$114,'Données projet'!$B$114,BY44+BX45-CG44)))</f>
        <v>185.47501831501827</v>
      </c>
      <c r="BZ45" s="13">
        <f>BY45*VLOOKUP('Données projet'!$B$12,Paramètres!$A$1:$I$89,3,0)*VLOOKUP('Données projet'!$B$12,Paramètres!$A$1:$I$89,5,0)</f>
        <v>167.81779657142854</v>
      </c>
      <c r="CA45" s="13">
        <f t="shared" si="39"/>
        <v>42.6009157231464</v>
      </c>
      <c r="CB45" s="20">
        <f t="shared" si="10"/>
        <v>366.47925724638475</v>
      </c>
      <c r="CC45" s="59">
        <f t="shared" si="11"/>
        <v>659.81259057971806</v>
      </c>
      <c r="CD45" s="59">
        <f ca="1">AVERAGE(OFFSET($CC$3,0,0,'Données projet'!$E$12+1,1))-AVERAGE(OFFSET($H$3,0,0,'Données projet'!$E$12+1,1))</f>
        <v>350.91577977538822</v>
      </c>
      <c r="CE45" s="59">
        <f t="shared" si="40"/>
        <v>142.87103313412547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8.1999999999999993</v>
      </c>
      <c r="CT45" s="12">
        <f>IF('Données projet'!$A$140&gt;35,CT44+CS45-DB44,IF(A45&lt;'Données projet'!$A$140,$CQ$205^A45,IF(A45='Données projet'!$A$140,'Données projet'!$B$140,CT44+CS45-DB44)))</f>
        <v>180.39999999999998</v>
      </c>
      <c r="CU45" s="17">
        <f>CT45*VLOOKUP('Données projet'!$B$13,Paramètres!$A$1:$I$89,3,0)*VLOOKUP('Données projet'!$B$13,Paramètres!$A$1:$I$89,5,0)</f>
        <v>146.34047999999999</v>
      </c>
      <c r="CV45" s="13">
        <f t="shared" si="41"/>
        <v>37.745754868861937</v>
      </c>
      <c r="CW45" s="20">
        <f t="shared" si="13"/>
        <v>320.6168590632679</v>
      </c>
      <c r="CX45" s="59">
        <f t="shared" si="14"/>
        <v>613.95019239660121</v>
      </c>
      <c r="CY45" s="59">
        <f ca="1">AVERAGE(OFFSET($CX$3,0,0,'Données projet'!$E$13+1,1))-AVERAGE(OFFSET($H$3,0,0,'Données projet'!$E$13+1,1))</f>
        <v>230.38929580146208</v>
      </c>
      <c r="CZ45" s="59">
        <f t="shared" si="42"/>
        <v>227.1847788696258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24.376265200587891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24.376265200587891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9.2360000000000007</v>
      </c>
      <c r="DO45" s="12">
        <f>IF('Données projet'!$A$166&gt;35,DO44+DN45-DW44,IF(A45&lt;'Données projet'!$A$166,$DL$205^A45,IF(A45='Données projet'!$A$166,'Données projet'!$B$166,DO44+DN45-DW44)))</f>
        <v>176.90199999999999</v>
      </c>
      <c r="DP45" s="17">
        <f>DO45*VLOOKUP('Données projet'!$B$14,Paramètres!$A$1:$I$89,3,0)*VLOOKUP('Données projet'!$B$14,Paramètres!$A$1:$I$89,5,0)</f>
        <v>105.787396</v>
      </c>
      <c r="DQ45" s="13">
        <f t="shared" si="43"/>
        <v>28.33621784800599</v>
      </c>
      <c r="DR45" s="20">
        <f t="shared" si="16"/>
        <v>233.59862745194377</v>
      </c>
      <c r="DS45" s="59">
        <f t="shared" si="17"/>
        <v>526.93196078527706</v>
      </c>
      <c r="DT45" s="59">
        <f ca="1">AVERAGE(OFFSET($DS$3,0,0,'Données projet'!$E$14+1,1))-AVERAGE(OFFSET($H$3,0,0,'Données projet'!$E$14+1,1))</f>
        <v>145.97103392561058</v>
      </c>
      <c r="DU45" s="59">
        <f t="shared" si="44"/>
        <v>62.920713953681172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27.100000000000005</v>
      </c>
      <c r="N46" s="13">
        <f>IF('Données projet'!$A$36&gt;35,N45+M46-V45,IF(A46&lt;'Données projet'!$A$36,$K$205^A46,IF(A46='Données projet'!$A$36,'Données projet'!$B$36,N45+M46-V45)))</f>
        <v>520.22</v>
      </c>
      <c r="O46" s="13">
        <f>N46*VLOOKUP('Données projet'!$B$9,Paramètres!$A$1:$I$89,3,0)*VLOOKUP('Données projet'!$B$9,Paramètres!$A$1:$I$89,5,0)</f>
        <v>290.80298000000005</v>
      </c>
      <c r="P46" s="13">
        <f t="shared" si="33"/>
        <v>69.24493486102223</v>
      </c>
      <c r="Q46" s="20">
        <f t="shared" si="53"/>
        <v>627.08345171628036</v>
      </c>
      <c r="R46" s="59">
        <f t="shared" si="0"/>
        <v>920.41678504961374</v>
      </c>
      <c r="S46" s="59">
        <f ca="1">AVERAGE(OFFSET($R$3,0,0,'Données projet'!$E$9+1,1))-AVERAGE(OFFSET($H$3,0,0,'Données projet'!$E$9+1,1))</f>
        <v>350.01600895263641</v>
      </c>
      <c r="T46" s="59">
        <f t="shared" si="34"/>
        <v>464.08921044376882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66.978933048969751</v>
      </c>
      <c r="AA46" s="21">
        <f>EXP(-LN(2)/25)*AA45+(1-EXP(-LN(2)/25))/(LN(2)/25)*Calculateur!V46*Calculateur!X46*VLOOKUP('Données projet'!$B$9,Paramètres!$A$1:$I$89,3,0)*0.475*44/12</f>
        <v>35.26698033995681</v>
      </c>
      <c r="AB46" s="21">
        <f>EXP(-LN(2)/2)*AB45+(1-EXP(-LN(2)/2))/(LN(2)/2)*V46*Y46*VLOOKUP('Données projet'!$B$9,Paramètres!$A$1:$I$89,3,0)*0.475*44/12</f>
        <v>8.1750441193664432E-3</v>
      </c>
      <c r="AC46" s="22">
        <f t="shared" si="3"/>
        <v>102.25408843304594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</v>
      </c>
      <c r="AI46" s="13">
        <f>IF('Données projet'!$A$62&gt;35,AI45+AH46-AQ45,IF(A46&lt;'Données projet'!$A$62,$AF$205^A46,IF(A46='Données projet'!$A$62,'Données projet'!$B$62,AI45+AH46-AQ45)))</f>
        <v>166.00000000000009</v>
      </c>
      <c r="AJ46" s="13">
        <f>AI46*VLOOKUP('Données projet'!$B$10,Paramètres!$A$1:$I$89,3,0)*VLOOKUP('Données projet'!$B$10,Paramètres!$A$1:$I$89,5,0)</f>
        <v>145.01760000000007</v>
      </c>
      <c r="AK46" s="13">
        <f t="shared" si="35"/>
        <v>37.444100932065268</v>
      </c>
      <c r="AL46" s="20">
        <f t="shared" si="4"/>
        <v>317.78746245668049</v>
      </c>
      <c r="AM46" s="59">
        <f t="shared" si="5"/>
        <v>611.12079579001374</v>
      </c>
      <c r="AN46" s="59">
        <f ca="1">AVERAGE(OFFSET($AM$3,0,0,'Données projet'!$E$10+1,1))-AVERAGE(OFFSET($H$3,0,0,'Données projet'!$E$10+1,1))</f>
        <v>242.48830542479988</v>
      </c>
      <c r="AO46" s="59">
        <f t="shared" si="36"/>
        <v>226.11219631227061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17.506367847093884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17.506367847093884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8.1474908424908428</v>
      </c>
      <c r="BD46" s="12">
        <f>IF('Données projet'!$A$88&gt;35,BD45+BC46-BL45,IF(A46&lt;'Données projet'!$A$88,$BA$205^A46,IF(A46='Données projet'!$A$88,'Données projet'!$B$88,BD45+BC46-BL45)))</f>
        <v>193.62250915750911</v>
      </c>
      <c r="BE46" s="13">
        <f>BD46*VLOOKUP('Données projet'!$B$11,Paramètres!$A$1:$I$89,3,0)*VLOOKUP('Données projet'!$B$11,Paramètres!$A$1:$I$89,5,0)</f>
        <v>196.33322428571427</v>
      </c>
      <c r="BF46" s="13">
        <f t="shared" si="37"/>
        <v>48.937455617936521</v>
      </c>
      <c r="BG46" s="20">
        <f t="shared" si="7"/>
        <v>427.17976749885844</v>
      </c>
      <c r="BH46" s="59">
        <f t="shared" si="8"/>
        <v>720.51310083219175</v>
      </c>
      <c r="BI46" s="59">
        <f ca="1">AVERAGE(OFFSET($BH$3,0,0,'Données projet'!$E$11+1,1))-AVERAGE(OFFSET($H$3,0,0,'Données projet'!$E$11+1,1))</f>
        <v>402.5435069258703</v>
      </c>
      <c r="BJ46" s="59">
        <f t="shared" si="38"/>
        <v>163.60655195816349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8.1474908424908428</v>
      </c>
      <c r="BY46" s="12">
        <f>IF('Données projet'!$A$114&gt;35,BY45+BX46-CG45,IF(A46&lt;'Données projet'!$A$114,$BV$205^A46,IF(A46='Données projet'!$A$114,'Données projet'!$B$114,BY45+BX46-CG45)))</f>
        <v>193.62250915750911</v>
      </c>
      <c r="BZ46" s="13">
        <f>BY46*VLOOKUP('Données projet'!$B$12,Paramètres!$A$1:$I$89,3,0)*VLOOKUP('Données projet'!$B$12,Paramètres!$A$1:$I$89,5,0)</f>
        <v>175.18964628571425</v>
      </c>
      <c r="CA46" s="13">
        <f t="shared" si="39"/>
        <v>44.250289742095497</v>
      </c>
      <c r="CB46" s="20">
        <f t="shared" si="10"/>
        <v>382.19122191510195</v>
      </c>
      <c r="CC46" s="59">
        <f t="shared" si="11"/>
        <v>675.52455524843526</v>
      </c>
      <c r="CD46" s="59">
        <f ca="1">AVERAGE(OFFSET($CC$3,0,0,'Données projet'!$E$12+1,1))-AVERAGE(OFFSET($H$3,0,0,'Données projet'!$E$12+1,1))</f>
        <v>350.91577977538822</v>
      </c>
      <c r="CE46" s="59">
        <f t="shared" si="40"/>
        <v>142.87103313412547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8.1999999999999993</v>
      </c>
      <c r="CT46" s="12">
        <f>IF('Données projet'!$A$140&gt;35,CT45+CS46-DB45,IF(A46&lt;'Données projet'!$A$140,$CQ$205^A46,IF(A46='Données projet'!$A$140,'Données projet'!$B$140,CT45+CS46-DB45)))</f>
        <v>188.59999999999997</v>
      </c>
      <c r="CU46" s="17">
        <f>CT46*VLOOKUP('Données projet'!$B$13,Paramètres!$A$1:$I$89,3,0)*VLOOKUP('Données projet'!$B$13,Paramètres!$A$1:$I$89,5,0)</f>
        <v>152.99231999999998</v>
      </c>
      <c r="CV46" s="13">
        <f t="shared" si="41"/>
        <v>39.257817366656973</v>
      </c>
      <c r="CW46" s="20">
        <f t="shared" si="13"/>
        <v>334.83565591359422</v>
      </c>
      <c r="CX46" s="59">
        <f t="shared" si="14"/>
        <v>628.16898924692759</v>
      </c>
      <c r="CY46" s="59">
        <f ca="1">AVERAGE(OFFSET($CX$3,0,0,'Données projet'!$E$13+1,1))-AVERAGE(OFFSET($H$3,0,0,'Données projet'!$E$13+1,1))</f>
        <v>230.38929580146208</v>
      </c>
      <c r="CZ46" s="59">
        <f t="shared" si="42"/>
        <v>227.1847788696258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23.898261508058038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23.898261508058038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9.2360000000000007</v>
      </c>
      <c r="DO46" s="12">
        <f>IF('Données projet'!$A$166&gt;35,DO45+DN46-DW45,IF(A46&lt;'Données projet'!$A$166,$DL$205^A46,IF(A46='Données projet'!$A$166,'Données projet'!$B$166,DO45+DN46-DW45)))</f>
        <v>186.13799999999998</v>
      </c>
      <c r="DP46" s="17">
        <f>DO46*VLOOKUP('Données projet'!$B$14,Paramètres!$A$1:$I$89,3,0)*VLOOKUP('Données projet'!$B$14,Paramètres!$A$1:$I$89,5,0)</f>
        <v>111.31052399999999</v>
      </c>
      <c r="DQ46" s="13">
        <f t="shared" si="43"/>
        <v>29.639541095262086</v>
      </c>
      <c r="DR46" s="20">
        <f t="shared" si="16"/>
        <v>245.48803004091474</v>
      </c>
      <c r="DS46" s="59">
        <f t="shared" si="17"/>
        <v>538.82136337424799</v>
      </c>
      <c r="DT46" s="59">
        <f ca="1">AVERAGE(OFFSET($DS$3,0,0,'Données projet'!$E$14+1,1))-AVERAGE(OFFSET($H$3,0,0,'Données projet'!$E$14+1,1))</f>
        <v>145.97103392561058</v>
      </c>
      <c r="DU46" s="59">
        <f t="shared" si="44"/>
        <v>62.920713953681172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27.100000000000005</v>
      </c>
      <c r="N47" s="13">
        <f>IF('Données projet'!$A$36&gt;35,N46+M47-V46,IF(A47&lt;'Données projet'!$A$36,$K$205^A47,IF(A47='Données projet'!$A$36,'Données projet'!$B$36,N46+M47-V46)))</f>
        <v>547.32000000000005</v>
      </c>
      <c r="O47" s="13">
        <f>N47*VLOOKUP('Données projet'!$B$9,Paramètres!$A$1:$I$89,3,0)*VLOOKUP('Données projet'!$B$9,Paramètres!$A$1:$I$89,5,0)</f>
        <v>305.95188000000007</v>
      </c>
      <c r="P47" s="13">
        <f t="shared" si="33"/>
        <v>72.422775940029837</v>
      </c>
      <c r="Q47" s="20">
        <f t="shared" si="53"/>
        <v>659.00252576221885</v>
      </c>
      <c r="R47" s="59">
        <f t="shared" si="0"/>
        <v>952.33585909555222</v>
      </c>
      <c r="S47" s="59">
        <f ca="1">AVERAGE(OFFSET($R$3,0,0,'Données projet'!$E$9+1,1))-AVERAGE(OFFSET($H$3,0,0,'Données projet'!$E$9+1,1))</f>
        <v>350.01600895263641</v>
      </c>
      <c r="T47" s="59">
        <f t="shared" si="34"/>
        <v>464.08921044376882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65.665517024994699</v>
      </c>
      <c r="AA47" s="21">
        <f>EXP(-LN(2)/25)*AA46+(1-EXP(-LN(2)/25))/(LN(2)/25)*Calculateur!V47*Calculateur!X47*VLOOKUP('Données projet'!$B$9,Paramètres!$A$1:$I$89,3,0)*0.475*44/12</f>
        <v>34.302602907950799</v>
      </c>
      <c r="AB47" s="21">
        <f>EXP(-LN(2)/2)*AB46+(1-EXP(-LN(2)/2))/(LN(2)/2)*V47*Y47*VLOOKUP('Données projet'!$B$9,Paramètres!$A$1:$I$89,3,0)*0.475*44/12</f>
        <v>5.7806291333032198E-3</v>
      </c>
      <c r="AC47" s="22">
        <f t="shared" si="3"/>
        <v>99.973900562078796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</v>
      </c>
      <c r="AI47" s="13">
        <f>IF('Données projet'!$A$62&gt;35,AI46+AH47-AQ46,IF(A47&lt;'Données projet'!$A$62,$AF$205^A47,IF(A47='Données projet'!$A$62,'Données projet'!$B$62,AI46+AH47-AQ46)))</f>
        <v>173.00000000000009</v>
      </c>
      <c r="AJ47" s="13">
        <f>AI47*VLOOKUP('Données projet'!$B$10,Paramètres!$A$1:$I$89,3,0)*VLOOKUP('Données projet'!$B$10,Paramètres!$A$1:$I$89,5,0)</f>
        <v>151.13280000000009</v>
      </c>
      <c r="AK47" s="13">
        <f t="shared" si="35"/>
        <v>38.835905653934461</v>
      </c>
      <c r="AL47" s="20">
        <f t="shared" si="4"/>
        <v>330.8621623472693</v>
      </c>
      <c r="AM47" s="59">
        <f t="shared" si="5"/>
        <v>624.19549568060256</v>
      </c>
      <c r="AN47" s="59">
        <f ca="1">AVERAGE(OFFSET($AM$3,0,0,'Données projet'!$E$10+1,1))-AVERAGE(OFFSET($H$3,0,0,'Données projet'!$E$10+1,1))</f>
        <v>242.48830542479988</v>
      </c>
      <c r="AO47" s="59">
        <f t="shared" si="36"/>
        <v>226.11219631227061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17.163078651442412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17.163078651442412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201.77</v>
      </c>
      <c r="BB47" s="12">
        <f>VLOOKUP(A47,'Données projet'!$A$87:$I$107,9,0)</f>
        <v>8.1474908424908428</v>
      </c>
      <c r="BC47" s="12">
        <f t="array" ref="BC47">INDEX(BB:BB,MIN(IF(ISNUMBER(BB47:BB243),ROW(BB47:BB243),"")))</f>
        <v>8.1474908424908428</v>
      </c>
      <c r="BD47" s="12">
        <f>IF('Données projet'!$A$88&gt;35,BD46+BC47-BL46,IF(A47&lt;'Données projet'!$A$88,$BA$205^A47,IF(A47='Données projet'!$A$88,'Données projet'!$B$88,BD46+BC47-BL46)))</f>
        <v>201.76999999999995</v>
      </c>
      <c r="BE47" s="13">
        <f>BD47*VLOOKUP('Données projet'!$B$11,Paramètres!$A$1:$I$89,3,0)*VLOOKUP('Données projet'!$B$11,Paramètres!$A$1:$I$89,5,0)</f>
        <v>204.59477999999996</v>
      </c>
      <c r="BF47" s="13">
        <f t="shared" si="37"/>
        <v>50.752622528241282</v>
      </c>
      <c r="BG47" s="20">
        <f t="shared" si="7"/>
        <v>444.73005940335355</v>
      </c>
      <c r="BH47" s="59">
        <f t="shared" si="8"/>
        <v>738.06339273668686</v>
      </c>
      <c r="BI47" s="59">
        <f ca="1">AVERAGE(OFFSET($BH$3,0,0,'Données projet'!$E$11+1,1))-AVERAGE(OFFSET($H$3,0,0,'Données projet'!$E$11+1,1))</f>
        <v>402.5435069258703</v>
      </c>
      <c r="BJ47" s="59">
        <f t="shared" si="38"/>
        <v>163.60655195816349</v>
      </c>
      <c r="BK47" s="15">
        <f>IF(ISNA(VLOOKUP(A47,'Données projet'!$A$87:$I$107,3,0)),0,VLOOKUP(A47,'Données projet'!$A$87:$I$107,3,0))</f>
        <v>1</v>
      </c>
      <c r="BL47" s="15">
        <f>IF(ISNA(VLOOKUP(A47,'Données projet'!$A$87:$I$107,4,0)),0,VLOOKUP(A47,'Données projet'!$A$87:$I$107,4,0))</f>
        <v>74.010000000000005</v>
      </c>
      <c r="BM47" s="16">
        <f>IF(ISNA(VLOOKUP(A47,'Données projet'!$A$87:$I$107,5,0)),0%,VLOOKUP(A47,'Données projet'!$A$87:$I$107,5,0)*VLOOKUP('Données projet'!$B$11,Paramètres!$A$1:$I$89,7,0))</f>
        <v>0.43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35.673352493361655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35.673352493361655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>
        <f>VLOOKUP(A47,'Données projet'!$A$113:$I$133,2,0)</f>
        <v>201.77</v>
      </c>
      <c r="BW47" s="12">
        <f>VLOOKUP(A47,'Données projet'!$A$113:$I$133,9,0)</f>
        <v>8.1474908424908428</v>
      </c>
      <c r="BX47" s="12">
        <f t="array" ref="BX47">INDEX(BW:BW,MIN(IF(ISNUMBER(BW47:BW243),ROW(BW47:BW243),"")))</f>
        <v>8.1474908424908428</v>
      </c>
      <c r="BY47" s="12">
        <f>IF('Données projet'!$A$114&gt;35,BY46+BX47-CG46,IF(A47&lt;'Données projet'!$A$114,$BV$205^A47,IF(A47='Données projet'!$A$114,'Données projet'!$B$114,BY46+BX47-CG46)))</f>
        <v>201.76999999999995</v>
      </c>
      <c r="BZ47" s="13">
        <f>BY47*VLOOKUP('Données projet'!$B$12,Paramètres!$A$1:$I$89,3,0)*VLOOKUP('Données projet'!$B$12,Paramètres!$A$1:$I$89,5,0)</f>
        <v>182.56149599999995</v>
      </c>
      <c r="CA47" s="13">
        <f t="shared" si="39"/>
        <v>45.891602325617072</v>
      </c>
      <c r="CB47" s="20">
        <f t="shared" si="10"/>
        <v>397.88914625044964</v>
      </c>
      <c r="CC47" s="59">
        <f t="shared" si="11"/>
        <v>691.22247958378296</v>
      </c>
      <c r="CD47" s="59">
        <f ca="1">AVERAGE(OFFSET($CC$3,0,0,'Données projet'!$E$12+1,1))-AVERAGE(OFFSET($H$3,0,0,'Données projet'!$E$12+1,1))</f>
        <v>350.91577977538822</v>
      </c>
      <c r="CE47" s="59">
        <f t="shared" si="40"/>
        <v>142.87103313412547</v>
      </c>
      <c r="CF47" s="15">
        <f>IF(ISNA(VLOOKUP(A47,'Données projet'!$A$113:$I$133,3,0)),0,VLOOKUP(A47,'Données projet'!$A$113:$I$133,3,0))</f>
        <v>1</v>
      </c>
      <c r="CG47" s="15">
        <f>IF(ISNA(VLOOKUP(A47,'Données projet'!$A$113:$I$133,4,0)),0,VLOOKUP(A47,'Données projet'!$A$113:$I$133,4,0))</f>
        <v>74.010000000000005</v>
      </c>
      <c r="CH47" s="16">
        <f>IF(ISNA(VLOOKUP(A47,'Données projet'!$A$113:$I$133,5,0)),0%,VLOOKUP(A47,'Données projet'!$A$113:$I$133,5,0)*VLOOKUP('Données projet'!$B$12,Paramètres!$A$1:$I$89,7,0))</f>
        <v>0.43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31.831606840230396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31.831606840230396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8.1999999999999993</v>
      </c>
      <c r="CT47" s="12">
        <f>IF('Données projet'!$A$140&gt;35,CT46+CS47-DB46,IF(A47&lt;'Données projet'!$A$140,$CQ$205^A47,IF(A47='Données projet'!$A$140,'Données projet'!$B$140,CT46+CS47-DB46)))</f>
        <v>196.79999999999995</v>
      </c>
      <c r="CU47" s="17">
        <f>CT47*VLOOKUP('Données projet'!$B$13,Paramètres!$A$1:$I$89,3,0)*VLOOKUP('Données projet'!$B$13,Paramètres!$A$1:$I$89,5,0)</f>
        <v>159.64415999999997</v>
      </c>
      <c r="CV47" s="13">
        <f t="shared" si="41"/>
        <v>40.762244304130796</v>
      </c>
      <c r="CW47" s="20">
        <f t="shared" si="13"/>
        <v>349.04115416302778</v>
      </c>
      <c r="CX47" s="59">
        <f t="shared" si="14"/>
        <v>642.3744874963611</v>
      </c>
      <c r="CY47" s="59">
        <f ca="1">AVERAGE(OFFSET($CX$3,0,0,'Données projet'!$E$13+1,1))-AVERAGE(OFFSET($H$3,0,0,'Données projet'!$E$13+1,1))</f>
        <v>230.38929580146208</v>
      </c>
      <c r="CZ47" s="59">
        <f t="shared" si="42"/>
        <v>227.1847788696258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23.429631176385229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23.429631176385229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9.2360000000000007</v>
      </c>
      <c r="DO47" s="12">
        <f>IF('Données projet'!$A$166&gt;35,DO46+DN47-DW46,IF(A47&lt;'Données projet'!$A$166,$DL$205^A47,IF(A47='Données projet'!$A$166,'Données projet'!$B$166,DO46+DN47-DW46)))</f>
        <v>195.37399999999997</v>
      </c>
      <c r="DP47" s="17">
        <f>DO47*VLOOKUP('Données projet'!$B$14,Paramètres!$A$1:$I$89,3,0)*VLOOKUP('Données projet'!$B$14,Paramètres!$A$1:$I$89,5,0)</f>
        <v>116.83365199999999</v>
      </c>
      <c r="DQ47" s="13">
        <f t="shared" si="43"/>
        <v>30.935355229726554</v>
      </c>
      <c r="DR47" s="20">
        <f t="shared" si="16"/>
        <v>257.36435425844041</v>
      </c>
      <c r="DS47" s="59">
        <f t="shared" si="17"/>
        <v>550.69768759177373</v>
      </c>
      <c r="DT47" s="59">
        <f ca="1">AVERAGE(OFFSET($DS$3,0,0,'Données projet'!$E$14+1,1))-AVERAGE(OFFSET($H$3,0,0,'Données projet'!$E$14+1,1))</f>
        <v>145.97103392561058</v>
      </c>
      <c r="DU47" s="59">
        <f t="shared" si="44"/>
        <v>62.920713953681172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27.100000000000005</v>
      </c>
      <c r="N48" s="13">
        <f>IF('Données projet'!$A$36&gt;35,N47+M48-V47,IF(A48&lt;'Données projet'!$A$36,$K$205^A48,IF(A48='Données projet'!$A$36,'Données projet'!$B$36,N47+M48-V47)))</f>
        <v>574.42000000000007</v>
      </c>
      <c r="O48" s="13">
        <f>N48*VLOOKUP('Données projet'!$B$9,Paramètres!$A$1:$I$89,3,0)*VLOOKUP('Données projet'!$B$9,Paramètres!$A$1:$I$89,5,0)</f>
        <v>321.10078000000004</v>
      </c>
      <c r="P48" s="13">
        <f t="shared" si="33"/>
        <v>75.582346553628341</v>
      </c>
      <c r="Q48" s="20">
        <f t="shared" si="53"/>
        <v>690.88977874756938</v>
      </c>
      <c r="R48" s="59">
        <f t="shared" si="0"/>
        <v>984.22311208090264</v>
      </c>
      <c r="S48" s="59">
        <f ca="1">AVERAGE(OFFSET($R$3,0,0,'Données projet'!$E$9+1,1))-AVERAGE(OFFSET($H$3,0,0,'Données projet'!$E$9+1,1))</f>
        <v>350.01600895263641</v>
      </c>
      <c r="T48" s="59">
        <f t="shared" si="34"/>
        <v>464.08921044376882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64.377856288145125</v>
      </c>
      <c r="AA48" s="21">
        <f>EXP(-LN(2)/25)*AA47+(1-EXP(-LN(2)/25))/(LN(2)/25)*Calculateur!V48*Calculateur!X48*VLOOKUP('Données projet'!$B$9,Paramètres!$A$1:$I$89,3,0)*0.475*44/12</f>
        <v>33.3645964275374</v>
      </c>
      <c r="AB48" s="21">
        <f>EXP(-LN(2)/2)*AB47+(1-EXP(-LN(2)/2))/(LN(2)/2)*V48*Y48*VLOOKUP('Données projet'!$B$9,Paramètres!$A$1:$I$89,3,0)*0.475*44/12</f>
        <v>4.0875220596832216E-3</v>
      </c>
      <c r="AC48" s="22">
        <f t="shared" si="3"/>
        <v>97.746540237742209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180</v>
      </c>
      <c r="AG48" s="12">
        <f>VLOOKUP(A48,'Données projet'!$A$61:$I$81,9,0)</f>
        <v>7</v>
      </c>
      <c r="AH48" s="12">
        <f t="array" ref="AH48">INDEX(AG:AG,MIN(IF(ISNUMBER(AG48:AG244),ROW(AG48:AG244),"")))</f>
        <v>7</v>
      </c>
      <c r="AI48" s="13">
        <f>IF('Données projet'!$A$62&gt;35,AI47+AH48-AQ47,IF(A48&lt;'Données projet'!$A$62,$AF$205^A48,IF(A48='Données projet'!$A$62,'Données projet'!$B$62,AI47+AH48-AQ47)))</f>
        <v>180.00000000000009</v>
      </c>
      <c r="AJ48" s="13">
        <f>AI48*VLOOKUP('Données projet'!$B$10,Paramètres!$A$1:$I$89,3,0)*VLOOKUP('Données projet'!$B$10,Paramètres!$A$1:$I$89,5,0)</f>
        <v>157.24800000000008</v>
      </c>
      <c r="AK48" s="13">
        <f t="shared" si="35"/>
        <v>40.221168744348645</v>
      </c>
      <c r="AL48" s="20">
        <f t="shared" si="4"/>
        <v>343.92546889640738</v>
      </c>
      <c r="AM48" s="59">
        <f t="shared" si="5"/>
        <v>637.2588022297407</v>
      </c>
      <c r="AN48" s="59">
        <f ca="1">AVERAGE(OFFSET($AM$3,0,0,'Données projet'!$E$10+1,1))-AVERAGE(OFFSET($H$3,0,0,'Données projet'!$E$10+1,1))</f>
        <v>242.48830542479988</v>
      </c>
      <c r="AO48" s="59">
        <f t="shared" si="36"/>
        <v>226.11219631227061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22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25.962411364409395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25.962411364409395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9.2985714285714263</v>
      </c>
      <c r="BD48" s="12">
        <f>IF('Données projet'!$A$88&gt;35,BD47+BC48-BL47,IF(A48&lt;'Données projet'!$A$88,$BA$205^A48,IF(A48='Données projet'!$A$88,'Données projet'!$B$88,BD47+BC48-BL47)))</f>
        <v>137.05857142857138</v>
      </c>
      <c r="BE48" s="13">
        <f>BD48*VLOOKUP('Données projet'!$B$11,Paramètres!$A$1:$I$89,3,0)*VLOOKUP('Données projet'!$B$11,Paramètres!$A$1:$I$89,5,0)</f>
        <v>138.97739142857139</v>
      </c>
      <c r="BF48" s="13">
        <f t="shared" si="37"/>
        <v>36.062640370274558</v>
      </c>
      <c r="BG48" s="20">
        <f t="shared" si="7"/>
        <v>304.86138871632335</v>
      </c>
      <c r="BH48" s="59">
        <f t="shared" si="8"/>
        <v>598.19472204965666</v>
      </c>
      <c r="BI48" s="59">
        <f ca="1">AVERAGE(OFFSET($BH$3,0,0,'Données projet'!$E$11+1,1))-AVERAGE(OFFSET($H$3,0,0,'Données projet'!$E$11+1,1))</f>
        <v>402.5435069258703</v>
      </c>
      <c r="BJ48" s="59">
        <f t="shared" si="38"/>
        <v>163.60655195816349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34.973819809563373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34.973819809563373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9.2985714285714263</v>
      </c>
      <c r="BY48" s="12">
        <f>IF('Données projet'!$A$114&gt;35,BY47+BX48-CG47,IF(A48&lt;'Données projet'!$A$114,$BV$205^A48,IF(A48='Données projet'!$A$114,'Données projet'!$B$114,BY47+BX48-CG47)))</f>
        <v>137.05857142857138</v>
      </c>
      <c r="BZ48" s="13">
        <f>BY48*VLOOKUP('Données projet'!$B$12,Paramètres!$A$1:$I$89,3,0)*VLOOKUP('Données projet'!$B$12,Paramètres!$A$1:$I$89,5,0)</f>
        <v>124.01059542857139</v>
      </c>
      <c r="CA48" s="13">
        <f t="shared" si="39"/>
        <v>32.608607560397033</v>
      </c>
      <c r="CB48" s="20">
        <f t="shared" si="10"/>
        <v>272.77844520578668</v>
      </c>
      <c r="CC48" s="59">
        <f t="shared" si="11"/>
        <v>566.11177853912</v>
      </c>
      <c r="CD48" s="59">
        <f ca="1">AVERAGE(OFFSET($CC$3,0,0,'Données projet'!$E$12+1,1))-AVERAGE(OFFSET($H$3,0,0,'Données projet'!$E$12+1,1))</f>
        <v>350.91577977538822</v>
      </c>
      <c r="CE48" s="59">
        <f t="shared" si="40"/>
        <v>142.87103313412547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31.207408445456544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31.207408445456544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205</v>
      </c>
      <c r="CR48" s="12">
        <f>VLOOKUP(A48,'Données projet'!$A$139:$I$159,9,0)</f>
        <v>8.1999999999999993</v>
      </c>
      <c r="CS48" s="12">
        <f t="array" ref="CS48">INDEX(CR:CR,MIN(IF(ISNUMBER(CR48:CR244),ROW(CR48:CR244),"")))</f>
        <v>8.1999999999999993</v>
      </c>
      <c r="CT48" s="12">
        <f>IF('Données projet'!$A$140&gt;35,CT47+CS48-DB47,IF(A48&lt;'Données projet'!$A$140,$CQ$205^A48,IF(A48='Données projet'!$A$140,'Données projet'!$B$140,CT47+CS48-DB47)))</f>
        <v>204.99999999999994</v>
      </c>
      <c r="CU48" s="17">
        <f>CT48*VLOOKUP('Données projet'!$B$13,Paramètres!$A$1:$I$89,3,0)*VLOOKUP('Données projet'!$B$13,Paramètres!$A$1:$I$89,5,0)</f>
        <v>166.29599999999996</v>
      </c>
      <c r="CV48" s="13">
        <f t="shared" si="41"/>
        <v>42.259390211399776</v>
      </c>
      <c r="CW48" s="20">
        <f t="shared" si="13"/>
        <v>363.23397128485459</v>
      </c>
      <c r="CX48" s="59">
        <f t="shared" si="14"/>
        <v>656.5673046181879</v>
      </c>
      <c r="CY48" s="59">
        <f ca="1">AVERAGE(OFFSET($CX$3,0,0,'Données projet'!$E$13+1,1))-AVERAGE(OFFSET($H$3,0,0,'Données projet'!$E$13+1,1))</f>
        <v>230.38929580146208</v>
      </c>
      <c r="CZ48" s="59">
        <f t="shared" si="42"/>
        <v>227.1847788696258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22</v>
      </c>
      <c r="DC48" s="16">
        <f>IF(ISNA(VLOOKUP(A48,'Données projet'!$A$139:$I$159,5,0)),0%,VLOOKUP(A48,'Données projet'!$A$139:$I$159,5,0)*VLOOKUP('Données projet'!$B$13,Paramètres!$A$1:$I$89,7,0))</f>
        <v>0.53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33.426383687767569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33.426383687767569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204.61</v>
      </c>
      <c r="DM48" s="12">
        <f>VLOOKUP(A48,'Données projet'!$A$165:$I$185,9,0)</f>
        <v>9.2360000000000007</v>
      </c>
      <c r="DN48" s="12">
        <f t="array" ref="DN48">INDEX(DM:DM,MIN(IF(ISNUMBER(DM48:DM244),ROW(DM48:DM244),"")))</f>
        <v>9.2360000000000007</v>
      </c>
      <c r="DO48" s="12">
        <f>IF('Données projet'!$A$166&gt;35,DO47+DN48-DW47,IF(A48&lt;'Données projet'!$A$166,$DL$205^A48,IF(A48='Données projet'!$A$166,'Données projet'!$B$166,DO47+DN48-DW47)))</f>
        <v>204.60999999999996</v>
      </c>
      <c r="DP48" s="17">
        <f>DO48*VLOOKUP('Données projet'!$B$14,Paramètres!$A$1:$I$89,3,0)*VLOOKUP('Données projet'!$B$14,Paramètres!$A$1:$I$89,5,0)</f>
        <v>122.35677999999999</v>
      </c>
      <c r="DQ48" s="13">
        <f t="shared" si="43"/>
        <v>32.224055765758841</v>
      </c>
      <c r="DR48" s="20">
        <f t="shared" si="16"/>
        <v>269.22828895869657</v>
      </c>
      <c r="DS48" s="59">
        <f t="shared" si="17"/>
        <v>562.56162229202982</v>
      </c>
      <c r="DT48" s="59">
        <f ca="1">AVERAGE(OFFSET($DS$3,0,0,'Données projet'!$E$14+1,1))-AVERAGE(OFFSET($H$3,0,0,'Données projet'!$E$14+1,1))</f>
        <v>145.97103392561058</v>
      </c>
      <c r="DU48" s="59">
        <f t="shared" si="44"/>
        <v>62.920713953681172</v>
      </c>
      <c r="DV48" s="15">
        <f>IF(ISNA(VLOOKUP(A48,'Données projet'!$A$165:$I$185,3,0)),0,VLOOKUP(A48,'Données projet'!$A$165:$I$185,3,0))</f>
        <v>1</v>
      </c>
      <c r="DW48" s="15">
        <f>IF(ISNA(VLOOKUP(A48,'Données projet'!$A$165:$I$185,4,0)),0,VLOOKUP(A48,'Données projet'!$A$165:$I$185,4,0))</f>
        <v>73.989999999999995</v>
      </c>
      <c r="DX48" s="16">
        <f>IF(ISNA(VLOOKUP(A48,'Données projet'!$A$165:$I$185,5,0)),0%,VLOOKUP(A48,'Données projet'!$A$165:$I$185,5,0)*VLOOKUP('Données projet'!$B$14,Paramètres!$A$1:$I$89,7,0))</f>
        <v>0.45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26.412838842000152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26.412838842000152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27.100000000000005</v>
      </c>
      <c r="N49" s="13">
        <f>IF('Données projet'!$A$36&gt;35,N48+M49-V48,IF(A49&lt;'Données projet'!$A$36,$K$205^A49,IF(A49='Données projet'!$A$36,'Données projet'!$B$36,N48+M49-V48)))</f>
        <v>601.5200000000001</v>
      </c>
      <c r="O49" s="13">
        <f>N49*VLOOKUP('Données projet'!$B$9,Paramètres!$A$1:$I$89,3,0)*VLOOKUP('Données projet'!$B$9,Paramètres!$A$1:$I$89,5,0)</f>
        <v>336.24968000000007</v>
      </c>
      <c r="P49" s="13">
        <f t="shared" si="33"/>
        <v>78.724607090157278</v>
      </c>
      <c r="Q49" s="20">
        <f t="shared" si="53"/>
        <v>722.74688334869063</v>
      </c>
      <c r="R49" s="59">
        <f t="shared" si="0"/>
        <v>1016.080216682024</v>
      </c>
      <c r="S49" s="59">
        <f ca="1">AVERAGE(OFFSET($R$3,0,0,'Données projet'!$E$9+1,1))-AVERAGE(OFFSET($H$3,0,0,'Données projet'!$E$9+1,1))</f>
        <v>350.01600895263641</v>
      </c>
      <c r="T49" s="59">
        <f t="shared" si="34"/>
        <v>464.08921044376882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63.115445792949679</v>
      </c>
      <c r="AA49" s="21">
        <f>EXP(-LN(2)/25)*AA48+(1-EXP(-LN(2)/25))/(LN(2)/25)*Calculateur!V49*Calculateur!X49*VLOOKUP('Données projet'!$B$9,Paramètres!$A$1:$I$89,3,0)*0.475*44/12</f>
        <v>32.45223978365852</v>
      </c>
      <c r="AB49" s="21">
        <f>EXP(-LN(2)/2)*AB48+(1-EXP(-LN(2)/2))/(LN(2)/2)*V49*Y49*VLOOKUP('Données projet'!$B$9,Paramètres!$A$1:$I$89,3,0)*0.475*44/12</f>
        <v>2.8903145666516099E-3</v>
      </c>
      <c r="AC49" s="22">
        <f t="shared" si="3"/>
        <v>95.570575891174855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6.6</v>
      </c>
      <c r="AI49" s="13">
        <f>IF('Données projet'!$A$62&gt;35,AI48+AH49-AQ48,IF(A49&lt;'Données projet'!$A$62,$AF$205^A49,IF(A49='Données projet'!$A$62,'Données projet'!$B$62,AI48+AH49-AQ48)))</f>
        <v>164.60000000000008</v>
      </c>
      <c r="AJ49" s="13">
        <f>AI49*VLOOKUP('Données projet'!$B$10,Paramètres!$A$1:$I$89,3,0)*VLOOKUP('Données projet'!$B$10,Paramètres!$A$1:$I$89,5,0)</f>
        <v>143.7945600000001</v>
      </c>
      <c r="AK49" s="13">
        <f t="shared" si="35"/>
        <v>37.164928293001893</v>
      </c>
      <c r="AL49" s="20">
        <f t="shared" si="4"/>
        <v>315.17110877697843</v>
      </c>
      <c r="AM49" s="59">
        <f t="shared" si="5"/>
        <v>608.50444211031174</v>
      </c>
      <c r="AN49" s="59">
        <f ca="1">AVERAGE(OFFSET($AM$3,0,0,'Données projet'!$E$10+1,1))-AVERAGE(OFFSET($H$3,0,0,'Données projet'!$E$10+1,1))</f>
        <v>242.48830542479988</v>
      </c>
      <c r="AO49" s="59">
        <f t="shared" si="36"/>
        <v>226.11219631227061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25.453304313060631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25.453304313060631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9.2985714285714263</v>
      </c>
      <c r="BD49" s="12">
        <f>IF('Données projet'!$A$88&gt;35,BD48+BC49-BL48,IF(A49&lt;'Données projet'!$A$88,$BA$205^A49,IF(A49='Données projet'!$A$88,'Données projet'!$B$88,BD48+BC49-BL48)))</f>
        <v>146.3571428571428</v>
      </c>
      <c r="BE49" s="13">
        <f>BD49*VLOOKUP('Données projet'!$B$11,Paramètres!$A$1:$I$89,3,0)*VLOOKUP('Données projet'!$B$11,Paramètres!$A$1:$I$89,5,0)</f>
        <v>148.40614285714281</v>
      </c>
      <c r="BF49" s="13">
        <f t="shared" si="37"/>
        <v>38.216150978549187</v>
      </c>
      <c r="BG49" s="20">
        <f t="shared" si="7"/>
        <v>325.03382843049684</v>
      </c>
      <c r="BH49" s="59">
        <f t="shared" si="8"/>
        <v>618.36716176383015</v>
      </c>
      <c r="BI49" s="59">
        <f ca="1">AVERAGE(OFFSET($BH$3,0,0,'Données projet'!$E$11+1,1))-AVERAGE(OFFSET($H$3,0,0,'Données projet'!$E$11+1,1))</f>
        <v>402.5435069258703</v>
      </c>
      <c r="BJ49" s="59">
        <f t="shared" si="38"/>
        <v>163.60655195816349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34.288004535021564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34.288004535021564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9.2985714285714263</v>
      </c>
      <c r="BY49" s="12">
        <f>IF('Données projet'!$A$114&gt;35,BY48+BX49-CG48,IF(A49&lt;'Données projet'!$A$114,$BV$205^A49,IF(A49='Données projet'!$A$114,'Données projet'!$B$114,BY48+BX49-CG48)))</f>
        <v>146.3571428571428</v>
      </c>
      <c r="BZ49" s="13">
        <f>BY49*VLOOKUP('Données projet'!$B$12,Paramètres!$A$1:$I$89,3,0)*VLOOKUP('Données projet'!$B$12,Paramètres!$A$1:$I$89,5,0)</f>
        <v>132.4239428571428</v>
      </c>
      <c r="CA49" s="13">
        <f t="shared" si="39"/>
        <v>34.555857722375251</v>
      </c>
      <c r="CB49" s="20">
        <f t="shared" si="10"/>
        <v>290.82315267599387</v>
      </c>
      <c r="CC49" s="59">
        <f t="shared" si="11"/>
        <v>584.15648600932718</v>
      </c>
      <c r="CD49" s="59">
        <f ca="1">AVERAGE(OFFSET($CC$3,0,0,'Données projet'!$E$12+1,1))-AVERAGE(OFFSET($H$3,0,0,'Données projet'!$E$12+1,1))</f>
        <v>350.91577977538822</v>
      </c>
      <c r="CE49" s="59">
        <f t="shared" si="40"/>
        <v>142.87103313412547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30.595450200480776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30.595450200480776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7.2</v>
      </c>
      <c r="CT49" s="12">
        <f>IF('Données projet'!$A$140&gt;35,CT48+CS49-DB48,IF(A49&lt;'Données projet'!$A$140,$CQ$205^A49,IF(A49='Données projet'!$A$140,'Données projet'!$B$140,CT48+CS49-DB48)))</f>
        <v>190.19999999999993</v>
      </c>
      <c r="CU49" s="17">
        <f>CT49*VLOOKUP('Données projet'!$B$13,Paramètres!$A$1:$I$89,3,0)*VLOOKUP('Données projet'!$B$13,Paramètres!$A$1:$I$89,5,0)</f>
        <v>154.29023999999995</v>
      </c>
      <c r="CV49" s="13">
        <f t="shared" si="41"/>
        <v>39.551952121114581</v>
      </c>
      <c r="CW49" s="20">
        <f t="shared" si="13"/>
        <v>337.6084846109411</v>
      </c>
      <c r="CX49" s="59">
        <f t="shared" si="14"/>
        <v>630.94181794427436</v>
      </c>
      <c r="CY49" s="59">
        <f ca="1">AVERAGE(OFFSET($CX$3,0,0,'Données projet'!$E$13+1,1))-AVERAGE(OFFSET($H$3,0,0,'Données projet'!$E$13+1,1))</f>
        <v>230.38929580146208</v>
      </c>
      <c r="CZ49" s="59">
        <f t="shared" si="42"/>
        <v>227.1847788696258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32.77091269173134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32.77091269173134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7.419999999999999</v>
      </c>
      <c r="DO49" s="12">
        <f>IF('Données projet'!$A$166&gt;35,DO48+DN49-DW48,IF(A49&lt;'Données projet'!$A$166,$DL$205^A49,IF(A49='Données projet'!$A$166,'Données projet'!$B$166,DO48+DN49-DW48)))</f>
        <v>138.03999999999996</v>
      </c>
      <c r="DP49" s="17">
        <f>DO49*VLOOKUP('Données projet'!$B$14,Paramètres!$A$1:$I$89,3,0)*VLOOKUP('Données projet'!$B$14,Paramètres!$A$1:$I$89,5,0)</f>
        <v>82.547919999999991</v>
      </c>
      <c r="DQ49" s="13">
        <f t="shared" si="43"/>
        <v>22.759022512217971</v>
      </c>
      <c r="DR49" s="20">
        <f t="shared" si="16"/>
        <v>183.40959154211293</v>
      </c>
      <c r="DS49" s="59">
        <f t="shared" si="17"/>
        <v>476.74292487544625</v>
      </c>
      <c r="DT49" s="59">
        <f ca="1">AVERAGE(OFFSET($DS$3,0,0,'Données projet'!$E$14+1,1))-AVERAGE(OFFSET($H$3,0,0,'Données projet'!$E$14+1,1))</f>
        <v>145.97103392561058</v>
      </c>
      <c r="DU49" s="59">
        <f t="shared" si="44"/>
        <v>62.920713953681172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25.894899182549469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25.894899182549469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27.100000000000005</v>
      </c>
      <c r="N50" s="13">
        <f>IF('Données projet'!$A$36&gt;35,N49+M50-V49,IF(A50&lt;'Données projet'!$A$36,$K$205^A50,IF(A50='Données projet'!$A$36,'Données projet'!$B$36,N49+M50-V49)))</f>
        <v>628.62000000000012</v>
      </c>
      <c r="O50" s="13">
        <f>N50*VLOOKUP('Données projet'!$B$9,Paramètres!$A$1:$I$89,3,0)*VLOOKUP('Données projet'!$B$9,Paramètres!$A$1:$I$89,5,0)</f>
        <v>351.39858000000009</v>
      </c>
      <c r="P50" s="13">
        <f t="shared" si="33"/>
        <v>81.850426510165747</v>
      </c>
      <c r="Q50" s="20">
        <f t="shared" si="53"/>
        <v>754.57535300520556</v>
      </c>
      <c r="R50" s="59">
        <f t="shared" si="0"/>
        <v>1047.9086863385389</v>
      </c>
      <c r="S50" s="59">
        <f ca="1">AVERAGE(OFFSET($R$3,0,0,'Données projet'!$E$9+1,1))-AVERAGE(OFFSET($H$3,0,0,'Données projet'!$E$9+1,1))</f>
        <v>350.01600895263641</v>
      </c>
      <c r="T50" s="59">
        <f t="shared" si="34"/>
        <v>464.08921044376882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61.877790397570642</v>
      </c>
      <c r="AA50" s="21">
        <f>EXP(-LN(2)/25)*AA49+(1-EXP(-LN(2)/25))/(LN(2)/25)*Calculateur!V50*Calculateur!X50*VLOOKUP('Données projet'!$B$9,Paramètres!$A$1:$I$89,3,0)*0.475*44/12</f>
        <v>31.56483158018526</v>
      </c>
      <c r="AB50" s="21">
        <f>EXP(-LN(2)/2)*AB49+(1-EXP(-LN(2)/2))/(LN(2)/2)*V50*Y50*VLOOKUP('Données projet'!$B$9,Paramètres!$A$1:$I$89,3,0)*0.475*44/12</f>
        <v>2.0437610298416108E-3</v>
      </c>
      <c r="AC50" s="22">
        <f t="shared" si="3"/>
        <v>93.444665738785744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6.6</v>
      </c>
      <c r="AI50" s="13">
        <f>IF('Données projet'!$A$62&gt;35,AI49+AH50-AQ49,IF(A50&lt;'Données projet'!$A$62,$AF$205^A50,IF(A50='Données projet'!$A$62,'Données projet'!$B$62,AI49+AH50-AQ49)))</f>
        <v>171.20000000000007</v>
      </c>
      <c r="AJ50" s="13">
        <f>AI50*VLOOKUP('Données projet'!$B$10,Paramètres!$A$1:$I$89,3,0)*VLOOKUP('Données projet'!$B$10,Paramètres!$A$1:$I$89,5,0)</f>
        <v>149.5603200000001</v>
      </c>
      <c r="AK50" s="13">
        <f t="shared" si="35"/>
        <v>38.478649698758076</v>
      </c>
      <c r="AL50" s="20">
        <f t="shared" si="4"/>
        <v>327.50120555867051</v>
      </c>
      <c r="AM50" s="59">
        <f t="shared" si="5"/>
        <v>620.83453889200382</v>
      </c>
      <c r="AN50" s="59">
        <f ca="1">AVERAGE(OFFSET($AM$3,0,0,'Données projet'!$E$10+1,1))-AVERAGE(OFFSET($H$3,0,0,'Données projet'!$E$10+1,1))</f>
        <v>242.48830542479988</v>
      </c>
      <c r="AO50" s="59">
        <f t="shared" si="36"/>
        <v>226.11219631227061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24.954180540464179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24.954180540464179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9.2985714285714263</v>
      </c>
      <c r="BD50" s="12">
        <f>IF('Données projet'!$A$88&gt;35,BD49+BC50-BL49,IF(A50&lt;'Données projet'!$A$88,$BA$205^A50,IF(A50='Données projet'!$A$88,'Données projet'!$B$88,BD49+BC50-BL49)))</f>
        <v>155.65571428571423</v>
      </c>
      <c r="BE50" s="13">
        <f>BD50*VLOOKUP('Données projet'!$B$11,Paramètres!$A$1:$I$89,3,0)*VLOOKUP('Données projet'!$B$11,Paramètres!$A$1:$I$89,5,0)</f>
        <v>157.83489428571423</v>
      </c>
      <c r="BF50" s="13">
        <f t="shared" si="37"/>
        <v>40.353783218476352</v>
      </c>
      <c r="BG50" s="20">
        <f t="shared" si="7"/>
        <v>345.17861331979861</v>
      </c>
      <c r="BH50" s="59">
        <f t="shared" si="8"/>
        <v>638.51194665313187</v>
      </c>
      <c r="BI50" s="59">
        <f ca="1">AVERAGE(OFFSET($BH$3,0,0,'Données projet'!$E$11+1,1))-AVERAGE(OFFSET($H$3,0,0,'Données projet'!$E$11+1,1))</f>
        <v>402.5435069258703</v>
      </c>
      <c r="BJ50" s="59">
        <f t="shared" si="38"/>
        <v>163.60655195816349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33.615637679707511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33.615637679707511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9.2985714285714263</v>
      </c>
      <c r="BY50" s="12">
        <f>IF('Données projet'!$A$114&gt;35,BY49+BX50-CG49,IF(A50&lt;'Données projet'!$A$114,$BV$205^A50,IF(A50='Données projet'!$A$114,'Données projet'!$B$114,BY49+BX50-CG49)))</f>
        <v>155.65571428571423</v>
      </c>
      <c r="BZ50" s="13">
        <f>BY50*VLOOKUP('Données projet'!$B$12,Paramètres!$A$1:$I$89,3,0)*VLOOKUP('Données projet'!$B$12,Paramètres!$A$1:$I$89,5,0)</f>
        <v>140.83729028571423</v>
      </c>
      <c r="CA50" s="13">
        <f t="shared" si="39"/>
        <v>36.488750325482968</v>
      </c>
      <c r="CB50" s="20">
        <f t="shared" si="10"/>
        <v>308.84285406450175</v>
      </c>
      <c r="CC50" s="59">
        <f t="shared" si="11"/>
        <v>602.17618739783506</v>
      </c>
      <c r="CD50" s="59">
        <f ca="1">AVERAGE(OFFSET($CC$3,0,0,'Données projet'!$E$12+1,1))-AVERAGE(OFFSET($H$3,0,0,'Données projet'!$E$12+1,1))</f>
        <v>350.91577977538822</v>
      </c>
      <c r="CE50" s="59">
        <f t="shared" si="40"/>
        <v>142.87103313412547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29.995492083431312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29.995492083431312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7.2</v>
      </c>
      <c r="CT50" s="12">
        <f>IF('Données projet'!$A$140&gt;35,CT49+CS50-DB49,IF(A50&lt;'Données projet'!$A$140,$CQ$205^A50,IF(A50='Données projet'!$A$140,'Données projet'!$B$140,CT49+CS50-DB49)))</f>
        <v>197.39999999999992</v>
      </c>
      <c r="CU50" s="17">
        <f>CT50*VLOOKUP('Données projet'!$B$13,Paramètres!$A$1:$I$89,3,0)*VLOOKUP('Données projet'!$B$13,Paramètres!$A$1:$I$89,5,0)</f>
        <v>160.13087999999996</v>
      </c>
      <c r="CV50" s="13">
        <f t="shared" si="41"/>
        <v>40.872034351060186</v>
      </c>
      <c r="CW50" s="20">
        <f t="shared" si="13"/>
        <v>350.08007582809643</v>
      </c>
      <c r="CX50" s="59">
        <f t="shared" si="14"/>
        <v>643.41340916142974</v>
      </c>
      <c r="CY50" s="59">
        <f ca="1">AVERAGE(OFFSET($CX$3,0,0,'Données projet'!$E$13+1,1))-AVERAGE(OFFSET($H$3,0,0,'Données projet'!$E$13+1,1))</f>
        <v>230.38929580146208</v>
      </c>
      <c r="CZ50" s="59">
        <f t="shared" si="42"/>
        <v>227.1847788696258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32.128295082129554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32.128295082129554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7.419999999999999</v>
      </c>
      <c r="DO50" s="12">
        <f>IF('Données projet'!$A$166&gt;35,DO49+DN50-DW49,IF(A50&lt;'Données projet'!$A$166,$DL$205^A50,IF(A50='Données projet'!$A$166,'Données projet'!$B$166,DO49+DN50-DW49)))</f>
        <v>145.45999999999995</v>
      </c>
      <c r="DP50" s="17">
        <f>DO50*VLOOKUP('Données projet'!$B$14,Paramètres!$A$1:$I$89,3,0)*VLOOKUP('Données projet'!$B$14,Paramètres!$A$1:$I$89,5,0)</f>
        <v>86.985079999999982</v>
      </c>
      <c r="DQ50" s="13">
        <f t="shared" si="43"/>
        <v>23.836663256455346</v>
      </c>
      <c r="DR50" s="20">
        <f t="shared" si="16"/>
        <v>193.01453617165967</v>
      </c>
      <c r="DS50" s="59">
        <f t="shared" si="17"/>
        <v>486.34786950499301</v>
      </c>
      <c r="DT50" s="59">
        <f ca="1">AVERAGE(OFFSET($DS$3,0,0,'Données projet'!$E$14+1,1))-AVERAGE(OFFSET($H$3,0,0,'Données projet'!$E$14+1,1))</f>
        <v>145.97103392561058</v>
      </c>
      <c r="DU50" s="59">
        <f t="shared" si="44"/>
        <v>62.920713953681172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25.387116003908616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25.387116003908616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655.72</v>
      </c>
      <c r="L51" s="12">
        <f>VLOOKUP(A51,'Données projet'!$A$35:$I$55,9,0)</f>
        <v>27.100000000000005</v>
      </c>
      <c r="M51" s="12">
        <f t="array" ref="M51">INDEX(L:L,MIN(IF(ISNUMBER(L51:L247),ROW(L51:L247),"")))</f>
        <v>27.100000000000005</v>
      </c>
      <c r="N51" s="13">
        <f>IF('Données projet'!$A$36&gt;35,N50+M51-V50,IF(A51&lt;'Données projet'!$A$36,$K$205^A51,IF(A51='Données projet'!$A$36,'Données projet'!$B$36,N50+M51-V50)))</f>
        <v>655.72000000000014</v>
      </c>
      <c r="O51" s="13">
        <f>N51*VLOOKUP('Données projet'!$B$9,Paramètres!$A$1:$I$89,3,0)*VLOOKUP('Données projet'!$B$9,Paramètres!$A$1:$I$89,5,0)</f>
        <v>366.54748000000012</v>
      </c>
      <c r="P51" s="13">
        <f t="shared" si="33"/>
        <v>84.960594614663748</v>
      </c>
      <c r="Q51" s="20">
        <f t="shared" si="53"/>
        <v>786.3765632872063</v>
      </c>
      <c r="R51" s="59">
        <f t="shared" si="0"/>
        <v>1079.7098966205397</v>
      </c>
      <c r="S51" s="59">
        <f ca="1">AVERAGE(OFFSET($R$3,0,0,'Données projet'!$E$9+1,1))-AVERAGE(OFFSET($H$3,0,0,'Données projet'!$E$9+1,1))</f>
        <v>350.01600895263641</v>
      </c>
      <c r="T51" s="59">
        <f t="shared" si="34"/>
        <v>464.08921044376882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101.34</v>
      </c>
      <c r="W51" s="16">
        <f>IF(ISNA(VLOOKUP(A51,'Données projet'!$A$35:$I$55,5,0)),0%,VLOOKUP(A51,'Données projet'!$A$35:$I$55,5,0)*VLOOKUP('Données projet'!$B$9,Paramètres!$A$1:$I$89,7,0))</f>
        <v>0.55000000000000004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101.99615085613375</v>
      </c>
      <c r="AA51" s="21">
        <f>EXP(-LN(2)/25)*AA50+(1-EXP(-LN(2)/25))/(LN(2)/25)*Calculateur!V51*Calculateur!X51*VLOOKUP('Données projet'!$B$9,Paramètres!$A$1:$I$89,3,0)*0.475*44/12</f>
        <v>30.701689600702743</v>
      </c>
      <c r="AB51" s="21">
        <f>EXP(-LN(2)/2)*AB50+(1-EXP(-LN(2)/2))/(LN(2)/2)*V51*Y51*VLOOKUP('Données projet'!$B$9,Paramètres!$A$1:$I$89,3,0)*0.475*44/12</f>
        <v>1.445157283325805E-3</v>
      </c>
      <c r="AC51" s="22">
        <f t="shared" si="3"/>
        <v>132.69928561411982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6.6</v>
      </c>
      <c r="AI51" s="13">
        <f>IF('Données projet'!$A$62&gt;35,AI50+AH51-AQ50,IF(A51&lt;'Données projet'!$A$62,$AF$205^A51,IF(A51='Données projet'!$A$62,'Données projet'!$B$62,AI50+AH51-AQ50)))</f>
        <v>177.80000000000007</v>
      </c>
      <c r="AJ51" s="13">
        <f>AI51*VLOOKUP('Données projet'!$B$10,Paramètres!$A$1:$I$89,3,0)*VLOOKUP('Données projet'!$B$10,Paramètres!$A$1:$I$89,5,0)</f>
        <v>155.3260800000001</v>
      </c>
      <c r="AK51" s="13">
        <f t="shared" si="35"/>
        <v>39.786487601092446</v>
      </c>
      <c r="AL51" s="20">
        <f t="shared" si="4"/>
        <v>339.8210552385695</v>
      </c>
      <c r="AM51" s="59">
        <f t="shared" si="5"/>
        <v>633.15438857190281</v>
      </c>
      <c r="AN51" s="59">
        <f ca="1">AVERAGE(OFFSET($AM$3,0,0,'Données projet'!$E$10+1,1))-AVERAGE(OFFSET($H$3,0,0,'Données projet'!$E$10+1,1))</f>
        <v>242.48830542479988</v>
      </c>
      <c r="AO51" s="59">
        <f t="shared" si="36"/>
        <v>226.11219631227061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24.464844280612901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24.464844280612901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9.2985714285714263</v>
      </c>
      <c r="BD51" s="12">
        <f>IF('Données projet'!$A$88&gt;35,BD50+BC51-BL50,IF(A51&lt;'Données projet'!$A$88,$BA$205^A51,IF(A51='Données projet'!$A$88,'Données projet'!$B$88,BD50+BC51-BL50)))</f>
        <v>164.95428571428565</v>
      </c>
      <c r="BE51" s="13">
        <f>BD51*VLOOKUP('Données projet'!$B$11,Paramètres!$A$1:$I$89,3,0)*VLOOKUP('Données projet'!$B$11,Paramètres!$A$1:$I$89,5,0)</f>
        <v>167.26364571428567</v>
      </c>
      <c r="BF51" s="13">
        <f t="shared" si="37"/>
        <v>42.476593663971585</v>
      </c>
      <c r="BG51" s="20">
        <f t="shared" si="7"/>
        <v>365.29758358379803</v>
      </c>
      <c r="BH51" s="59">
        <f t="shared" si="8"/>
        <v>658.63091691713134</v>
      </c>
      <c r="BI51" s="59">
        <f ca="1">AVERAGE(OFFSET($BH$3,0,0,'Données projet'!$E$11+1,1))-AVERAGE(OFFSET($H$3,0,0,'Données projet'!$E$11+1,1))</f>
        <v>402.5435069258703</v>
      </c>
      <c r="BJ51" s="59">
        <f t="shared" si="38"/>
        <v>163.60655195816349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32.956455528322877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32.956455528322877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9.2985714285714263</v>
      </c>
      <c r="BY51" s="12">
        <f>IF('Données projet'!$A$114&gt;35,BY50+BX51-CG50,IF(A51&lt;'Données projet'!$A$114,$BV$205^A51,IF(A51='Données projet'!$A$114,'Données projet'!$B$114,BY50+BX51-CG50)))</f>
        <v>164.95428571428565</v>
      </c>
      <c r="BZ51" s="13">
        <f>BY51*VLOOKUP('Données projet'!$B$12,Paramètres!$A$1:$I$89,3,0)*VLOOKUP('Données projet'!$B$12,Paramètres!$A$1:$I$89,5,0)</f>
        <v>149.25063771428563</v>
      </c>
      <c r="CA51" s="13">
        <f t="shared" si="39"/>
        <v>38.408240746359731</v>
      </c>
      <c r="CB51" s="20">
        <f t="shared" si="10"/>
        <v>326.83921331895732</v>
      </c>
      <c r="CC51" s="59">
        <f t="shared" si="11"/>
        <v>620.17254665229063</v>
      </c>
      <c r="CD51" s="59">
        <f ca="1">AVERAGE(OFFSET($CC$3,0,0,'Données projet'!$E$12+1,1))-AVERAGE(OFFSET($H$3,0,0,'Données projet'!$E$12+1,1))</f>
        <v>350.91577977538822</v>
      </c>
      <c r="CE51" s="59">
        <f t="shared" si="40"/>
        <v>142.87103313412547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29.407298779118872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29.407298779118872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7.2</v>
      </c>
      <c r="CT51" s="12">
        <f>IF('Données projet'!$A$140&gt;35,CT50+CS51-DB50,IF(A51&lt;'Données projet'!$A$140,$CQ$205^A51,IF(A51='Données projet'!$A$140,'Données projet'!$B$140,CT50+CS51-DB50)))</f>
        <v>204.59999999999991</v>
      </c>
      <c r="CU51" s="17">
        <f>CT51*VLOOKUP('Données projet'!$B$13,Paramètres!$A$1:$I$89,3,0)*VLOOKUP('Données projet'!$B$13,Paramètres!$A$1:$I$89,5,0)</f>
        <v>165.97151999999994</v>
      </c>
      <c r="CV51" s="13">
        <f t="shared" si="41"/>
        <v>42.186522619819392</v>
      </c>
      <c r="CW51" s="20">
        <f t="shared" si="13"/>
        <v>362.54192422951866</v>
      </c>
      <c r="CX51" s="59">
        <f t="shared" si="14"/>
        <v>655.87525756285197</v>
      </c>
      <c r="CY51" s="59">
        <f ca="1">AVERAGE(OFFSET($CX$3,0,0,'Données projet'!$E$13+1,1))-AVERAGE(OFFSET($H$3,0,0,'Données projet'!$E$13+1,1))</f>
        <v>230.38929580146208</v>
      </c>
      <c r="CZ51" s="59">
        <f t="shared" si="42"/>
        <v>227.1847788696258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31.498278811894018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31.498278811894018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7.419999999999999</v>
      </c>
      <c r="DO51" s="12">
        <f>IF('Données projet'!$A$166&gt;35,DO50+DN51-DW50,IF(A51&lt;'Données projet'!$A$166,$DL$205^A51,IF(A51='Données projet'!$A$166,'Données projet'!$B$166,DO50+DN51-DW50)))</f>
        <v>152.87999999999994</v>
      </c>
      <c r="DP51" s="17">
        <f>DO51*VLOOKUP('Données projet'!$B$14,Paramètres!$A$1:$I$89,3,0)*VLOOKUP('Données projet'!$B$14,Paramètres!$A$1:$I$89,5,0)</f>
        <v>91.42223999999996</v>
      </c>
      <c r="DQ51" s="13">
        <f t="shared" si="43"/>
        <v>24.907921402727929</v>
      </c>
      <c r="DR51" s="20">
        <f t="shared" si="16"/>
        <v>202.60836444308441</v>
      </c>
      <c r="DS51" s="59">
        <f t="shared" si="17"/>
        <v>495.94169777641775</v>
      </c>
      <c r="DT51" s="59">
        <f ca="1">AVERAGE(OFFSET($DS$3,0,0,'Données projet'!$E$14+1,1))-AVERAGE(OFFSET($H$3,0,0,'Données projet'!$E$14+1,1))</f>
        <v>145.97103392561058</v>
      </c>
      <c r="DU51" s="59">
        <f t="shared" si="44"/>
        <v>62.920713953681172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24.889290143683752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24.889290143683752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25.705000000000002</v>
      </c>
      <c r="N52" s="13">
        <f>IF('Données projet'!$A$36&gt;35,N51+M52-V51,IF(A52&lt;'Données projet'!$A$36,$K$205^A52,IF(A52='Données projet'!$A$36,'Données projet'!$B$36,N51+M52-V51)))</f>
        <v>580.08500000000015</v>
      </c>
      <c r="O52" s="13">
        <f>N52*VLOOKUP('Données projet'!$B$9,Paramètres!$A$1:$I$89,3,0)*VLOOKUP('Données projet'!$B$9,Paramètres!$A$1:$I$89,5,0)</f>
        <v>324.26751500000012</v>
      </c>
      <c r="P52" s="13">
        <f t="shared" si="33"/>
        <v>76.240607370612722</v>
      </c>
      <c r="Q52" s="20">
        <f t="shared" si="53"/>
        <v>697.55164646215064</v>
      </c>
      <c r="R52" s="59">
        <f t="shared" si="0"/>
        <v>990.88497979548401</v>
      </c>
      <c r="S52" s="59">
        <f ca="1">AVERAGE(OFFSET($R$3,0,0,'Données projet'!$E$9+1,1))-AVERAGE(OFFSET($H$3,0,0,'Données projet'!$E$9+1,1))</f>
        <v>350.01600895263641</v>
      </c>
      <c r="T52" s="59">
        <f t="shared" si="34"/>
        <v>464.08921044376882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99.996068549354121</v>
      </c>
      <c r="AA52" s="21">
        <f>EXP(-LN(2)/25)*AA51+(1-EXP(-LN(2)/25))/(LN(2)/25)*Calculateur!V52*Calculateur!X52*VLOOKUP('Données projet'!$B$9,Paramètres!$A$1:$I$89,3,0)*0.475*44/12</f>
        <v>29.862150284039839</v>
      </c>
      <c r="AB52" s="21">
        <f>EXP(-LN(2)/2)*AB51+(1-EXP(-LN(2)/2))/(LN(2)/2)*V52*Y52*VLOOKUP('Données projet'!$B$9,Paramètres!$A$1:$I$89,3,0)*0.475*44/12</f>
        <v>1.0218805149208054E-3</v>
      </c>
      <c r="AC52" s="22">
        <f t="shared" si="3"/>
        <v>129.85924071390886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6.6</v>
      </c>
      <c r="AI52" s="13">
        <f>IF('Données projet'!$A$62&gt;35,AI51+AH52-AQ51,IF(A52&lt;'Données projet'!$A$62,$AF$205^A52,IF(A52='Données projet'!$A$62,'Données projet'!$B$62,AI51+AH52-AQ51)))</f>
        <v>184.40000000000006</v>
      </c>
      <c r="AJ52" s="13">
        <f>AI52*VLOOKUP('Données projet'!$B$10,Paramètres!$A$1:$I$89,3,0)*VLOOKUP('Données projet'!$B$10,Paramètres!$A$1:$I$89,5,0)</f>
        <v>161.09184000000008</v>
      </c>
      <c r="AK52" s="13">
        <f t="shared" si="35"/>
        <v>41.088685407030859</v>
      </c>
      <c r="AL52" s="20">
        <f t="shared" si="4"/>
        <v>352.13108175057886</v>
      </c>
      <c r="AM52" s="59">
        <f t="shared" si="5"/>
        <v>645.46441508391217</v>
      </c>
      <c r="AN52" s="59">
        <f ca="1">AVERAGE(OFFSET($AM$3,0,0,'Données projet'!$E$10+1,1))-AVERAGE(OFFSET($H$3,0,0,'Données projet'!$E$10+1,1))</f>
        <v>242.48830542479988</v>
      </c>
      <c r="AO52" s="59">
        <f t="shared" si="36"/>
        <v>226.11219631227061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23.985103606351661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23.985103606351661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9.2985714285714263</v>
      </c>
      <c r="BD52" s="12">
        <f>IF('Données projet'!$A$88&gt;35,BD51+BC52-BL51,IF(A52&lt;'Données projet'!$A$88,$BA$205^A52,IF(A52='Données projet'!$A$88,'Données projet'!$B$88,BD51+BC52-BL51)))</f>
        <v>174.25285714285707</v>
      </c>
      <c r="BE52" s="13">
        <f>BD52*VLOOKUP('Données projet'!$B$11,Paramètres!$A$1:$I$89,3,0)*VLOOKUP('Données projet'!$B$11,Paramètres!$A$1:$I$89,5,0)</f>
        <v>176.69239714285706</v>
      </c>
      <c r="BF52" s="13">
        <f t="shared" si="37"/>
        <v>44.585513041608721</v>
      </c>
      <c r="BG52" s="20">
        <f t="shared" si="7"/>
        <v>385.39236023794456</v>
      </c>
      <c r="BH52" s="59">
        <f t="shared" si="8"/>
        <v>678.72569357127782</v>
      </c>
      <c r="BI52" s="59">
        <f ca="1">AVERAGE(OFFSET($BH$3,0,0,'Données projet'!$E$11+1,1))-AVERAGE(OFFSET($H$3,0,0,'Données projet'!$E$11+1,1))</f>
        <v>402.5435069258703</v>
      </c>
      <c r="BJ52" s="59">
        <f t="shared" si="38"/>
        <v>163.60655195816349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32.310199536865483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32.310199536865483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9.2985714285714263</v>
      </c>
      <c r="BY52" s="12">
        <f>IF('Données projet'!$A$114&gt;35,BY51+BX52-CG51,IF(A52&lt;'Données projet'!$A$114,$BV$205^A52,IF(A52='Données projet'!$A$114,'Données projet'!$B$114,BY51+BX52-CG51)))</f>
        <v>174.25285714285707</v>
      </c>
      <c r="BZ52" s="13">
        <f>BY52*VLOOKUP('Données projet'!$B$12,Paramètres!$A$1:$I$89,3,0)*VLOOKUP('Données projet'!$B$12,Paramètres!$A$1:$I$89,5,0)</f>
        <v>157.66398514285709</v>
      </c>
      <c r="CA52" s="13">
        <f t="shared" si="39"/>
        <v>40.31517056779817</v>
      </c>
      <c r="CB52" s="20">
        <f t="shared" si="10"/>
        <v>344.81369619605789</v>
      </c>
      <c r="CC52" s="59">
        <f t="shared" si="11"/>
        <v>638.14702952939115</v>
      </c>
      <c r="CD52" s="59">
        <f ca="1">AVERAGE(OFFSET($CC$3,0,0,'Données projet'!$E$12+1,1))-AVERAGE(OFFSET($H$3,0,0,'Données projet'!$E$12+1,1))</f>
        <v>350.91577977538822</v>
      </c>
      <c r="CE52" s="59">
        <f t="shared" si="40"/>
        <v>142.87103313412547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28.830639586741505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28.830639586741505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7.2</v>
      </c>
      <c r="CT52" s="12">
        <f>IF('Données projet'!$A$140&gt;35,CT51+CS52-DB51,IF(A52&lt;'Données projet'!$A$140,$CQ$205^A52,IF(A52='Données projet'!$A$140,'Données projet'!$B$140,CT51+CS52-DB51)))</f>
        <v>211.7999999999999</v>
      </c>
      <c r="CU52" s="17">
        <f>CT52*VLOOKUP('Données projet'!$B$13,Paramètres!$A$1:$I$89,3,0)*VLOOKUP('Données projet'!$B$13,Paramètres!$A$1:$I$89,5,0)</f>
        <v>171.81215999999992</v>
      </c>
      <c r="CV52" s="13">
        <f t="shared" si="41"/>
        <v>43.49563633881931</v>
      </c>
      <c r="CW52" s="20">
        <f t="shared" si="13"/>
        <v>374.99441195677679</v>
      </c>
      <c r="CX52" s="59">
        <f t="shared" si="14"/>
        <v>668.3277452901101</v>
      </c>
      <c r="CY52" s="59">
        <f ca="1">AVERAGE(OFFSET($CX$3,0,0,'Données projet'!$E$13+1,1))-AVERAGE(OFFSET($H$3,0,0,'Données projet'!$E$13+1,1))</f>
        <v>230.38929580146208</v>
      </c>
      <c r="CZ52" s="59">
        <f t="shared" si="42"/>
        <v>227.1847788696258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30.880616776445819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30.880616776445819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7.419999999999999</v>
      </c>
      <c r="DO52" s="12">
        <f>IF('Données projet'!$A$166&gt;35,DO51+DN52-DW51,IF(A52&lt;'Données projet'!$A$166,$DL$205^A52,IF(A52='Données projet'!$A$166,'Données projet'!$B$166,DO51+DN52-DW51)))</f>
        <v>160.29999999999993</v>
      </c>
      <c r="DP52" s="17">
        <f>DO52*VLOOKUP('Données projet'!$B$14,Paramètres!$A$1:$I$89,3,0)*VLOOKUP('Données projet'!$B$14,Paramètres!$A$1:$I$89,5,0)</f>
        <v>95.859399999999965</v>
      </c>
      <c r="DQ52" s="13">
        <f t="shared" si="43"/>
        <v>25.973142089585547</v>
      </c>
      <c r="DR52" s="20">
        <f t="shared" si="16"/>
        <v>212.19167747269475</v>
      </c>
      <c r="DS52" s="59">
        <f t="shared" si="17"/>
        <v>505.52501080602804</v>
      </c>
      <c r="DT52" s="59">
        <f ca="1">AVERAGE(OFFSET($DS$3,0,0,'Données projet'!$E$14+1,1))-AVERAGE(OFFSET($H$3,0,0,'Données projet'!$E$14+1,1))</f>
        <v>145.97103392561058</v>
      </c>
      <c r="DU52" s="59">
        <f t="shared" si="44"/>
        <v>62.920713953681172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24.401226344934106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24.401226344934106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25.705000000000002</v>
      </c>
      <c r="N53" s="13">
        <f>IF('Données projet'!$A$36&gt;35,N52+M53-V52,IF(A53&lt;'Données projet'!$A$36,$K$205^A53,IF(A53='Données projet'!$A$36,'Données projet'!$B$36,N52+M53-V52)))</f>
        <v>605.79000000000019</v>
      </c>
      <c r="O53" s="13">
        <f>N53*VLOOKUP('Données projet'!$B$9,Paramètres!$A$1:$I$89,3,0)*VLOOKUP('Données projet'!$B$9,Paramètres!$A$1:$I$89,5,0)</f>
        <v>338.63661000000013</v>
      </c>
      <c r="P53" s="13">
        <f t="shared" si="33"/>
        <v>79.218195577662726</v>
      </c>
      <c r="Q53" s="20">
        <f t="shared" si="53"/>
        <v>727.76378638109611</v>
      </c>
      <c r="R53" s="59">
        <f t="shared" si="0"/>
        <v>1021.0971197144295</v>
      </c>
      <c r="S53" s="59">
        <f ca="1">AVERAGE(OFFSET($R$3,0,0,'Données projet'!$E$9+1,1))-AVERAGE(OFFSET($H$3,0,0,'Données projet'!$E$9+1,1))</f>
        <v>350.01600895263641</v>
      </c>
      <c r="T53" s="59">
        <f t="shared" si="34"/>
        <v>464.08921044376882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98.035206636680684</v>
      </c>
      <c r="AA53" s="21">
        <f>EXP(-LN(2)/25)*AA52+(1-EXP(-LN(2)/25))/(LN(2)/25)*Calculateur!V53*Calculateur!X53*VLOOKUP('Données projet'!$B$9,Paramètres!$A$1:$I$89,3,0)*0.475*44/12</f>
        <v>29.045568214140538</v>
      </c>
      <c r="AB53" s="21">
        <f>EXP(-LN(2)/2)*AB52+(1-EXP(-LN(2)/2))/(LN(2)/2)*V53*Y53*VLOOKUP('Données projet'!$B$9,Paramètres!$A$1:$I$89,3,0)*0.475*44/12</f>
        <v>7.2257864166290248E-4</v>
      </c>
      <c r="AC53" s="22">
        <f t="shared" si="3"/>
        <v>127.08149742946289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191</v>
      </c>
      <c r="AG53" s="12">
        <f>VLOOKUP(A53,'Données projet'!$A$61:$I$81,9,0)</f>
        <v>6.6</v>
      </c>
      <c r="AH53" s="12">
        <f t="array" ref="AH53">INDEX(AG:AG,MIN(IF(ISNUMBER(AG53:AG249),ROW(AG53:AG249),"")))</f>
        <v>6.6</v>
      </c>
      <c r="AI53" s="13">
        <f>IF('Données projet'!$A$62&gt;35,AI52+AH53-AQ52,IF(A53&lt;'Données projet'!$A$62,$AF$205^A53,IF(A53='Données projet'!$A$62,'Données projet'!$B$62,AI52+AH53-AQ52)))</f>
        <v>191.00000000000006</v>
      </c>
      <c r="AJ53" s="13">
        <f>AI53*VLOOKUP('Données projet'!$B$10,Paramètres!$A$1:$I$89,3,0)*VLOOKUP('Données projet'!$B$10,Paramètres!$A$1:$I$89,5,0)</f>
        <v>166.85760000000008</v>
      </c>
      <c r="AK53" s="13">
        <f t="shared" si="35"/>
        <v>42.385468111966098</v>
      </c>
      <c r="AL53" s="20">
        <f t="shared" si="4"/>
        <v>364.43167696167438</v>
      </c>
      <c r="AM53" s="59">
        <f t="shared" si="5"/>
        <v>657.76501029500764</v>
      </c>
      <c r="AN53" s="59">
        <f ca="1">AVERAGE(OFFSET($AM$3,0,0,'Données projet'!$E$10+1,1))-AVERAGE(OFFSET($H$3,0,0,'Données projet'!$E$10+1,1))</f>
        <v>242.48830542479988</v>
      </c>
      <c r="AO53" s="59">
        <f t="shared" si="36"/>
        <v>226.11219631227061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32.235392833846433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32.235392833846433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9.2985714285714263</v>
      </c>
      <c r="BD53" s="12">
        <f>IF('Données projet'!$A$88&gt;35,BD52+BC53-BL52,IF(A53&lt;'Données projet'!$A$88,$BA$205^A53,IF(A53='Données projet'!$A$88,'Données projet'!$B$88,BD52+BC53-BL52)))</f>
        <v>183.55142857142849</v>
      </c>
      <c r="BE53" s="13">
        <f>BD53*VLOOKUP('Données projet'!$B$11,Paramètres!$A$1:$I$89,3,0)*VLOOKUP('Données projet'!$B$11,Paramètres!$A$1:$I$89,5,0)</f>
        <v>186.12114857142851</v>
      </c>
      <c r="BF53" s="13">
        <f t="shared" si="37"/>
        <v>46.681367136015417</v>
      </c>
      <c r="BG53" s="20">
        <f t="shared" si="7"/>
        <v>405.46438152379807</v>
      </c>
      <c r="BH53" s="59">
        <f t="shared" si="8"/>
        <v>698.79771485713138</v>
      </c>
      <c r="BI53" s="59">
        <f ca="1">AVERAGE(OFFSET($BH$3,0,0,'Données projet'!$E$11+1,1))-AVERAGE(OFFSET($H$3,0,0,'Données projet'!$E$11+1,1))</f>
        <v>402.5435069258703</v>
      </c>
      <c r="BJ53" s="59">
        <f t="shared" si="38"/>
        <v>163.60655195816349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31.676616231223335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31.676616231223335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9.2985714285714263</v>
      </c>
      <c r="BY53" s="12">
        <f>IF('Données projet'!$A$114&gt;35,BY52+BX53-CG52,IF(A53&lt;'Données projet'!$A$114,$BV$205^A53,IF(A53='Données projet'!$A$114,'Données projet'!$B$114,BY52+BX53-CG52)))</f>
        <v>183.55142857142849</v>
      </c>
      <c r="BZ53" s="13">
        <f>BY53*VLOOKUP('Données projet'!$B$12,Paramètres!$A$1:$I$89,3,0)*VLOOKUP('Données projet'!$B$12,Paramètres!$A$1:$I$89,5,0)</f>
        <v>166.07733257142849</v>
      </c>
      <c r="CA53" s="13">
        <f t="shared" si="39"/>
        <v>42.210286481847852</v>
      </c>
      <c r="CB53" s="20">
        <f t="shared" si="10"/>
        <v>362.76760318445622</v>
      </c>
      <c r="CC53" s="59">
        <f t="shared" si="11"/>
        <v>656.10093651778948</v>
      </c>
      <c r="CD53" s="59">
        <f ca="1">AVERAGE(OFFSET($CC$3,0,0,'Données projet'!$E$12+1,1))-AVERAGE(OFFSET($H$3,0,0,'Données projet'!$E$12+1,1))</f>
        <v>350.91577977538822</v>
      </c>
      <c r="CE53" s="59">
        <f t="shared" si="40"/>
        <v>142.87103313412547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28.265288329399283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28.265288329399283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219</v>
      </c>
      <c r="CR53" s="12">
        <f>VLOOKUP(A53,'Données projet'!$A$139:$I$159,9,0)</f>
        <v>7.2</v>
      </c>
      <c r="CS53" s="12">
        <f t="array" ref="CS53">INDEX(CR:CR,MIN(IF(ISNUMBER(CR53:CR249),ROW(CR53:CR249),"")))</f>
        <v>7.2</v>
      </c>
      <c r="CT53" s="12">
        <f>IF('Données projet'!$A$140&gt;35,CT52+CS53-DB52,IF(A53&lt;'Données projet'!$A$140,$CQ$205^A53,IF(A53='Données projet'!$A$140,'Données projet'!$B$140,CT52+CS53-DB52)))</f>
        <v>218.99999999999989</v>
      </c>
      <c r="CU53" s="17">
        <f>CT53*VLOOKUP('Données projet'!$B$13,Paramètres!$A$1:$I$89,3,0)*VLOOKUP('Données projet'!$B$13,Paramètres!$A$1:$I$89,5,0)</f>
        <v>177.6527999999999</v>
      </c>
      <c r="CV53" s="13">
        <f t="shared" si="41"/>
        <v>44.799579155749704</v>
      </c>
      <c r="CW53" s="20">
        <f t="shared" si="13"/>
        <v>387.43789369626387</v>
      </c>
      <c r="CX53" s="59">
        <f t="shared" si="14"/>
        <v>680.77122702959718</v>
      </c>
      <c r="CY53" s="59">
        <f ca="1">AVERAGE(OFFSET($CX$3,0,0,'Données projet'!$E$13+1,1))-AVERAGE(OFFSET($H$3,0,0,'Données projet'!$E$13+1,1))</f>
        <v>230.38929580146208</v>
      </c>
      <c r="CZ53" s="59">
        <f t="shared" si="42"/>
        <v>227.1847788696258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17</v>
      </c>
      <c r="DC53" s="16">
        <f>IF(ISNA(VLOOKUP(A53,'Données projet'!$A$139:$I$159,5,0)),0%,VLOOKUP(A53,'Données projet'!$A$139:$I$159,5,0)*VLOOKUP('Données projet'!$B$13,Paramètres!$A$1:$I$89,7,0))</f>
        <v>0.53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38.354852439389049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38.354852439389049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167.72</v>
      </c>
      <c r="DM53" s="12">
        <f>VLOOKUP(A53,'Données projet'!$A$165:$I$185,9,0)</f>
        <v>7.419999999999999</v>
      </c>
      <c r="DN53" s="12">
        <f t="array" ref="DN53">INDEX(DM:DM,MIN(IF(ISNUMBER(DM53:DM249),ROW(DM53:DM249),"")))</f>
        <v>7.419999999999999</v>
      </c>
      <c r="DO53" s="12">
        <f>IF('Données projet'!$A$166&gt;35,DO52+DN53-DW52,IF(A53&lt;'Données projet'!$A$166,$DL$205^A53,IF(A53='Données projet'!$A$166,'Données projet'!$B$166,DO52+DN53-DW52)))</f>
        <v>167.71999999999991</v>
      </c>
      <c r="DP53" s="17">
        <f>DO53*VLOOKUP('Données projet'!$B$14,Paramètres!$A$1:$I$89,3,0)*VLOOKUP('Données projet'!$B$14,Paramètres!$A$1:$I$89,5,0)</f>
        <v>100.29655999999996</v>
      </c>
      <c r="DQ53" s="13">
        <f t="shared" si="43"/>
        <v>27.032636698052404</v>
      </c>
      <c r="DR53" s="20">
        <f t="shared" si="16"/>
        <v>221.76501758244117</v>
      </c>
      <c r="DS53" s="59">
        <f t="shared" si="17"/>
        <v>515.09835091577452</v>
      </c>
      <c r="DT53" s="59">
        <f ca="1">AVERAGE(OFFSET($DS$3,0,0,'Données projet'!$E$14+1,1))-AVERAGE(OFFSET($H$3,0,0,'Données projet'!$E$14+1,1))</f>
        <v>145.97103392561058</v>
      </c>
      <c r="DU53" s="59">
        <f t="shared" si="44"/>
        <v>62.920713953681172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23.922733179588416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23.922733179588416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25.705000000000002</v>
      </c>
      <c r="N54" s="13">
        <f>IF('Données projet'!$A$36&gt;35,N53+M54-V53,IF(A54&lt;'Données projet'!$A$36,$K$205^A54,IF(A54='Données projet'!$A$36,'Données projet'!$B$36,N53+M54-V53)))</f>
        <v>631.49500000000023</v>
      </c>
      <c r="O54" s="13">
        <f>N54*VLOOKUP('Données projet'!$B$9,Paramètres!$A$1:$I$89,3,0)*VLOOKUP('Données projet'!$B$9,Paramètres!$A$1:$I$89,5,0)</f>
        <v>353.00570500000015</v>
      </c>
      <c r="P54" s="13">
        <f t="shared" si="33"/>
        <v>82.181108764690435</v>
      </c>
      <c r="Q54" s="20">
        <f t="shared" si="53"/>
        <v>757.95036730683603</v>
      </c>
      <c r="R54" s="59">
        <f t="shared" si="0"/>
        <v>1051.2837006401694</v>
      </c>
      <c r="S54" s="59">
        <f ca="1">AVERAGE(OFFSET($R$3,0,0,'Données projet'!$E$9+1,1))-AVERAGE(OFFSET($H$3,0,0,'Données projet'!$E$9+1,1))</f>
        <v>350.01600895263641</v>
      </c>
      <c r="T54" s="59">
        <f t="shared" si="34"/>
        <v>464.08921044376882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96.112796030107106</v>
      </c>
      <c r="AA54" s="21">
        <f>EXP(-LN(2)/25)*AA53+(1-EXP(-LN(2)/25))/(LN(2)/25)*Calculateur!V54*Calculateur!X54*VLOOKUP('Données projet'!$B$9,Paramètres!$A$1:$I$89,3,0)*0.475*44/12</f>
        <v>28.251315623884818</v>
      </c>
      <c r="AB54" s="21">
        <f>EXP(-LN(2)/2)*AB53+(1-EXP(-LN(2)/2))/(LN(2)/2)*V54*Y54*VLOOKUP('Données projet'!$B$9,Paramètres!$A$1:$I$89,3,0)*0.475*44/12</f>
        <v>5.109402574604027E-4</v>
      </c>
      <c r="AC54" s="22">
        <f t="shared" si="3"/>
        <v>124.36462259424938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6.2</v>
      </c>
      <c r="AI54" s="13">
        <f>IF('Données projet'!$A$62&gt;35,AI53+AH54-AQ53,IF(A54&lt;'Données projet'!$A$62,$AF$205^A54,IF(A54='Données projet'!$A$62,'Données projet'!$B$62,AI53+AH54-AQ53)))</f>
        <v>176.20000000000005</v>
      </c>
      <c r="AJ54" s="13">
        <f>AI54*VLOOKUP('Données projet'!$B$10,Paramètres!$A$1:$I$89,3,0)*VLOOKUP('Données projet'!$B$10,Paramètres!$A$1:$I$89,5,0)</f>
        <v>153.92832000000007</v>
      </c>
      <c r="AK54" s="13">
        <f t="shared" si="35"/>
        <v>39.46996283651783</v>
      </c>
      <c r="AL54" s="20">
        <f t="shared" si="4"/>
        <v>336.83534260693528</v>
      </c>
      <c r="AM54" s="59">
        <f t="shared" si="5"/>
        <v>630.1686759402686</v>
      </c>
      <c r="AN54" s="59">
        <f ca="1">AVERAGE(OFFSET($AM$3,0,0,'Données projet'!$E$10+1,1))-AVERAGE(OFFSET($H$3,0,0,'Données projet'!$E$10+1,1))</f>
        <v>242.48830542479988</v>
      </c>
      <c r="AO54" s="59">
        <f t="shared" si="36"/>
        <v>226.11219631227061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31.603276442022906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31.603276442022906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192.85</v>
      </c>
      <c r="BB54" s="12">
        <f>VLOOKUP(A54,'Données projet'!$A$87:$I$107,9,0)</f>
        <v>9.2985714285714263</v>
      </c>
      <c r="BC54" s="12">
        <f t="array" ref="BC54">INDEX(BB:BB,MIN(IF(ISNUMBER(BB54:BB250),ROW(BB54:BB250),"")))</f>
        <v>9.2985714285714263</v>
      </c>
      <c r="BD54" s="12">
        <f>IF('Données projet'!$A$88&gt;35,BD53+BC54-BL53,IF(A54&lt;'Données projet'!$A$88,$BA$205^A54,IF(A54='Données projet'!$A$88,'Données projet'!$B$88,BD53+BC54-BL53)))</f>
        <v>192.84999999999991</v>
      </c>
      <c r="BE54" s="13">
        <f>BD54*VLOOKUP('Données projet'!$B$11,Paramètres!$A$1:$I$89,3,0)*VLOOKUP('Données projet'!$B$11,Paramètres!$A$1:$I$89,5,0)</f>
        <v>195.54989999999992</v>
      </c>
      <c r="BF54" s="13">
        <f t="shared" si="37"/>
        <v>48.76489333856933</v>
      </c>
      <c r="BG54" s="20">
        <f t="shared" si="7"/>
        <v>425.51493173134145</v>
      </c>
      <c r="BH54" s="59">
        <f t="shared" si="8"/>
        <v>718.84826506467471</v>
      </c>
      <c r="BI54" s="59">
        <f ca="1">AVERAGE(OFFSET($BH$3,0,0,'Données projet'!$E$11+1,1))-AVERAGE(OFFSET($H$3,0,0,'Données projet'!$E$11+1,1))</f>
        <v>402.5435069258703</v>
      </c>
      <c r="BJ54" s="59">
        <f t="shared" si="38"/>
        <v>163.60655195816349</v>
      </c>
      <c r="BK54" s="15">
        <f>IF(ISNA(VLOOKUP(A54,'Données projet'!$A$87:$I$107,3,0)),0,VLOOKUP(A54,'Données projet'!$A$87:$I$107,3,0))</f>
        <v>2</v>
      </c>
      <c r="BL54" s="15">
        <f>IF(ISNA(VLOOKUP(A54,'Données projet'!$A$87:$I$107,4,0)),0,VLOOKUP(A54,'Données projet'!$A$87:$I$107,4,0))</f>
        <v>46.13</v>
      </c>
      <c r="BM54" s="16">
        <f>IF(ISNA(VLOOKUP(A54,'Données projet'!$A$87:$I$107,5,0)),0%,VLOOKUP(A54,'Données projet'!$A$87:$I$107,5,0)*VLOOKUP('Données projet'!$B$11,Paramètres!$A$1:$I$89,7,0))</f>
        <v>0.43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53.290449007754106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53.290449007754106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>
        <f>VLOOKUP(A54,'Données projet'!$A$113:$I$133,2,0)</f>
        <v>192.85</v>
      </c>
      <c r="BW54" s="12">
        <f>VLOOKUP(A54,'Données projet'!$A$113:$I$133,9,0)</f>
        <v>9.2985714285714263</v>
      </c>
      <c r="BX54" s="12">
        <f t="array" ref="BX54">INDEX(BW:BW,MIN(IF(ISNUMBER(BW54:BW250),ROW(BW54:BW250),"")))</f>
        <v>9.2985714285714263</v>
      </c>
      <c r="BY54" s="12">
        <f>IF('Données projet'!$A$114&gt;35,BY53+BX54-CG53,IF(A54&lt;'Données projet'!$A$114,$BV$205^A54,IF(A54='Données projet'!$A$114,'Données projet'!$B$114,BY53+BX54-CG53)))</f>
        <v>192.84999999999991</v>
      </c>
      <c r="BZ54" s="13">
        <f>BY54*VLOOKUP('Données projet'!$B$12,Paramètres!$A$1:$I$89,3,0)*VLOOKUP('Données projet'!$B$12,Paramètres!$A$1:$I$89,5,0)</f>
        <v>174.49067999999991</v>
      </c>
      <c r="CA54" s="13">
        <f t="shared" si="39"/>
        <v>44.094255253499043</v>
      </c>
      <c r="CB54" s="20">
        <f t="shared" si="10"/>
        <v>380.70209556651065</v>
      </c>
      <c r="CC54" s="59">
        <f t="shared" si="11"/>
        <v>674.03542889984396</v>
      </c>
      <c r="CD54" s="59">
        <f ca="1">AVERAGE(OFFSET($CC$3,0,0,'Données projet'!$E$12+1,1))-AVERAGE(OFFSET($H$3,0,0,'Données projet'!$E$12+1,1))</f>
        <v>350.91577977538822</v>
      </c>
      <c r="CE54" s="59">
        <f t="shared" si="40"/>
        <v>142.87103313412547</v>
      </c>
      <c r="CF54" s="15">
        <f>IF(ISNA(VLOOKUP(A54,'Données projet'!$A$113:$I$133,3,0)),0,VLOOKUP(A54,'Données projet'!$A$113:$I$133,3,0))</f>
        <v>2</v>
      </c>
      <c r="CG54" s="15">
        <f>IF(ISNA(VLOOKUP(A54,'Données projet'!$A$113:$I$133,4,0)),0,VLOOKUP(A54,'Données projet'!$A$113:$I$133,4,0))</f>
        <v>46.13</v>
      </c>
      <c r="CH54" s="16">
        <f>IF(ISNA(VLOOKUP(A54,'Données projet'!$A$113:$I$133,5,0)),0%,VLOOKUP(A54,'Données projet'!$A$113:$I$133,5,0)*VLOOKUP('Données projet'!$B$12,Paramètres!$A$1:$I$89,7,0))</f>
        <v>0.43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47.551477576149814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47.551477576149814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</v>
      </c>
      <c r="CT54" s="12">
        <f>IF('Données projet'!$A$140&gt;35,CT53+CS54-DB53,IF(A54&lt;'Données projet'!$A$140,$CQ$205^A54,IF(A54='Données projet'!$A$140,'Données projet'!$B$140,CT53+CS54-DB53)))</f>
        <v>207.99999999999989</v>
      </c>
      <c r="CU54" s="17">
        <f>CT54*VLOOKUP('Données projet'!$B$13,Paramètres!$A$1:$I$89,3,0)*VLOOKUP('Données projet'!$B$13,Paramètres!$A$1:$I$89,5,0)</f>
        <v>168.72959999999992</v>
      </c>
      <c r="CV54" s="13">
        <f t="shared" si="41"/>
        <v>42.805372152385068</v>
      </c>
      <c r="CW54" s="20">
        <f t="shared" si="13"/>
        <v>368.42340983207049</v>
      </c>
      <c r="CX54" s="59">
        <f t="shared" si="14"/>
        <v>661.7567431654038</v>
      </c>
      <c r="CY54" s="59">
        <f ca="1">AVERAGE(OFFSET($CX$3,0,0,'Données projet'!$E$13+1,1))-AVERAGE(OFFSET($H$3,0,0,'Données projet'!$E$13+1,1))</f>
        <v>230.38929580146208</v>
      </c>
      <c r="CZ54" s="59">
        <f t="shared" si="42"/>
        <v>227.1847788696258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37.602737177202634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37.602737177202634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7.556</v>
      </c>
      <c r="DO54" s="12">
        <f>IF('Données projet'!$A$166&gt;35,DO53+DN54-DW53,IF(A54&lt;'Données projet'!$A$166,$DL$205^A54,IF(A54='Données projet'!$A$166,'Données projet'!$B$166,DO53+DN54-DW53)))</f>
        <v>175.27599999999993</v>
      </c>
      <c r="DP54" s="17">
        <f>DO54*VLOOKUP('Données projet'!$B$14,Paramètres!$A$1:$I$89,3,0)*VLOOKUP('Données projet'!$B$14,Paramètres!$A$1:$I$89,5,0)</f>
        <v>104.81504799999996</v>
      </c>
      <c r="DQ54" s="13">
        <f t="shared" si="43"/>
        <v>28.105957875342483</v>
      </c>
      <c r="DR54" s="20">
        <f t="shared" si="16"/>
        <v>231.50408523288809</v>
      </c>
      <c r="DS54" s="59">
        <f t="shared" si="17"/>
        <v>524.83741856622146</v>
      </c>
      <c r="DT54" s="59">
        <f ca="1">AVERAGE(OFFSET($DS$3,0,0,'Données projet'!$E$14+1,1))-AVERAGE(OFFSET($H$3,0,0,'Données projet'!$E$14+1,1))</f>
        <v>145.97103392561058</v>
      </c>
      <c r="DU54" s="59">
        <f t="shared" si="44"/>
        <v>62.920713953681172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23.453622973363142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23.453622973363142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25.705000000000002</v>
      </c>
      <c r="N55" s="13">
        <f>IF('Données projet'!$A$36&gt;35,N54+M55-V54,IF(A55&lt;'Données projet'!$A$36,$K$205^A55,IF(A55='Données projet'!$A$36,'Données projet'!$B$36,N54+M55-V54)))</f>
        <v>657.20000000000027</v>
      </c>
      <c r="O55" s="13">
        <f>N55*VLOOKUP('Données projet'!$B$9,Paramètres!$A$1:$I$89,3,0)*VLOOKUP('Données projet'!$B$9,Paramètres!$A$1:$I$89,5,0)</f>
        <v>367.37480000000016</v>
      </c>
      <c r="P55" s="13">
        <f t="shared" si="33"/>
        <v>85.13001260681672</v>
      </c>
      <c r="Q55" s="20">
        <f t="shared" si="53"/>
        <v>788.11254862353928</v>
      </c>
      <c r="R55" s="59">
        <f t="shared" si="0"/>
        <v>1081.4458819568727</v>
      </c>
      <c r="S55" s="59">
        <f ca="1">AVERAGE(OFFSET($R$3,0,0,'Données projet'!$E$9+1,1))-AVERAGE(OFFSET($H$3,0,0,'Données projet'!$E$9+1,1))</f>
        <v>350.01600895263641</v>
      </c>
      <c r="T55" s="59">
        <f t="shared" si="34"/>
        <v>464.08921044376882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94.228082722973738</v>
      </c>
      <c r="AA55" s="21">
        <f>EXP(-LN(2)/25)*AA54+(1-EXP(-LN(2)/25))/(LN(2)/25)*Calculateur!V55*Calculateur!X55*VLOOKUP('Données projet'!$B$9,Paramètres!$A$1:$I$89,3,0)*0.475*44/12</f>
        <v>27.478781912477569</v>
      </c>
      <c r="AB55" s="21">
        <f>EXP(-LN(2)/2)*AB54+(1-EXP(-LN(2)/2))/(LN(2)/2)*V55*Y55*VLOOKUP('Données projet'!$B$9,Paramètres!$A$1:$I$89,3,0)*0.475*44/12</f>
        <v>3.6128932083145124E-4</v>
      </c>
      <c r="AC55" s="22">
        <f t="shared" si="3"/>
        <v>121.70722592477215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6.2</v>
      </c>
      <c r="AI55" s="13">
        <f>IF('Données projet'!$A$62&gt;35,AI54+AH55-AQ54,IF(A55&lt;'Données projet'!$A$62,$AF$205^A55,IF(A55='Données projet'!$A$62,'Données projet'!$B$62,AI54+AH55-AQ54)))</f>
        <v>182.40000000000003</v>
      </c>
      <c r="AJ55" s="13">
        <f>AI55*VLOOKUP('Données projet'!$B$10,Paramètres!$A$1:$I$89,3,0)*VLOOKUP('Données projet'!$B$10,Paramètres!$A$1:$I$89,5,0)</f>
        <v>159.34464000000006</v>
      </c>
      <c r="AK55" s="13">
        <f t="shared" si="35"/>
        <v>40.694661837553809</v>
      </c>
      <c r="AL55" s="20">
        <f t="shared" si="4"/>
        <v>348.40178403373966</v>
      </c>
      <c r="AM55" s="59">
        <f t="shared" si="5"/>
        <v>641.73511736707292</v>
      </c>
      <c r="AN55" s="59">
        <f ca="1">AVERAGE(OFFSET($AM$3,0,0,'Données projet'!$E$10+1,1))-AVERAGE(OFFSET($H$3,0,0,'Données projet'!$E$10+1,1))</f>
        <v>242.48830542479988</v>
      </c>
      <c r="AO55" s="59">
        <f t="shared" si="36"/>
        <v>226.11219631227061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30.98355546709011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30.98355546709011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8.8225000000000016</v>
      </c>
      <c r="BD55" s="12">
        <f>IF('Données projet'!$A$88&gt;35,BD54+BC55-BL54,IF(A55&lt;'Données projet'!$A$88,$BA$205^A55,IF(A55='Données projet'!$A$88,'Données projet'!$B$88,BD54+BC55-BL54)))</f>
        <v>155.5424999999999</v>
      </c>
      <c r="BE55" s="13">
        <f>BD55*VLOOKUP('Données projet'!$B$11,Paramètres!$A$1:$I$89,3,0)*VLOOKUP('Données projet'!$B$11,Paramètres!$A$1:$I$89,5,0)</f>
        <v>157.72009499999993</v>
      </c>
      <c r="BF55" s="13">
        <f t="shared" si="37"/>
        <v>40.32784772506227</v>
      </c>
      <c r="BG55" s="20">
        <f t="shared" si="7"/>
        <v>344.93350024615</v>
      </c>
      <c r="BH55" s="59">
        <f t="shared" si="8"/>
        <v>638.26683357948332</v>
      </c>
      <c r="BI55" s="59">
        <f ca="1">AVERAGE(OFFSET($BH$3,0,0,'Données projet'!$E$11+1,1))-AVERAGE(OFFSET($H$3,0,0,'Données projet'!$E$11+1,1))</f>
        <v>402.5435069258703</v>
      </c>
      <c r="BJ55" s="59">
        <f t="shared" si="38"/>
        <v>163.60655195816349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52.245455806676439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52.245455806676439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8.8225000000000016</v>
      </c>
      <c r="BY55" s="12">
        <f>IF('Données projet'!$A$114&gt;35,BY54+BX55-CG54,IF(A55&lt;'Données projet'!$A$114,$BV$205^A55,IF(A55='Données projet'!$A$114,'Données projet'!$B$114,BY54+BX55-CG54)))</f>
        <v>155.5424999999999</v>
      </c>
      <c r="BZ55" s="13">
        <f>BY55*VLOOKUP('Données projet'!$B$12,Paramètres!$A$1:$I$89,3,0)*VLOOKUP('Données projet'!$B$12,Paramètres!$A$1:$I$89,5,0)</f>
        <v>140.7348539999999</v>
      </c>
      <c r="CA55" s="13">
        <f t="shared" si="39"/>
        <v>36.465298899909499</v>
      </c>
      <c r="CB55" s="20">
        <f t="shared" si="10"/>
        <v>308.62359963400883</v>
      </c>
      <c r="CC55" s="59">
        <f t="shared" si="11"/>
        <v>601.95693296734214</v>
      </c>
      <c r="CD55" s="59">
        <f ca="1">AVERAGE(OFFSET($CC$3,0,0,'Données projet'!$E$12+1,1))-AVERAGE(OFFSET($H$3,0,0,'Données projet'!$E$12+1,1))</f>
        <v>350.91577977538822</v>
      </c>
      <c r="CE55" s="59">
        <f t="shared" si="40"/>
        <v>142.87103313412547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46.619022104418974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46.619022104418974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</v>
      </c>
      <c r="CT55" s="12">
        <f>IF('Données projet'!$A$140&gt;35,CT54+CS55-DB54,IF(A55&lt;'Données projet'!$A$140,$CQ$205^A55,IF(A55='Données projet'!$A$140,'Données projet'!$B$140,CT54+CS55-DB54)))</f>
        <v>213.99999999999989</v>
      </c>
      <c r="CU55" s="17">
        <f>CT55*VLOOKUP('Données projet'!$B$13,Paramètres!$A$1:$I$89,3,0)*VLOOKUP('Données projet'!$B$13,Paramètres!$A$1:$I$89,5,0)</f>
        <v>173.59679999999992</v>
      </c>
      <c r="CV55" s="13">
        <f t="shared" si="41"/>
        <v>43.894602908365897</v>
      </c>
      <c r="CW55" s="20">
        <f t="shared" si="13"/>
        <v>378.79752673207048</v>
      </c>
      <c r="CX55" s="59">
        <f t="shared" si="14"/>
        <v>672.13086006540379</v>
      </c>
      <c r="CY55" s="59">
        <f ca="1">AVERAGE(OFFSET($CX$3,0,0,'Données projet'!$E$13+1,1))-AVERAGE(OFFSET($H$3,0,0,'Données projet'!$E$13+1,1))</f>
        <v>230.38929580146208</v>
      </c>
      <c r="CZ55" s="59">
        <f t="shared" si="42"/>
        <v>227.1847788696258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36.865370436562685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36.865370436562685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7.556</v>
      </c>
      <c r="DO55" s="12">
        <f>IF('Données projet'!$A$166&gt;35,DO54+DN55-DW54,IF(A55&lt;'Données projet'!$A$166,$DL$205^A55,IF(A55='Données projet'!$A$166,'Données projet'!$B$166,DO54+DN55-DW54)))</f>
        <v>182.83199999999994</v>
      </c>
      <c r="DP55" s="17">
        <f>DO55*VLOOKUP('Données projet'!$B$14,Paramètres!$A$1:$I$89,3,0)*VLOOKUP('Données projet'!$B$14,Paramètres!$A$1:$I$89,5,0)</f>
        <v>109.33353599999997</v>
      </c>
      <c r="DQ55" s="13">
        <f t="shared" si="43"/>
        <v>29.173904960838623</v>
      </c>
      <c r="DR55" s="20">
        <f t="shared" si="16"/>
        <v>241.23379300679383</v>
      </c>
      <c r="DS55" s="59">
        <f t="shared" si="17"/>
        <v>534.56712634012717</v>
      </c>
      <c r="DT55" s="59">
        <f ca="1">AVERAGE(OFFSET($DS$3,0,0,'Données projet'!$E$14+1,1))-AVERAGE(OFFSET($H$3,0,0,'Données projet'!$E$14+1,1))</f>
        <v>145.97103392561058</v>
      </c>
      <c r="DU55" s="59">
        <f t="shared" si="44"/>
        <v>62.920713953681172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22.993711732152974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22.993711732152974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25.705000000000002</v>
      </c>
      <c r="N56" s="13">
        <f>IF('Données projet'!$A$36&gt;35,N55+M56-V55,IF(A56&lt;'Données projet'!$A$36,$K$205^A56,IF(A56='Données projet'!$A$36,'Données projet'!$B$36,N55+M56-V55)))</f>
        <v>682.90500000000031</v>
      </c>
      <c r="O56" s="13">
        <f>N56*VLOOKUP('Données projet'!$B$9,Paramètres!$A$1:$I$89,3,0)*VLOOKUP('Données projet'!$B$9,Paramètres!$A$1:$I$89,5,0)</f>
        <v>381.74389500000018</v>
      </c>
      <c r="P56" s="13">
        <f t="shared" si="33"/>
        <v>88.065517757867923</v>
      </c>
      <c r="Q56" s="20">
        <f t="shared" si="53"/>
        <v>818.25139388662035</v>
      </c>
      <c r="R56" s="59">
        <f t="shared" si="0"/>
        <v>1111.5847272199537</v>
      </c>
      <c r="S56" s="59">
        <f ca="1">AVERAGE(OFFSET($R$3,0,0,'Données projet'!$E$9+1,1))-AVERAGE(OFFSET($H$3,0,0,'Données projet'!$E$9+1,1))</f>
        <v>350.01600895263641</v>
      </c>
      <c r="T56" s="59">
        <f t="shared" si="34"/>
        <v>464.08921044376882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92.380327494231651</v>
      </c>
      <c r="AA56" s="21">
        <f>EXP(-LN(2)/25)*AA55+(1-EXP(-LN(2)/25))/(LN(2)/25)*Calculateur!V56*Calculateur!X56*VLOOKUP('Données projet'!$B$9,Paramètres!$A$1:$I$89,3,0)*0.475*44/12</f>
        <v>26.727373176034533</v>
      </c>
      <c r="AB56" s="21">
        <f>EXP(-LN(2)/2)*AB55+(1-EXP(-LN(2)/2))/(LN(2)/2)*V56*Y56*VLOOKUP('Données projet'!$B$9,Paramètres!$A$1:$I$89,3,0)*0.475*44/12</f>
        <v>2.5547012873020135E-4</v>
      </c>
      <c r="AC56" s="22">
        <f t="shared" si="3"/>
        <v>119.10795614039492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6.2</v>
      </c>
      <c r="AI56" s="13">
        <f>IF('Données projet'!$A$62&gt;35,AI55+AH56-AQ55,IF(A56&lt;'Données projet'!$A$62,$AF$205^A56,IF(A56='Données projet'!$A$62,'Données projet'!$B$62,AI55+AH56-AQ55)))</f>
        <v>188.60000000000002</v>
      </c>
      <c r="AJ56" s="13">
        <f>AI56*VLOOKUP('Données projet'!$B$10,Paramètres!$A$1:$I$89,3,0)*VLOOKUP('Données projet'!$B$10,Paramètres!$A$1:$I$89,5,0)</f>
        <v>164.76096000000004</v>
      </c>
      <c r="AK56" s="13">
        <f t="shared" si="35"/>
        <v>41.914523809719945</v>
      </c>
      <c r="AL56" s="20">
        <f t="shared" si="4"/>
        <v>359.95980096859563</v>
      </c>
      <c r="AM56" s="59">
        <f t="shared" si="5"/>
        <v>653.29313430192894</v>
      </c>
      <c r="AN56" s="59">
        <f ca="1">AVERAGE(OFFSET($AM$3,0,0,'Données projet'!$E$10+1,1))-AVERAGE(OFFSET($H$3,0,0,'Données projet'!$E$10+1,1))</f>
        <v>242.48830542479988</v>
      </c>
      <c r="AO56" s="59">
        <f t="shared" si="36"/>
        <v>226.11219631227061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30.375986842483275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30.375986842483275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8.8225000000000016</v>
      </c>
      <c r="BD56" s="12">
        <f>IF('Données projet'!$A$88&gt;35,BD55+BC56-BL55,IF(A56&lt;'Données projet'!$A$88,$BA$205^A56,IF(A56='Données projet'!$A$88,'Données projet'!$B$88,BD55+BC56-BL55)))</f>
        <v>164.3649999999999</v>
      </c>
      <c r="BE56" s="13">
        <f>BD56*VLOOKUP('Données projet'!$B$11,Paramètres!$A$1:$I$89,3,0)*VLOOKUP('Données projet'!$B$11,Paramètres!$A$1:$I$89,5,0)</f>
        <v>166.66610999999992</v>
      </c>
      <c r="BF56" s="13">
        <f t="shared" si="37"/>
        <v>42.342484607938282</v>
      </c>
      <c r="BG56" s="20">
        <f t="shared" si="7"/>
        <v>364.02330227549237</v>
      </c>
      <c r="BH56" s="59">
        <f t="shared" si="8"/>
        <v>657.35663560882563</v>
      </c>
      <c r="BI56" s="59">
        <f ca="1">AVERAGE(OFFSET($BH$3,0,0,'Données projet'!$E$11+1,1))-AVERAGE(OFFSET($H$3,0,0,'Données projet'!$E$11+1,1))</f>
        <v>402.5435069258703</v>
      </c>
      <c r="BJ56" s="59">
        <f t="shared" si="38"/>
        <v>163.60655195816349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51.22095428488899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51.22095428488899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8.8225000000000016</v>
      </c>
      <c r="BY56" s="12">
        <f>IF('Données projet'!$A$114&gt;35,BY55+BX56-CG55,IF(A56&lt;'Données projet'!$A$114,$BV$205^A56,IF(A56='Données projet'!$A$114,'Données projet'!$B$114,BY55+BX56-CG55)))</f>
        <v>164.3649999999999</v>
      </c>
      <c r="BZ56" s="13">
        <f>BY56*VLOOKUP('Données projet'!$B$12,Paramètres!$A$1:$I$89,3,0)*VLOOKUP('Données projet'!$B$12,Paramètres!$A$1:$I$89,5,0)</f>
        <v>148.71745199999989</v>
      </c>
      <c r="CA56" s="13">
        <f t="shared" si="39"/>
        <v>38.286976481359048</v>
      </c>
      <c r="CB56" s="20">
        <f t="shared" si="10"/>
        <v>325.69937960503347</v>
      </c>
      <c r="CC56" s="59">
        <f t="shared" si="11"/>
        <v>619.03271293836679</v>
      </c>
      <c r="CD56" s="59">
        <f ca="1">AVERAGE(OFFSET($CC$3,0,0,'Données projet'!$E$12+1,1))-AVERAGE(OFFSET($H$3,0,0,'Données projet'!$E$12+1,1))</f>
        <v>350.91577977538822</v>
      </c>
      <c r="CE56" s="59">
        <f t="shared" si="40"/>
        <v>142.87103313412547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45.704851515747102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45.704851515747102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</v>
      </c>
      <c r="CT56" s="12">
        <f>IF('Données projet'!$A$140&gt;35,CT55+CS56-DB55,IF(A56&lt;'Données projet'!$A$140,$CQ$205^A56,IF(A56='Données projet'!$A$140,'Données projet'!$B$140,CT55+CS56-DB55)))</f>
        <v>219.99999999999989</v>
      </c>
      <c r="CU56" s="17">
        <f>CT56*VLOOKUP('Données projet'!$B$13,Paramètres!$A$1:$I$89,3,0)*VLOOKUP('Données projet'!$B$13,Paramètres!$A$1:$I$89,5,0)</f>
        <v>178.46399999999991</v>
      </c>
      <c r="CV56" s="13">
        <f t="shared" si="41"/>
        <v>44.980284206661821</v>
      </c>
      <c r="CW56" s="20">
        <f t="shared" si="13"/>
        <v>389.16546165993583</v>
      </c>
      <c r="CX56" s="59">
        <f t="shared" si="14"/>
        <v>682.49879499326914</v>
      </c>
      <c r="CY56" s="59">
        <f ca="1">AVERAGE(OFFSET($CX$3,0,0,'Données projet'!$E$13+1,1))-AVERAGE(OFFSET($H$3,0,0,'Données projet'!$E$13+1,1))</f>
        <v>230.38929580146208</v>
      </c>
      <c r="CZ56" s="59">
        <f t="shared" si="42"/>
        <v>227.1847788696258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36.142463007957382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36.142463007957382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7.556</v>
      </c>
      <c r="DO56" s="12">
        <f>IF('Données projet'!$A$166&gt;35,DO55+DN56-DW55,IF(A56&lt;'Données projet'!$A$166,$DL$205^A56,IF(A56='Données projet'!$A$166,'Données projet'!$B$166,DO55+DN56-DW55)))</f>
        <v>190.38799999999995</v>
      </c>
      <c r="DP56" s="17">
        <f>DO56*VLOOKUP('Données projet'!$B$14,Paramètres!$A$1:$I$89,3,0)*VLOOKUP('Données projet'!$B$14,Paramètres!$A$1:$I$89,5,0)</f>
        <v>113.85202399999999</v>
      </c>
      <c r="DQ56" s="13">
        <f t="shared" si="43"/>
        <v>30.236725453083533</v>
      </c>
      <c r="DR56" s="20">
        <f t="shared" si="16"/>
        <v>250.95457196412045</v>
      </c>
      <c r="DS56" s="59">
        <f t="shared" si="17"/>
        <v>544.28790529745379</v>
      </c>
      <c r="DT56" s="59">
        <f ca="1">AVERAGE(OFFSET($DS$3,0,0,'Données projet'!$E$14+1,1))-AVERAGE(OFFSET($H$3,0,0,'Données projet'!$E$14+1,1))</f>
        <v>145.97103392561058</v>
      </c>
      <c r="DU56" s="59">
        <f t="shared" si="44"/>
        <v>62.920713953681172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22.54281906986478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22.54281906986478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708.61</v>
      </c>
      <c r="L57" s="12">
        <f>VLOOKUP(A57,'Données projet'!$A$35:$I$55,9,0)</f>
        <v>25.705000000000002</v>
      </c>
      <c r="M57" s="12">
        <f t="array" ref="M57">INDEX(L:L,MIN(IF(ISNUMBER(L57:L253),ROW(L57:L253),"")))</f>
        <v>25.705000000000002</v>
      </c>
      <c r="N57" s="13">
        <f>IF('Données projet'!$A$36&gt;35,N56+M57-V56,IF(A57&lt;'Données projet'!$A$36,$K$205^A57,IF(A57='Données projet'!$A$36,'Données projet'!$B$36,N56+M57-V56)))</f>
        <v>708.61000000000035</v>
      </c>
      <c r="O57" s="13">
        <f>N57*VLOOKUP('Données projet'!$B$9,Paramètres!$A$1:$I$89,3,0)*VLOOKUP('Données projet'!$B$9,Paramètres!$A$1:$I$89,5,0)</f>
        <v>396.1129900000002</v>
      </c>
      <c r="P57" s="13">
        <f t="shared" si="33"/>
        <v>90.988186296707582</v>
      </c>
      <c r="Q57" s="20">
        <f t="shared" si="53"/>
        <v>848.36788205009941</v>
      </c>
      <c r="R57" s="59">
        <f t="shared" si="0"/>
        <v>1141.7012153834328</v>
      </c>
      <c r="S57" s="59">
        <f ca="1">AVERAGE(OFFSET($R$3,0,0,'Données projet'!$E$9+1,1))-AVERAGE(OFFSET($H$3,0,0,'Données projet'!$E$9+1,1))</f>
        <v>350.01600895263641</v>
      </c>
      <c r="T57" s="59">
        <f t="shared" si="34"/>
        <v>464.08921044376882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707.75</v>
      </c>
      <c r="W57" s="16">
        <f>IF(ISNA(VLOOKUP(A57,'Données projet'!$A$35:$I$55,5,0)),0%,VLOOKUP(A57,'Données projet'!$A$35:$I$55,5,0)*VLOOKUP('Données projet'!$B$9,Paramètres!$A$1:$I$89,7,0))</f>
        <v>0.55000000000000004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379.22622977006932</v>
      </c>
      <c r="AA57" s="21">
        <f>EXP(-LN(2)/25)*AA56+(1-EXP(-LN(2)/25))/(LN(2)/25)*Calculateur!V57*Calculateur!X57*VLOOKUP('Données projet'!$B$9,Paramètres!$A$1:$I$89,3,0)*0.475*44/12</f>
        <v>25.996511751004398</v>
      </c>
      <c r="AB57" s="21">
        <f>EXP(-LN(2)/2)*AB56+(1-EXP(-LN(2)/2))/(LN(2)/2)*V57*Y57*VLOOKUP('Données projet'!$B$9,Paramètres!$A$1:$I$89,3,0)*0.475*44/12</f>
        <v>1.8064466041572562E-4</v>
      </c>
      <c r="AC57" s="22">
        <f t="shared" si="3"/>
        <v>405.22292216573413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6.2</v>
      </c>
      <c r="AI57" s="13">
        <f>IF('Données projet'!$A$62&gt;35,AI56+AH57-AQ56,IF(A57&lt;'Données projet'!$A$62,$AF$205^A57,IF(A57='Données projet'!$A$62,'Données projet'!$B$62,AI56+AH57-AQ56)))</f>
        <v>194.8</v>
      </c>
      <c r="AJ57" s="13">
        <f>AI57*VLOOKUP('Données projet'!$B$10,Paramètres!$A$1:$I$89,3,0)*VLOOKUP('Données projet'!$B$10,Paramètres!$A$1:$I$89,5,0)</f>
        <v>170.17728000000005</v>
      </c>
      <c r="AK57" s="13">
        <f t="shared" si="35"/>
        <v>43.129725999134671</v>
      </c>
      <c r="AL57" s="20">
        <f t="shared" si="4"/>
        <v>371.50970211515966</v>
      </c>
      <c r="AM57" s="59">
        <f t="shared" si="5"/>
        <v>664.84303544849297</v>
      </c>
      <c r="AN57" s="59">
        <f ca="1">AVERAGE(OFFSET($AM$3,0,0,'Données projet'!$E$10+1,1))-AVERAGE(OFFSET($H$3,0,0,'Données projet'!$E$10+1,1))</f>
        <v>242.48830542479988</v>
      </c>
      <c r="AO57" s="59">
        <f t="shared" si="36"/>
        <v>226.11219631227061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29.780332268024711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29.780332268024711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8.8225000000000016</v>
      </c>
      <c r="BD57" s="12">
        <f>IF('Données projet'!$A$88&gt;35,BD56+BC57-BL56,IF(A57&lt;'Données projet'!$A$88,$BA$205^A57,IF(A57='Données projet'!$A$88,'Données projet'!$B$88,BD56+BC57-BL56)))</f>
        <v>173.18749999999989</v>
      </c>
      <c r="BE57" s="13">
        <f>BD57*VLOOKUP('Données projet'!$B$11,Paramètres!$A$1:$I$89,3,0)*VLOOKUP('Données projet'!$B$11,Paramètres!$A$1:$I$89,5,0)</f>
        <v>175.61212499999991</v>
      </c>
      <c r="BF57" s="13">
        <f t="shared" si="37"/>
        <v>44.344567081778528</v>
      </c>
      <c r="BG57" s="20">
        <f t="shared" si="7"/>
        <v>383.09123870909747</v>
      </c>
      <c r="BH57" s="59">
        <f t="shared" si="8"/>
        <v>676.42457204243078</v>
      </c>
      <c r="BI57" s="59">
        <f ca="1">AVERAGE(OFFSET($BH$3,0,0,'Données projet'!$E$11+1,1))-AVERAGE(OFFSET($H$3,0,0,'Données projet'!$E$11+1,1))</f>
        <v>402.5435069258703</v>
      </c>
      <c r="BJ57" s="59">
        <f t="shared" si="38"/>
        <v>163.60655195816349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50.216542613059566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50.216542613059566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8.8225000000000016</v>
      </c>
      <c r="BY57" s="12">
        <f>IF('Données projet'!$A$114&gt;35,BY56+BX57-CG56,IF(A57&lt;'Données projet'!$A$114,$BV$205^A57,IF(A57='Données projet'!$A$114,'Données projet'!$B$114,BY56+BX57-CG56)))</f>
        <v>173.18749999999989</v>
      </c>
      <c r="BZ57" s="13">
        <f>BY57*VLOOKUP('Données projet'!$B$12,Paramètres!$A$1:$I$89,3,0)*VLOOKUP('Données projet'!$B$12,Paramètres!$A$1:$I$89,5,0)</f>
        <v>156.70004999999989</v>
      </c>
      <c r="CA57" s="13">
        <f t="shared" si="39"/>
        <v>40.097302098748344</v>
      </c>
      <c r="CB57" s="20">
        <f t="shared" si="10"/>
        <v>342.75538823865321</v>
      </c>
      <c r="CC57" s="59">
        <f t="shared" si="11"/>
        <v>636.08872157198653</v>
      </c>
      <c r="CD57" s="59">
        <f ca="1">AVERAGE(OFFSET($CC$3,0,0,'Données projet'!$E$12+1,1))-AVERAGE(OFFSET($H$3,0,0,'Données projet'!$E$12+1,1))</f>
        <v>350.91577977538822</v>
      </c>
      <c r="CE57" s="59">
        <f t="shared" si="40"/>
        <v>142.87103313412547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44.808607254730077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44.808607254730077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</v>
      </c>
      <c r="CT57" s="12">
        <f>IF('Données projet'!$A$140&gt;35,CT56+CS57-DB56,IF(A57&lt;'Données projet'!$A$140,$CQ$205^A57,IF(A57='Données projet'!$A$140,'Données projet'!$B$140,CT56+CS57-DB56)))</f>
        <v>225.99999999999989</v>
      </c>
      <c r="CU57" s="17">
        <f>CT57*VLOOKUP('Données projet'!$B$13,Paramètres!$A$1:$I$89,3,0)*VLOOKUP('Données projet'!$B$13,Paramètres!$A$1:$I$89,5,0)</f>
        <v>183.33119999999991</v>
      </c>
      <c r="CV57" s="13">
        <f t="shared" si="41"/>
        <v>46.062523974317784</v>
      </c>
      <c r="CW57" s="20">
        <f t="shared" si="13"/>
        <v>399.52740258860331</v>
      </c>
      <c r="CX57" s="59">
        <f t="shared" si="14"/>
        <v>692.86073592193657</v>
      </c>
      <c r="CY57" s="59">
        <f ca="1">AVERAGE(OFFSET($CX$3,0,0,'Données projet'!$E$13+1,1))-AVERAGE(OFFSET($H$3,0,0,'Données projet'!$E$13+1,1))</f>
        <v>230.38929580146208</v>
      </c>
      <c r="CZ57" s="59">
        <f t="shared" si="42"/>
        <v>227.1847788696258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35.433731353097038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35.433731353097038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7.556</v>
      </c>
      <c r="DO57" s="12">
        <f>IF('Données projet'!$A$166&gt;35,DO56+DN57-DW56,IF(A57&lt;'Données projet'!$A$166,$DL$205^A57,IF(A57='Données projet'!$A$166,'Données projet'!$B$166,DO56+DN57-DW56)))</f>
        <v>197.94399999999996</v>
      </c>
      <c r="DP57" s="17">
        <f>DO57*VLOOKUP('Données projet'!$B$14,Paramètres!$A$1:$I$89,3,0)*VLOOKUP('Données projet'!$B$14,Paramètres!$A$1:$I$89,5,0)</f>
        <v>118.37051199999998</v>
      </c>
      <c r="DQ57" s="13">
        <f t="shared" si="43"/>
        <v>31.294646093400015</v>
      </c>
      <c r="DR57" s="20">
        <f t="shared" si="16"/>
        <v>260.66681701267163</v>
      </c>
      <c r="DS57" s="59">
        <f t="shared" si="17"/>
        <v>554.00015034600494</v>
      </c>
      <c r="DT57" s="59">
        <f ca="1">AVERAGE(OFFSET($DS$3,0,0,'Données projet'!$E$14+1,1))-AVERAGE(OFFSET($H$3,0,0,'Données projet'!$E$14+1,1))</f>
        <v>145.97103392561058</v>
      </c>
      <c r="DU57" s="59">
        <f t="shared" si="44"/>
        <v>62.920713953681172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22.100768137666687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22.100768137666687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0.8600000000003547</v>
      </c>
      <c r="O58" s="13">
        <f>N58*VLOOKUP('Données projet'!$B$9,Paramètres!$A$1:$I$89,3,0)*VLOOKUP('Données projet'!$B$9,Paramètres!$A$1:$I$89,5,0)</f>
        <v>0.48074000000019829</v>
      </c>
      <c r="P58" s="13">
        <f t="shared" si="33"/>
        <v>0.24126147010950588</v>
      </c>
      <c r="Q58" s="20">
        <f t="shared" si="53"/>
        <v>1.2574858937744013</v>
      </c>
      <c r="R58" s="59">
        <f t="shared" si="0"/>
        <v>294.59081922710772</v>
      </c>
      <c r="S58" s="59">
        <f ca="1">AVERAGE(OFFSET($R$3,0,0,'Données projet'!$E$9+1,1))-AVERAGE(OFFSET($H$3,0,0,'Données projet'!$E$9+1,1))</f>
        <v>350.01600895263641</v>
      </c>
      <c r="T58" s="59">
        <f t="shared" si="34"/>
        <v>464.08921044376882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371.78983470943894</v>
      </c>
      <c r="AA58" s="21">
        <f>EXP(-LN(2)/25)*AA57+(1-EXP(-LN(2)/25))/(LN(2)/25)*Calculateur!V58*Calculateur!X58*VLOOKUP('Données projet'!$B$9,Paramètres!$A$1:$I$89,3,0)*0.475*44/12</f>
        <v>25.285635770076045</v>
      </c>
      <c r="AB58" s="21">
        <f>EXP(-LN(2)/2)*AB57+(1-EXP(-LN(2)/2))/(LN(2)/2)*V58*Y58*VLOOKUP('Données projet'!$B$9,Paramètres!$A$1:$I$89,3,0)*0.475*44/12</f>
        <v>1.2773506436510067E-4</v>
      </c>
      <c r="AC58" s="22">
        <f t="shared" si="3"/>
        <v>397.07559821457937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201</v>
      </c>
      <c r="AG58" s="12">
        <f>VLOOKUP(A58,'Données projet'!$A$61:$I$81,9,0)</f>
        <v>6.2</v>
      </c>
      <c r="AH58" s="12">
        <f t="array" ref="AH58">INDEX(AG:AG,MIN(IF(ISNUMBER(AG58:AG254),ROW(AG58:AG254),"")))</f>
        <v>6.2</v>
      </c>
      <c r="AI58" s="13">
        <f>IF('Données projet'!$A$62&gt;35,AI57+AH58-AQ57,IF(A58&lt;'Données projet'!$A$62,$AF$205^A58,IF(A58='Données projet'!$A$62,'Données projet'!$B$62,AI57+AH58-AQ57)))</f>
        <v>201</v>
      </c>
      <c r="AJ58" s="13">
        <f>AI58*VLOOKUP('Données projet'!$B$10,Paramètres!$A$1:$I$89,3,0)*VLOOKUP('Données projet'!$B$10,Paramètres!$A$1:$I$89,5,0)</f>
        <v>175.59360000000004</v>
      </c>
      <c r="AK58" s="13">
        <f t="shared" si="35"/>
        <v>44.340433728638573</v>
      </c>
      <c r="AL58" s="20">
        <f t="shared" si="4"/>
        <v>383.05177541071225</v>
      </c>
      <c r="AM58" s="59">
        <f t="shared" si="5"/>
        <v>676.38510874404551</v>
      </c>
      <c r="AN58" s="59">
        <f ca="1">AVERAGE(OFFSET($AM$3,0,0,'Données projet'!$E$10+1,1))-AVERAGE(OFFSET($H$3,0,0,'Données projet'!$E$10+1,1))</f>
        <v>242.48830542479988</v>
      </c>
      <c r="AO58" s="59">
        <f t="shared" si="36"/>
        <v>226.11219631227061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20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37.501712859073734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37.501712859073734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8.8225000000000016</v>
      </c>
      <c r="BD58" s="12">
        <f>IF('Données projet'!$A$88&gt;35,BD57+BC58-BL57,IF(A58&lt;'Données projet'!$A$88,$BA$205^A58,IF(A58='Données projet'!$A$88,'Données projet'!$B$88,BD57+BC58-BL57)))</f>
        <v>182.00999999999988</v>
      </c>
      <c r="BE58" s="13">
        <f>BD58*VLOOKUP('Données projet'!$B$11,Paramètres!$A$1:$I$89,3,0)*VLOOKUP('Données projet'!$B$11,Paramètres!$A$1:$I$89,5,0)</f>
        <v>184.5581399999999</v>
      </c>
      <c r="BF58" s="13">
        <f t="shared" si="37"/>
        <v>46.334807653923768</v>
      </c>
      <c r="BG58" s="20">
        <f t="shared" si="7"/>
        <v>402.13855049725038</v>
      </c>
      <c r="BH58" s="59">
        <f t="shared" si="8"/>
        <v>695.47188383058369</v>
      </c>
      <c r="BI58" s="59">
        <f ca="1">AVERAGE(OFFSET($BH$3,0,0,'Données projet'!$E$11+1,1))-AVERAGE(OFFSET($H$3,0,0,'Données projet'!$E$11+1,1))</f>
        <v>402.5435069258703</v>
      </c>
      <c r="BJ58" s="59">
        <f t="shared" si="38"/>
        <v>163.60655195816349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49.231826841484093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49.231826841484093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8.8225000000000016</v>
      </c>
      <c r="BY58" s="12">
        <f>IF('Données projet'!$A$114&gt;35,BY57+BX58-CG57,IF(A58&lt;'Données projet'!$A$114,$BV$205^A58,IF(A58='Données projet'!$A$114,'Données projet'!$B$114,BY57+BX58-CG57)))</f>
        <v>182.00999999999988</v>
      </c>
      <c r="BZ58" s="13">
        <f>BY58*VLOOKUP('Données projet'!$B$12,Paramètres!$A$1:$I$89,3,0)*VLOOKUP('Données projet'!$B$12,Paramètres!$A$1:$I$89,5,0)</f>
        <v>164.68264799999989</v>
      </c>
      <c r="CA58" s="13">
        <f t="shared" si="39"/>
        <v>41.89692001639137</v>
      </c>
      <c r="CB58" s="20">
        <f t="shared" si="10"/>
        <v>359.79274762854806</v>
      </c>
      <c r="CC58" s="59">
        <f t="shared" si="11"/>
        <v>653.12608096188137</v>
      </c>
      <c r="CD58" s="59">
        <f ca="1">AVERAGE(OFFSET($CC$3,0,0,'Données projet'!$E$12+1,1))-AVERAGE(OFFSET($H$3,0,0,'Données projet'!$E$12+1,1))</f>
        <v>350.91577977538822</v>
      </c>
      <c r="CE58" s="59">
        <f t="shared" si="40"/>
        <v>142.87103313412547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43.929937797016578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43.929937797016578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232</v>
      </c>
      <c r="CR58" s="12">
        <f>VLOOKUP(A58,'Données projet'!$A$139:$I$159,9,0)</f>
        <v>6</v>
      </c>
      <c r="CS58" s="12">
        <f t="array" ref="CS58">INDEX(CR:CR,MIN(IF(ISNUMBER(CR58:CR254),ROW(CR58:CR254),"")))</f>
        <v>6</v>
      </c>
      <c r="CT58" s="12">
        <f>IF('Données projet'!$A$140&gt;35,CT57+CS58-DB57,IF(A58&lt;'Données projet'!$A$140,$CQ$205^A58,IF(A58='Données projet'!$A$140,'Données projet'!$B$140,CT57+CS58-DB57)))</f>
        <v>231.99999999999989</v>
      </c>
      <c r="CU58" s="17">
        <f>CT58*VLOOKUP('Données projet'!$B$13,Paramètres!$A$1:$I$89,3,0)*VLOOKUP('Données projet'!$B$13,Paramètres!$A$1:$I$89,5,0)</f>
        <v>188.19839999999991</v>
      </c>
      <c r="CV58" s="13">
        <f t="shared" si="41"/>
        <v>47.141424081428013</v>
      </c>
      <c r="CW58" s="20">
        <f t="shared" si="13"/>
        <v>409.88352694182026</v>
      </c>
      <c r="CX58" s="59">
        <f t="shared" si="14"/>
        <v>703.21686027515352</v>
      </c>
      <c r="CY58" s="59">
        <f ca="1">AVERAGE(OFFSET($CX$3,0,0,'Données projet'!$E$13+1,1))-AVERAGE(OFFSET($H$3,0,0,'Données projet'!$E$13+1,1))</f>
        <v>230.38929580146208</v>
      </c>
      <c r="CZ58" s="59">
        <f t="shared" si="42"/>
        <v>227.1847788696258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13</v>
      </c>
      <c r="DC58" s="16">
        <f>IF(ISNA(VLOOKUP(A58,'Données projet'!$A$139:$I$159,5,0)),0%,VLOOKUP(A58,'Données projet'!$A$139:$I$159,5,0)*VLOOKUP('Données projet'!$B$13,Paramètres!$A$1:$I$89,7,0))</f>
        <v>0.53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40.917557163938298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40.917557163938298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205.5</v>
      </c>
      <c r="DM58" s="12">
        <f>VLOOKUP(A58,'Données projet'!$A$165:$I$185,9,0)</f>
        <v>7.556</v>
      </c>
      <c r="DN58" s="12">
        <f t="array" ref="DN58">INDEX(DM:DM,MIN(IF(ISNUMBER(DM58:DM254),ROW(DM58:DM254),"")))</f>
        <v>7.556</v>
      </c>
      <c r="DO58" s="12">
        <f>IF('Données projet'!$A$166&gt;35,DO57+DN58-DW57,IF(A58&lt;'Données projet'!$A$166,$DL$205^A58,IF(A58='Données projet'!$A$166,'Données projet'!$B$166,DO57+DN58-DW57)))</f>
        <v>205.49999999999997</v>
      </c>
      <c r="DP58" s="17">
        <f>DO58*VLOOKUP('Données projet'!$B$14,Paramètres!$A$1:$I$89,3,0)*VLOOKUP('Données projet'!$B$14,Paramètres!$A$1:$I$89,5,0)</f>
        <v>122.88899999999998</v>
      </c>
      <c r="DQ58" s="13">
        <f t="shared" si="43"/>
        <v>32.347875332170432</v>
      </c>
      <c r="DR58" s="20">
        <f t="shared" si="16"/>
        <v>270.37089120353011</v>
      </c>
      <c r="DS58" s="59">
        <f t="shared" si="17"/>
        <v>563.70422453686342</v>
      </c>
      <c r="DT58" s="59">
        <f ca="1">AVERAGE(OFFSET($DS$3,0,0,'Données projet'!$E$14+1,1))-AVERAGE(OFFSET($H$3,0,0,'Données projet'!$E$14+1,1))</f>
        <v>145.97103392561058</v>
      </c>
      <c r="DU58" s="59">
        <f t="shared" si="44"/>
        <v>62.920713953681172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21.667385554624556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21.667385554624556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0.8600000000003547</v>
      </c>
      <c r="O59" s="13">
        <f>N59*VLOOKUP('Données projet'!$B$9,Paramètres!$A$1:$I$89,3,0)*VLOOKUP('Données projet'!$B$9,Paramètres!$A$1:$I$89,5,0)</f>
        <v>0.48074000000019829</v>
      </c>
      <c r="P59" s="13">
        <f t="shared" si="33"/>
        <v>0.24126147010950588</v>
      </c>
      <c r="Q59" s="20">
        <f t="shared" si="53"/>
        <v>1.2574858937744013</v>
      </c>
      <c r="R59" s="59">
        <f t="shared" si="0"/>
        <v>294.59081922710772</v>
      </c>
      <c r="S59" s="59">
        <f ca="1">AVERAGE(OFFSET($R$3,0,0,'Données projet'!$E$9+1,1))-AVERAGE(OFFSET($H$3,0,0,'Données projet'!$E$9+1,1))</f>
        <v>350.01600895263641</v>
      </c>
      <c r="T59" s="59">
        <f t="shared" si="34"/>
        <v>464.08921044376882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364.49926282019442</v>
      </c>
      <c r="AA59" s="21">
        <f>EXP(-LN(2)/25)*AA58+(1-EXP(-LN(2)/25))/(LN(2)/25)*Calculateur!V59*Calculateur!X59*VLOOKUP('Données projet'!$B$9,Paramètres!$A$1:$I$89,3,0)*0.475*44/12</f>
        <v>24.594198730229522</v>
      </c>
      <c r="AB59" s="21">
        <f>EXP(-LN(2)/2)*AB58+(1-EXP(-LN(2)/2))/(LN(2)/2)*V59*Y59*VLOOKUP('Données projet'!$B$9,Paramètres!$A$1:$I$89,3,0)*0.475*44/12</f>
        <v>9.032233020786281E-5</v>
      </c>
      <c r="AC59" s="22">
        <f t="shared" si="3"/>
        <v>389.09355187275418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5.2</v>
      </c>
      <c r="AI59" s="13">
        <f>IF('Données projet'!$A$62&gt;35,AI58+AH59-AQ58,IF(A59&lt;'Données projet'!$A$62,$AF$205^A59,IF(A59='Données projet'!$A$62,'Données projet'!$B$62,AI58+AH59-AQ58)))</f>
        <v>186.2</v>
      </c>
      <c r="AJ59" s="13">
        <f>AI59*VLOOKUP('Données projet'!$B$10,Paramètres!$A$1:$I$89,3,0)*VLOOKUP('Données projet'!$B$10,Paramètres!$A$1:$I$89,5,0)</f>
        <v>162.66432</v>
      </c>
      <c r="AK59" s="13">
        <f t="shared" si="35"/>
        <v>41.442881393745317</v>
      </c>
      <c r="AL59" s="20">
        <f t="shared" si="4"/>
        <v>355.4867090941064</v>
      </c>
      <c r="AM59" s="59">
        <f t="shared" si="5"/>
        <v>648.82004242743972</v>
      </c>
      <c r="AN59" s="59">
        <f ca="1">AVERAGE(OFFSET($AM$3,0,0,'Données projet'!$E$10+1,1))-AVERAGE(OFFSET($H$3,0,0,'Données projet'!$E$10+1,1))</f>
        <v>242.48830542479988</v>
      </c>
      <c r="AO59" s="59">
        <f t="shared" si="36"/>
        <v>226.11219631227061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36.766327143693545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36.766327143693545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8.8225000000000016</v>
      </c>
      <c r="BD59" s="12">
        <f>IF('Données projet'!$A$88&gt;35,BD58+BC59-BL58,IF(A59&lt;'Données projet'!$A$88,$BA$205^A59,IF(A59='Données projet'!$A$88,'Données projet'!$B$88,BD58+BC59-BL58)))</f>
        <v>190.83249999999987</v>
      </c>
      <c r="BE59" s="13">
        <f>BD59*VLOOKUP('Données projet'!$B$11,Paramètres!$A$1:$I$89,3,0)*VLOOKUP('Données projet'!$B$11,Paramètres!$A$1:$I$89,5,0)</f>
        <v>193.50415499999988</v>
      </c>
      <c r="BF59" s="13">
        <f t="shared" si="37"/>
        <v>48.313845854905999</v>
      </c>
      <c r="BG59" s="20">
        <f t="shared" si="7"/>
        <v>421.16635148896103</v>
      </c>
      <c r="BH59" s="59">
        <f t="shared" si="8"/>
        <v>714.49968482229428</v>
      </c>
      <c r="BI59" s="59">
        <f ca="1">AVERAGE(OFFSET($BH$3,0,0,'Données projet'!$E$11+1,1))-AVERAGE(OFFSET($H$3,0,0,'Données projet'!$E$11+1,1))</f>
        <v>402.5435069258703</v>
      </c>
      <c r="BJ59" s="59">
        <f t="shared" si="38"/>
        <v>163.60655195816349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48.266420745571899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48.266420745571899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8.8225000000000016</v>
      </c>
      <c r="BY59" s="12">
        <f>IF('Données projet'!$A$114&gt;35,BY58+BX59-CG58,IF(A59&lt;'Données projet'!$A$114,$BV$205^A59,IF(A59='Données projet'!$A$114,'Données projet'!$B$114,BY58+BX59-CG58)))</f>
        <v>190.83249999999987</v>
      </c>
      <c r="BZ59" s="13">
        <f>BY59*VLOOKUP('Données projet'!$B$12,Paramètres!$A$1:$I$89,3,0)*VLOOKUP('Données projet'!$B$12,Paramètres!$A$1:$I$89,5,0)</f>
        <v>172.66524599999988</v>
      </c>
      <c r="CA59" s="13">
        <f t="shared" si="39"/>
        <v>43.686408511417334</v>
      </c>
      <c r="CB59" s="20">
        <f t="shared" si="10"/>
        <v>376.81246494071826</v>
      </c>
      <c r="CC59" s="59">
        <f t="shared" si="11"/>
        <v>670.14579827405157</v>
      </c>
      <c r="CD59" s="59">
        <f ca="1">AVERAGE(OFFSET($CC$3,0,0,'Données projet'!$E$12+1,1))-AVERAGE(OFFSET($H$3,0,0,'Données projet'!$E$12+1,1))</f>
        <v>350.91577977538822</v>
      </c>
      <c r="CE59" s="59">
        <f t="shared" si="40"/>
        <v>142.87103313412547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43.06849851143339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43.06849851143339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5.2</v>
      </c>
      <c r="CT59" s="12">
        <f>IF('Données projet'!$A$140&gt;35,CT58+CS59-DB58,IF(A59&lt;'Données projet'!$A$140,$CQ$205^A59,IF(A59='Données projet'!$A$140,'Données projet'!$B$140,CT58+CS59-DB58)))</f>
        <v>224.19999999999987</v>
      </c>
      <c r="CU59" s="17">
        <f>CT59*VLOOKUP('Données projet'!$B$13,Paramètres!$A$1:$I$89,3,0)*VLOOKUP('Données projet'!$B$13,Paramètres!$A$1:$I$89,5,0)</f>
        <v>181.87103999999991</v>
      </c>
      <c r="CV59" s="13">
        <f t="shared" si="41"/>
        <v>45.738207231648985</v>
      </c>
      <c r="CW59" s="20">
        <f t="shared" si="13"/>
        <v>396.41943892845512</v>
      </c>
      <c r="CX59" s="59">
        <f t="shared" si="14"/>
        <v>689.75277226178844</v>
      </c>
      <c r="CY59" s="59">
        <f ca="1">AVERAGE(OFFSET($CX$3,0,0,'Données projet'!$E$13+1,1))-AVERAGE(OFFSET($H$3,0,0,'Données projet'!$E$13+1,1))</f>
        <v>230.38929580146208</v>
      </c>
      <c r="CZ59" s="59">
        <f t="shared" si="42"/>
        <v>227.1847788696258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40.115188825199013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40.115188825199013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7.6860000000000017</v>
      </c>
      <c r="DO59" s="12">
        <f>IF('Données projet'!$A$166&gt;35,DO58+DN59-DW58,IF(A59&lt;'Données projet'!$A$166,$DL$205^A59,IF(A59='Données projet'!$A$166,'Données projet'!$B$166,DO58+DN59-DW58)))</f>
        <v>213.18599999999998</v>
      </c>
      <c r="DP59" s="17">
        <f>DO59*VLOOKUP('Données projet'!$B$14,Paramètres!$A$1:$I$89,3,0)*VLOOKUP('Données projet'!$B$14,Paramètres!$A$1:$I$89,5,0)</f>
        <v>127.48522799999999</v>
      </c>
      <c r="DQ59" s="13">
        <f t="shared" si="43"/>
        <v>33.414610383667402</v>
      </c>
      <c r="DR59" s="20">
        <f t="shared" si="16"/>
        <v>280.23388518488736</v>
      </c>
      <c r="DS59" s="59">
        <f t="shared" si="17"/>
        <v>573.56721851822067</v>
      </c>
      <c r="DT59" s="59">
        <f ca="1">AVERAGE(OFFSET($DS$3,0,0,'Données projet'!$E$14+1,1))-AVERAGE(OFFSET($H$3,0,0,'Données projet'!$E$14+1,1))</f>
        <v>145.97103392561058</v>
      </c>
      <c r="DU59" s="59">
        <f t="shared" si="44"/>
        <v>62.920713953681172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21.242501339698606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21.242501339698606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0.8600000000003547</v>
      </c>
      <c r="O60" s="13">
        <f>N60*VLOOKUP('Données projet'!$B$9,Paramètres!$A$1:$I$89,3,0)*VLOOKUP('Données projet'!$B$9,Paramètres!$A$1:$I$89,5,0)</f>
        <v>0.48074000000019829</v>
      </c>
      <c r="P60" s="13">
        <f t="shared" si="33"/>
        <v>0.24126147010950588</v>
      </c>
      <c r="Q60" s="20">
        <f t="shared" si="53"/>
        <v>1.2574858937744013</v>
      </c>
      <c r="R60" s="59">
        <f t="shared" si="0"/>
        <v>294.59081922710772</v>
      </c>
      <c r="S60" s="59">
        <f ca="1">AVERAGE(OFFSET($R$3,0,0,'Données projet'!$E$9+1,1))-AVERAGE(OFFSET($H$3,0,0,'Données projet'!$E$9+1,1))</f>
        <v>350.01600895263641</v>
      </c>
      <c r="T60" s="59">
        <f t="shared" si="34"/>
        <v>464.08921044376882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357.35165459888822</v>
      </c>
      <c r="AA60" s="21">
        <f>EXP(-LN(2)/25)*AA59+(1-EXP(-LN(2)/25))/(LN(2)/25)*Calculateur!V60*Calculateur!X60*VLOOKUP('Données projet'!$B$9,Paramètres!$A$1:$I$89,3,0)*0.475*44/12</f>
        <v>23.921669072598696</v>
      </c>
      <c r="AB60" s="21">
        <f>EXP(-LN(2)/2)*AB59+(1-EXP(-LN(2)/2))/(LN(2)/2)*V60*Y60*VLOOKUP('Données projet'!$B$9,Paramètres!$A$1:$I$89,3,0)*0.475*44/12</f>
        <v>6.3867532182550337E-5</v>
      </c>
      <c r="AC60" s="22">
        <f t="shared" si="3"/>
        <v>381.2733875390191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5.2</v>
      </c>
      <c r="AI60" s="13">
        <f>IF('Données projet'!$A$62&gt;35,AI59+AH60-AQ59,IF(A60&lt;'Données projet'!$A$62,$AF$205^A60,IF(A60='Données projet'!$A$62,'Données projet'!$B$62,AI59+AH60-AQ59)))</f>
        <v>191.39999999999998</v>
      </c>
      <c r="AJ60" s="13">
        <f>AI60*VLOOKUP('Données projet'!$B$10,Paramètres!$A$1:$I$89,3,0)*VLOOKUP('Données projet'!$B$10,Paramètres!$A$1:$I$89,5,0)</f>
        <v>167.20704000000001</v>
      </c>
      <c r="AK60" s="13">
        <f t="shared" si="35"/>
        <v>42.463891647822834</v>
      </c>
      <c r="AL60" s="20">
        <f t="shared" si="4"/>
        <v>365.17687261995815</v>
      </c>
      <c r="AM60" s="59">
        <f t="shared" si="5"/>
        <v>658.51020595329146</v>
      </c>
      <c r="AN60" s="59">
        <f ca="1">AVERAGE(OFFSET($AM$3,0,0,'Données projet'!$E$10+1,1))-AVERAGE(OFFSET($H$3,0,0,'Données projet'!$E$10+1,1))</f>
        <v>242.48830542479988</v>
      </c>
      <c r="AO60" s="59">
        <f t="shared" si="36"/>
        <v>226.11219631227061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36.045361893650963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36.045361893650963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8.8225000000000016</v>
      </c>
      <c r="BD60" s="12">
        <f>IF('Données projet'!$A$88&gt;35,BD59+BC60-BL59,IF(A60&lt;'Données projet'!$A$88,$BA$205^A60,IF(A60='Données projet'!$A$88,'Données projet'!$B$88,BD59+BC60-BL59)))</f>
        <v>199.65499999999986</v>
      </c>
      <c r="BE60" s="13">
        <f>BD60*VLOOKUP('Données projet'!$B$11,Paramètres!$A$1:$I$89,3,0)*VLOOKUP('Données projet'!$B$11,Paramètres!$A$1:$I$89,5,0)</f>
        <v>202.45016999999984</v>
      </c>
      <c r="BF60" s="13">
        <f t="shared" si="37"/>
        <v>50.282258740066119</v>
      </c>
      <c r="BG60" s="20">
        <f t="shared" si="7"/>
        <v>440.17564672228156</v>
      </c>
      <c r="BH60" s="59">
        <f t="shared" si="8"/>
        <v>733.50898005561487</v>
      </c>
      <c r="BI60" s="59">
        <f ca="1">AVERAGE(OFFSET($BH$3,0,0,'Données projet'!$E$11+1,1))-AVERAGE(OFFSET($H$3,0,0,'Données projet'!$E$11+1,1))</f>
        <v>402.5435069258703</v>
      </c>
      <c r="BJ60" s="59">
        <f t="shared" si="38"/>
        <v>163.60655195816349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47.319945674360966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47.319945674360966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8.8225000000000016</v>
      </c>
      <c r="BY60" s="12">
        <f>IF('Données projet'!$A$114&gt;35,BY59+BX60-CG59,IF(A60&lt;'Données projet'!$A$114,$BV$205^A60,IF(A60='Données projet'!$A$114,'Données projet'!$B$114,BY59+BX60-CG59)))</f>
        <v>199.65499999999986</v>
      </c>
      <c r="BZ60" s="13">
        <f>BY60*VLOOKUP('Données projet'!$B$12,Paramètres!$A$1:$I$89,3,0)*VLOOKUP('Données projet'!$B$12,Paramètres!$A$1:$I$89,5,0)</f>
        <v>180.64784399999985</v>
      </c>
      <c r="CA60" s="13">
        <f t="shared" si="39"/>
        <v>45.466289369556691</v>
      </c>
      <c r="CB60" s="20">
        <f t="shared" si="10"/>
        <v>393.81544895197766</v>
      </c>
      <c r="CC60" s="59">
        <f t="shared" si="11"/>
        <v>687.14878228531097</v>
      </c>
      <c r="CD60" s="59">
        <f ca="1">AVERAGE(OFFSET($CC$3,0,0,'Données projet'!$E$12+1,1))-AVERAGE(OFFSET($H$3,0,0,'Données projet'!$E$12+1,1))</f>
        <v>350.91577977538822</v>
      </c>
      <c r="CE60" s="59">
        <f t="shared" si="40"/>
        <v>142.87103313412547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42.223951524814403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42.223951524814403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5.2</v>
      </c>
      <c r="CT60" s="12">
        <f>IF('Données projet'!$A$140&gt;35,CT59+CS60-DB59,IF(A60&lt;'Données projet'!$A$140,$CQ$205^A60,IF(A60='Données projet'!$A$140,'Données projet'!$B$140,CT59+CS60-DB59)))</f>
        <v>229.39999999999986</v>
      </c>
      <c r="CU60" s="17">
        <f>CT60*VLOOKUP('Données projet'!$B$13,Paramètres!$A$1:$I$89,3,0)*VLOOKUP('Données projet'!$B$13,Paramètres!$A$1:$I$89,5,0)</f>
        <v>186.08927999999992</v>
      </c>
      <c r="CV60" s="13">
        <f t="shared" si="41"/>
        <v>46.674304440658766</v>
      </c>
      <c r="CW60" s="20">
        <f t="shared" si="13"/>
        <v>405.39657623414723</v>
      </c>
      <c r="CX60" s="59">
        <f t="shared" si="14"/>
        <v>698.72990956748049</v>
      </c>
      <c r="CY60" s="59">
        <f ca="1">AVERAGE(OFFSET($CX$3,0,0,'Données projet'!$E$13+1,1))-AVERAGE(OFFSET($H$3,0,0,'Données projet'!$E$13+1,1))</f>
        <v>230.38929580146208</v>
      </c>
      <c r="CZ60" s="59">
        <f t="shared" si="42"/>
        <v>227.1847788696258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39.328554440186046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39.328554440186046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7.6860000000000017</v>
      </c>
      <c r="DO60" s="12">
        <f>IF('Données projet'!$A$166&gt;35,DO59+DN60-DW59,IF(A60&lt;'Données projet'!$A$166,$DL$205^A60,IF(A60='Données projet'!$A$166,'Données projet'!$B$166,DO59+DN60-DW59)))</f>
        <v>220.87199999999999</v>
      </c>
      <c r="DP60" s="17">
        <f>DO60*VLOOKUP('Données projet'!$B$14,Paramètres!$A$1:$I$89,3,0)*VLOOKUP('Données projet'!$B$14,Paramètres!$A$1:$I$89,5,0)</f>
        <v>132.081456</v>
      </c>
      <c r="DQ60" s="13">
        <f t="shared" si="43"/>
        <v>34.476877162329096</v>
      </c>
      <c r="DR60" s="20">
        <f t="shared" si="16"/>
        <v>290.08909692438982</v>
      </c>
      <c r="DS60" s="59">
        <f t="shared" si="17"/>
        <v>583.42243025772314</v>
      </c>
      <c r="DT60" s="59">
        <f ca="1">AVERAGE(OFFSET($DS$3,0,0,'Données projet'!$E$14+1,1))-AVERAGE(OFFSET($H$3,0,0,'Données projet'!$E$14+1,1))</f>
        <v>145.97103392561058</v>
      </c>
      <c r="DU60" s="59">
        <f t="shared" si="44"/>
        <v>62.920713953681172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20.825948845073572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20.825948845073572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0.8600000000003547</v>
      </c>
      <c r="O61" s="13">
        <f>N61*VLOOKUP('Données projet'!$B$9,Paramètres!$A$1:$I$89,3,0)*VLOOKUP('Données projet'!$B$9,Paramètres!$A$1:$I$89,5,0)</f>
        <v>0.48074000000019829</v>
      </c>
      <c r="P61" s="13">
        <f t="shared" si="33"/>
        <v>0.24126147010950588</v>
      </c>
      <c r="Q61" s="20">
        <f t="shared" si="53"/>
        <v>1.2574858937744013</v>
      </c>
      <c r="R61" s="59">
        <f t="shared" si="0"/>
        <v>294.59081922710772</v>
      </c>
      <c r="S61" s="59">
        <f ca="1">AVERAGE(OFFSET($R$3,0,0,'Données projet'!$E$9+1,1))-AVERAGE(OFFSET($H$3,0,0,'Données projet'!$E$9+1,1))</f>
        <v>350.01600895263641</v>
      </c>
      <c r="T61" s="59">
        <f t="shared" si="34"/>
        <v>464.08921044376882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350.34420661519124</v>
      </c>
      <c r="AA61" s="21">
        <f>EXP(-LN(2)/25)*AA60+(1-EXP(-LN(2)/25))/(LN(2)/25)*Calculateur!V61*Calculateur!X61*VLOOKUP('Données projet'!$B$9,Paramètres!$A$1:$I$89,3,0)*0.475*44/12</f>
        <v>23.267529773822581</v>
      </c>
      <c r="AB61" s="21">
        <f>EXP(-LN(2)/2)*AB60+(1-EXP(-LN(2)/2))/(LN(2)/2)*V61*Y61*VLOOKUP('Données projet'!$B$9,Paramètres!$A$1:$I$89,3,0)*0.475*44/12</f>
        <v>4.5161165103931405E-5</v>
      </c>
      <c r="AC61" s="22">
        <f t="shared" si="3"/>
        <v>373.61178155017888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5.2</v>
      </c>
      <c r="AI61" s="13">
        <f>IF('Données projet'!$A$62&gt;35,AI60+AH61-AQ60,IF(A61&lt;'Données projet'!$A$62,$AF$205^A61,IF(A61='Données projet'!$A$62,'Données projet'!$B$62,AI60+AH61-AQ60)))</f>
        <v>196.59999999999997</v>
      </c>
      <c r="AJ61" s="13">
        <f>AI61*VLOOKUP('Données projet'!$B$10,Paramètres!$A$1:$I$89,3,0)*VLOOKUP('Données projet'!$B$10,Paramètres!$A$1:$I$89,5,0)</f>
        <v>171.74975999999998</v>
      </c>
      <c r="AK61" s="13">
        <f t="shared" si="35"/>
        <v>43.481677757882629</v>
      </c>
      <c r="AL61" s="20">
        <f t="shared" si="4"/>
        <v>374.86142076164555</v>
      </c>
      <c r="AM61" s="59">
        <f t="shared" si="5"/>
        <v>668.19475409497886</v>
      </c>
      <c r="AN61" s="59">
        <f ca="1">AVERAGE(OFFSET($AM$3,0,0,'Données projet'!$E$10+1,1))-AVERAGE(OFFSET($H$3,0,0,'Données projet'!$E$10+1,1))</f>
        <v>242.48830542479988</v>
      </c>
      <c r="AO61" s="59">
        <f t="shared" si="36"/>
        <v>226.11219631227061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35.338534332416337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35.338534332416337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8.8225000000000016</v>
      </c>
      <c r="BD61" s="12">
        <f>IF('Données projet'!$A$88&gt;35,BD60+BC61-BL60,IF(A61&lt;'Données projet'!$A$88,$BA$205^A61,IF(A61='Données projet'!$A$88,'Données projet'!$B$88,BD60+BC61-BL60)))</f>
        <v>208.47749999999985</v>
      </c>
      <c r="BE61" s="13">
        <f>BD61*VLOOKUP('Données projet'!$B$11,Paramètres!$A$1:$I$89,3,0)*VLOOKUP('Données projet'!$B$11,Paramètres!$A$1:$I$89,5,0)</f>
        <v>211.39618499999983</v>
      </c>
      <c r="BF61" s="13">
        <f t="shared" si="37"/>
        <v>52.240569482550647</v>
      </c>
      <c r="BG61" s="20">
        <f t="shared" si="7"/>
        <v>459.16734739044205</v>
      </c>
      <c r="BH61" s="59">
        <f t="shared" si="8"/>
        <v>752.5006807237753</v>
      </c>
      <c r="BI61" s="59">
        <f ca="1">AVERAGE(OFFSET($BH$3,0,0,'Données projet'!$E$11+1,1))-AVERAGE(OFFSET($H$3,0,0,'Données projet'!$E$11+1,1))</f>
        <v>402.5435069258703</v>
      </c>
      <c r="BJ61" s="59">
        <f t="shared" si="38"/>
        <v>163.60655195816349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46.392030402003691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46.392030402003691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8.8225000000000016</v>
      </c>
      <c r="BY61" s="12">
        <f>IF('Données projet'!$A$114&gt;35,BY60+BX61-CG60,IF(A61&lt;'Données projet'!$A$114,$BV$205^A61,IF(A61='Données projet'!$A$114,'Données projet'!$B$114,BY60+BX61-CG60)))</f>
        <v>208.47749999999985</v>
      </c>
      <c r="BZ61" s="13">
        <f>BY61*VLOOKUP('Données projet'!$B$12,Paramètres!$A$1:$I$89,3,0)*VLOOKUP('Données projet'!$B$12,Paramètres!$A$1:$I$89,5,0)</f>
        <v>188.63044199999985</v>
      </c>
      <c r="CA61" s="13">
        <f t="shared" si="39"/>
        <v>47.237035655112194</v>
      </c>
      <c r="CB61" s="20">
        <f t="shared" si="10"/>
        <v>410.80252358265346</v>
      </c>
      <c r="CC61" s="59">
        <f t="shared" si="11"/>
        <v>704.13585691598678</v>
      </c>
      <c r="CD61" s="59">
        <f ca="1">AVERAGE(OFFSET($CC$3,0,0,'Données projet'!$E$12+1,1))-AVERAGE(OFFSET($H$3,0,0,'Données projet'!$E$12+1,1))</f>
        <v>350.91577977538822</v>
      </c>
      <c r="CE61" s="59">
        <f t="shared" si="40"/>
        <v>142.87103313412547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41.39596558948022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41.39596558948022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5.2</v>
      </c>
      <c r="CT61" s="12">
        <f>IF('Données projet'!$A$140&gt;35,CT60+CS61-DB60,IF(A61&lt;'Données projet'!$A$140,$CQ$205^A61,IF(A61='Données projet'!$A$140,'Données projet'!$B$140,CT60+CS61-DB60)))</f>
        <v>234.59999999999985</v>
      </c>
      <c r="CU61" s="17">
        <f>CT61*VLOOKUP('Données projet'!$B$13,Paramètres!$A$1:$I$89,3,0)*VLOOKUP('Données projet'!$B$13,Paramètres!$A$1:$I$89,5,0)</f>
        <v>190.3075199999999</v>
      </c>
      <c r="CV61" s="13">
        <f t="shared" si="41"/>
        <v>47.607934756469184</v>
      </c>
      <c r="CW61" s="20">
        <f t="shared" si="13"/>
        <v>414.36941703418364</v>
      </c>
      <c r="CX61" s="59">
        <f t="shared" si="14"/>
        <v>707.70275036751696</v>
      </c>
      <c r="CY61" s="59">
        <f ca="1">AVERAGE(OFFSET($CX$3,0,0,'Données projet'!$E$13+1,1))-AVERAGE(OFFSET($H$3,0,0,'Données projet'!$E$13+1,1))</f>
        <v>230.38929580146208</v>
      </c>
      <c r="CZ61" s="59">
        <f t="shared" si="42"/>
        <v>227.1847788696258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38.557345475663581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38.557345475663581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7.6860000000000017</v>
      </c>
      <c r="DO61" s="12">
        <f>IF('Données projet'!$A$166&gt;35,DO60+DN61-DW60,IF(A61&lt;'Données projet'!$A$166,$DL$205^A61,IF(A61='Données projet'!$A$166,'Données projet'!$B$166,DO60+DN61-DW60)))</f>
        <v>228.55799999999999</v>
      </c>
      <c r="DP61" s="17">
        <f>DO61*VLOOKUP('Données projet'!$B$14,Paramètres!$A$1:$I$89,3,0)*VLOOKUP('Données projet'!$B$14,Paramètres!$A$1:$I$89,5,0)</f>
        <v>136.677684</v>
      </c>
      <c r="DQ61" s="13">
        <f t="shared" si="43"/>
        <v>35.534848975974541</v>
      </c>
      <c r="DR61" s="20">
        <f t="shared" si="16"/>
        <v>299.93682826648899</v>
      </c>
      <c r="DS61" s="59">
        <f t="shared" si="17"/>
        <v>593.27016159982236</v>
      </c>
      <c r="DT61" s="59">
        <f ca="1">AVERAGE(OFFSET($DS$3,0,0,'Données projet'!$E$14+1,1))-AVERAGE(OFFSET($H$3,0,0,'Données projet'!$E$14+1,1))</f>
        <v>145.97103392561058</v>
      </c>
      <c r="DU61" s="59">
        <f t="shared" si="44"/>
        <v>62.920713953681172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20.417564690796201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20.417564690796201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0.8600000000003547</v>
      </c>
      <c r="O62" s="13">
        <f>N62*VLOOKUP('Données projet'!$B$9,Paramètres!$A$1:$I$89,3,0)*VLOOKUP('Données projet'!$B$9,Paramètres!$A$1:$I$89,5,0)</f>
        <v>0.48074000000019829</v>
      </c>
      <c r="P62" s="13">
        <f t="shared" si="33"/>
        <v>0.24126147010950588</v>
      </c>
      <c r="Q62" s="20">
        <f t="shared" si="53"/>
        <v>1.2574858937744013</v>
      </c>
      <c r="R62" s="59">
        <f t="shared" si="0"/>
        <v>294.59081922710772</v>
      </c>
      <c r="S62" s="59">
        <f ca="1">AVERAGE(OFFSET($R$3,0,0,'Données projet'!$E$9+1,1))-AVERAGE(OFFSET($H$3,0,0,'Données projet'!$E$9+1,1))</f>
        <v>350.01600895263641</v>
      </c>
      <c r="T62" s="59">
        <f t="shared" si="34"/>
        <v>464.08921044376882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343.47417041233336</v>
      </c>
      <c r="AA62" s="21">
        <f>EXP(-LN(2)/25)*AA61+(1-EXP(-LN(2)/25))/(LN(2)/25)*Calculateur!V62*Calculateur!X62*VLOOKUP('Données projet'!$B$9,Paramètres!$A$1:$I$89,3,0)*0.475*44/12</f>
        <v>22.631277948571189</v>
      </c>
      <c r="AB62" s="21">
        <f>EXP(-LN(2)/2)*AB61+(1-EXP(-LN(2)/2))/(LN(2)/2)*V62*Y62*VLOOKUP('Données projet'!$B$9,Paramètres!$A$1:$I$89,3,0)*0.475*44/12</f>
        <v>3.1933766091275169E-5</v>
      </c>
      <c r="AC62" s="22">
        <f t="shared" si="3"/>
        <v>366.10548029467066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5.2</v>
      </c>
      <c r="AI62" s="13">
        <f>IF('Données projet'!$A$62&gt;35,AI61+AH62-AQ61,IF(A62&lt;'Données projet'!$A$62,$AF$205^A62,IF(A62='Données projet'!$A$62,'Données projet'!$B$62,AI61+AH62-AQ61)))</f>
        <v>201.79999999999995</v>
      </c>
      <c r="AJ62" s="13">
        <f>AI62*VLOOKUP('Données projet'!$B$10,Paramètres!$A$1:$I$89,3,0)*VLOOKUP('Données projet'!$B$10,Paramètres!$A$1:$I$89,5,0)</f>
        <v>176.29247999999998</v>
      </c>
      <c r="AK62" s="13">
        <f t="shared" si="35"/>
        <v>44.496334803721894</v>
      </c>
      <c r="AL62" s="20">
        <f t="shared" si="4"/>
        <v>384.5405191164823</v>
      </c>
      <c r="AM62" s="59">
        <f t="shared" si="5"/>
        <v>677.87385244981556</v>
      </c>
      <c r="AN62" s="59">
        <f ca="1">AVERAGE(OFFSET($AM$3,0,0,'Données projet'!$E$10+1,1))-AVERAGE(OFFSET($H$3,0,0,'Données projet'!$E$10+1,1))</f>
        <v>242.48830542479988</v>
      </c>
      <c r="AO62" s="59">
        <f t="shared" si="36"/>
        <v>226.11219631227061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34.645567228535278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34.645567228535278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>
        <f>VLOOKUP(A62,'Données projet'!$A$87:$I$107,2,0)</f>
        <v>217.3</v>
      </c>
      <c r="BB62" s="12">
        <f>VLOOKUP(A62,'Données projet'!$A$87:$I$107,9,0)</f>
        <v>8.8225000000000016</v>
      </c>
      <c r="BC62" s="12">
        <f t="array" ref="BC62">INDEX(BB:BB,MIN(IF(ISNUMBER(BB62:BB258),ROW(BB62:BB258),"")))</f>
        <v>8.8225000000000016</v>
      </c>
      <c r="BD62" s="12">
        <f>IF('Données projet'!$A$88&gt;35,BD61+BC62-BL61,IF(A62&lt;'Données projet'!$A$88,$BA$205^A62,IF(A62='Données projet'!$A$88,'Données projet'!$B$88,BD61+BC62-BL61)))</f>
        <v>217.29999999999984</v>
      </c>
      <c r="BE62" s="13">
        <f>BD62*VLOOKUP('Données projet'!$B$11,Paramètres!$A$1:$I$89,3,0)*VLOOKUP('Données projet'!$B$11,Paramètres!$A$1:$I$89,5,0)</f>
        <v>220.34219999999985</v>
      </c>
      <c r="BF62" s="13">
        <f t="shared" si="37"/>
        <v>54.189254470723533</v>
      </c>
      <c r="BG62" s="20">
        <f t="shared" si="7"/>
        <v>478.14228320317648</v>
      </c>
      <c r="BH62" s="59">
        <f t="shared" si="8"/>
        <v>771.47561653650973</v>
      </c>
      <c r="BI62" s="59">
        <f ca="1">AVERAGE(OFFSET($BH$3,0,0,'Données projet'!$E$11+1,1))-AVERAGE(OFFSET($H$3,0,0,'Données projet'!$E$11+1,1))</f>
        <v>402.5435069258703</v>
      </c>
      <c r="BJ62" s="59">
        <f t="shared" si="38"/>
        <v>163.60655195816349</v>
      </c>
      <c r="BK62" s="15">
        <f>IF(ISNA(VLOOKUP(A62,'Données projet'!$A$87:$I$107,3,0)),0,VLOOKUP(A62,'Données projet'!$A$87:$I$107,3,0))</f>
        <v>3</v>
      </c>
      <c r="BL62" s="15">
        <f>IF(ISNA(VLOOKUP(A62,'Données projet'!$A$87:$I$107,4,0)),0,VLOOKUP(A62,'Données projet'!$A$87:$I$107,4,0))</f>
        <v>48.96</v>
      </c>
      <c r="BM62" s="16">
        <f>IF(ISNA(VLOOKUP(A62,'Données projet'!$A$87:$I$107,5,0)),0%,VLOOKUP(A62,'Données projet'!$A$87:$I$107,5,0)*VLOOKUP('Données projet'!$B$11,Paramètres!$A$1:$I$89,7,0))</f>
        <v>0.43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69.081383243683447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69.081383243683447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>
        <f>VLOOKUP(A62,'Données projet'!$A$113:$I$133,2,0)</f>
        <v>217.3</v>
      </c>
      <c r="BW62" s="12">
        <f>VLOOKUP(A62,'Données projet'!$A$113:$I$133,9,0)</f>
        <v>8.8225000000000016</v>
      </c>
      <c r="BX62" s="12">
        <f t="array" ref="BX62">INDEX(BW:BW,MIN(IF(ISNUMBER(BW62:BW258),ROW(BW62:BW258),"")))</f>
        <v>8.8225000000000016</v>
      </c>
      <c r="BY62" s="12">
        <f>IF('Données projet'!$A$114&gt;35,BY61+BX62-CG61,IF(A62&lt;'Données projet'!$A$114,$BV$205^A62,IF(A62='Données projet'!$A$114,'Données projet'!$B$114,BY61+BX62-CG61)))</f>
        <v>217.29999999999984</v>
      </c>
      <c r="BZ62" s="13">
        <f>BY62*VLOOKUP('Données projet'!$B$12,Paramètres!$A$1:$I$89,3,0)*VLOOKUP('Données projet'!$B$12,Paramètres!$A$1:$I$89,5,0)</f>
        <v>196.61303999999984</v>
      </c>
      <c r="CA62" s="13">
        <f t="shared" si="39"/>
        <v>48.999078128589602</v>
      </c>
      <c r="CB62" s="20">
        <f t="shared" si="10"/>
        <v>427.77443907395991</v>
      </c>
      <c r="CC62" s="59">
        <f t="shared" si="11"/>
        <v>721.10777240729317</v>
      </c>
      <c r="CD62" s="59">
        <f ca="1">AVERAGE(OFFSET($CC$3,0,0,'Données projet'!$E$12+1,1))-AVERAGE(OFFSET($H$3,0,0,'Données projet'!$E$12+1,1))</f>
        <v>350.91577977538822</v>
      </c>
      <c r="CE62" s="59">
        <f t="shared" si="40"/>
        <v>142.87103313412547</v>
      </c>
      <c r="CF62" s="15">
        <f>IF(ISNA(VLOOKUP(A62,'Données projet'!$A$113:$I$133,3,0)),0,VLOOKUP(A62,'Données projet'!$A$113:$I$133,3,0))</f>
        <v>3</v>
      </c>
      <c r="CG62" s="15">
        <f>IF(ISNA(VLOOKUP(A62,'Données projet'!$A$113:$I$133,4,0)),0,VLOOKUP(A62,'Données projet'!$A$113:$I$133,4,0))</f>
        <v>48.96</v>
      </c>
      <c r="CH62" s="16">
        <f>IF(ISNA(VLOOKUP(A62,'Données projet'!$A$113:$I$133,5,0)),0%,VLOOKUP(A62,'Données projet'!$A$113:$I$133,5,0)*VLOOKUP('Données projet'!$B$12,Paramètres!$A$1:$I$89,7,0))</f>
        <v>0.43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61.641849663594456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61.641849663594456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5.2</v>
      </c>
      <c r="CT62" s="12">
        <f>IF('Données projet'!$A$140&gt;35,CT61+CS62-DB61,IF(A62&lt;'Données projet'!$A$140,$CQ$205^A62,IF(A62='Données projet'!$A$140,'Données projet'!$B$140,CT61+CS62-DB61)))</f>
        <v>239.79999999999984</v>
      </c>
      <c r="CU62" s="17">
        <f>CT62*VLOOKUP('Données projet'!$B$13,Paramètres!$A$1:$I$89,3,0)*VLOOKUP('Données projet'!$B$13,Paramètres!$A$1:$I$89,5,0)</f>
        <v>194.52575999999991</v>
      </c>
      <c r="CV62" s="13">
        <f t="shared" si="41"/>
        <v>48.539159154841606</v>
      </c>
      <c r="CW62" s="20">
        <f t="shared" si="13"/>
        <v>423.33806752801564</v>
      </c>
      <c r="CX62" s="59">
        <f t="shared" si="14"/>
        <v>716.67140086134896</v>
      </c>
      <c r="CY62" s="59">
        <f ca="1">AVERAGE(OFFSET($CX$3,0,0,'Données projet'!$E$13+1,1))-AVERAGE(OFFSET($H$3,0,0,'Données projet'!$E$13+1,1))</f>
        <v>230.38929580146208</v>
      </c>
      <c r="CZ62" s="59">
        <f t="shared" si="42"/>
        <v>227.1847788696258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37.801259448544386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37.801259448544386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7.6860000000000017</v>
      </c>
      <c r="DO62" s="12">
        <f>IF('Données projet'!$A$166&gt;35,DO61+DN62-DW61,IF(A62&lt;'Données projet'!$A$166,$DL$205^A62,IF(A62='Données projet'!$A$166,'Données projet'!$B$166,DO61+DN62-DW61)))</f>
        <v>236.244</v>
      </c>
      <c r="DP62" s="17">
        <f>DO62*VLOOKUP('Données projet'!$B$14,Paramètres!$A$1:$I$89,3,0)*VLOOKUP('Données projet'!$B$14,Paramètres!$A$1:$I$89,5,0)</f>
        <v>141.273912</v>
      </c>
      <c r="DQ62" s="13">
        <f t="shared" si="43"/>
        <v>36.588686815018242</v>
      </c>
      <c r="DR62" s="20">
        <f t="shared" si="16"/>
        <v>309.77735960282342</v>
      </c>
      <c r="DS62" s="59">
        <f t="shared" si="17"/>
        <v>603.11069293615674</v>
      </c>
      <c r="DT62" s="59">
        <f ca="1">AVERAGE(OFFSET($DS$3,0,0,'Données projet'!$E$14+1,1))-AVERAGE(OFFSET($H$3,0,0,'Données projet'!$E$14+1,1))</f>
        <v>145.97103392561058</v>
      </c>
      <c r="DU62" s="59">
        <f t="shared" si="44"/>
        <v>62.920713953681172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20.017188700694469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20.017188700694469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0.8600000000003547</v>
      </c>
      <c r="O63" s="13">
        <f>N63*VLOOKUP('Données projet'!$B$9,Paramètres!$A$1:$I$89,3,0)*VLOOKUP('Données projet'!$B$9,Paramètres!$A$1:$I$89,5,0)</f>
        <v>0.48074000000019829</v>
      </c>
      <c r="P63" s="13">
        <f t="shared" si="33"/>
        <v>0.24126147010950588</v>
      </c>
      <c r="Q63" s="20">
        <f t="shared" si="53"/>
        <v>1.2574858937744013</v>
      </c>
      <c r="R63" s="59">
        <f t="shared" si="0"/>
        <v>294.59081922710772</v>
      </c>
      <c r="S63" s="59">
        <f ca="1">AVERAGE(OFFSET($R$3,0,0,'Données projet'!$E$9+1,1))-AVERAGE(OFFSET($H$3,0,0,'Données projet'!$E$9+1,1))</f>
        <v>350.01600895263641</v>
      </c>
      <c r="T63" s="59">
        <f t="shared" si="34"/>
        <v>464.08921044376882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336.73885142910518</v>
      </c>
      <c r="AA63" s="21">
        <f>EXP(-LN(2)/25)*AA62+(1-EXP(-LN(2)/25))/(LN(2)/25)*Calculateur!V63*Calculateur!X63*VLOOKUP('Données projet'!$B$9,Paramètres!$A$1:$I$89,3,0)*0.475*44/12</f>
        <v>22.012424462940327</v>
      </c>
      <c r="AB63" s="21">
        <f>EXP(-LN(2)/2)*AB62+(1-EXP(-LN(2)/2))/(LN(2)/2)*V63*Y63*VLOOKUP('Données projet'!$B$9,Paramètres!$A$1:$I$89,3,0)*0.475*44/12</f>
        <v>2.2580582551965702E-5</v>
      </c>
      <c r="AC63" s="22">
        <f t="shared" si="3"/>
        <v>358.75129847262804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207</v>
      </c>
      <c r="AG63" s="12">
        <f>VLOOKUP(A63,'Données projet'!$A$61:$I$81,9,0)</f>
        <v>5.2</v>
      </c>
      <c r="AH63" s="12">
        <f t="array" ref="AH63">INDEX(AG:AG,MIN(IF(ISNUMBER(AG63:AG259),ROW(AG63:AG259),"")))</f>
        <v>5.2</v>
      </c>
      <c r="AI63" s="13">
        <f>IF('Données projet'!$A$62&gt;35,AI62+AH63-AQ62,IF(A63&lt;'Données projet'!$A$62,$AF$205^A63,IF(A63='Données projet'!$A$62,'Données projet'!$B$62,AI62+AH63-AQ62)))</f>
        <v>206.99999999999994</v>
      </c>
      <c r="AJ63" s="13">
        <f>AI63*VLOOKUP('Données projet'!$B$10,Paramètres!$A$1:$I$89,3,0)*VLOOKUP('Données projet'!$B$10,Paramètres!$A$1:$I$89,5,0)</f>
        <v>180.83519999999996</v>
      </c>
      <c r="AK63" s="13">
        <f t="shared" si="35"/>
        <v>45.507952685945142</v>
      </c>
      <c r="AL63" s="20">
        <f t="shared" si="4"/>
        <v>394.21432426135431</v>
      </c>
      <c r="AM63" s="59">
        <f t="shared" si="5"/>
        <v>687.54765759468762</v>
      </c>
      <c r="AN63" s="59">
        <f ca="1">AVERAGE(OFFSET($AM$3,0,0,'Données projet'!$E$10+1,1))-AVERAGE(OFFSET($H$3,0,0,'Données projet'!$E$10+1,1))</f>
        <v>242.48830542479988</v>
      </c>
      <c r="AO63" s="59">
        <f t="shared" si="36"/>
        <v>226.11219631227061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18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41.441008055247416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41.441008055247416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8.0925000000000011</v>
      </c>
      <c r="BD63" s="12">
        <f>IF('Données projet'!$A$88&gt;35,BD62+BC63-BL62,IF(A63&lt;'Données projet'!$A$88,$BA$205^A63,IF(A63='Données projet'!$A$88,'Données projet'!$B$88,BD62+BC63-BL62)))</f>
        <v>176.43249999999983</v>
      </c>
      <c r="BE63" s="13">
        <f>BD63*VLOOKUP('Données projet'!$B$11,Paramètres!$A$1:$I$89,3,0)*VLOOKUP('Données projet'!$B$11,Paramètres!$A$1:$I$89,5,0)</f>
        <v>178.90255499999984</v>
      </c>
      <c r="BF63" s="13">
        <f t="shared" si="37"/>
        <v>45.077938037753498</v>
      </c>
      <c r="BG63" s="20">
        <f t="shared" si="7"/>
        <v>390.09935870742038</v>
      </c>
      <c r="BH63" s="59">
        <f t="shared" si="8"/>
        <v>683.43269204075364</v>
      </c>
      <c r="BI63" s="59">
        <f ca="1">AVERAGE(OFFSET($BH$3,0,0,'Données projet'!$E$11+1,1))-AVERAGE(OFFSET($H$3,0,0,'Données projet'!$E$11+1,1))</f>
        <v>402.5435069258703</v>
      </c>
      <c r="BJ63" s="59">
        <f t="shared" si="38"/>
        <v>163.60655195816349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67.726739453758057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67.726739453758057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8.0925000000000011</v>
      </c>
      <c r="BY63" s="12">
        <f>IF('Données projet'!$A$114&gt;35,BY62+BX63-CG62,IF(A63&lt;'Données projet'!$A$114,$BV$205^A63,IF(A63='Données projet'!$A$114,'Données projet'!$B$114,BY62+BX63-CG62)))</f>
        <v>176.43249999999983</v>
      </c>
      <c r="BZ63" s="13">
        <f>BY63*VLOOKUP('Données projet'!$B$12,Paramètres!$A$1:$I$89,3,0)*VLOOKUP('Données projet'!$B$12,Paramètres!$A$1:$I$89,5,0)</f>
        <v>159.63612599999985</v>
      </c>
      <c r="CA63" s="13">
        <f t="shared" si="39"/>
        <v>40.760431738010503</v>
      </c>
      <c r="CB63" s="20">
        <f t="shared" si="10"/>
        <v>349.02400472703471</v>
      </c>
      <c r="CC63" s="59">
        <f t="shared" si="11"/>
        <v>642.35733806036797</v>
      </c>
      <c r="CD63" s="59">
        <f ca="1">AVERAGE(OFFSET($CC$3,0,0,'Données projet'!$E$12+1,1))-AVERAGE(OFFSET($H$3,0,0,'Données projet'!$E$12+1,1))</f>
        <v>350.91577977538822</v>
      </c>
      <c r="CE63" s="59">
        <f t="shared" si="40"/>
        <v>142.87103313412547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60.433090589507188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60.433090589507188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245</v>
      </c>
      <c r="CR63" s="12">
        <f>VLOOKUP(A63,'Données projet'!$A$139:$I$159,9,0)</f>
        <v>5.2</v>
      </c>
      <c r="CS63" s="12">
        <f t="array" ref="CS63">INDEX(CR:CR,MIN(IF(ISNUMBER(CR63:CR259),ROW(CR63:CR259),"")))</f>
        <v>5.2</v>
      </c>
      <c r="CT63" s="12">
        <f>IF('Données projet'!$A$140&gt;35,CT62+CS63-DB62,IF(A63&lt;'Données projet'!$A$140,$CQ$205^A63,IF(A63='Données projet'!$A$140,'Données projet'!$B$140,CT62+CS63-DB62)))</f>
        <v>244.99999999999983</v>
      </c>
      <c r="CU63" s="17">
        <f>CT63*VLOOKUP('Données projet'!$B$13,Paramètres!$A$1:$I$89,3,0)*VLOOKUP('Données projet'!$B$13,Paramètres!$A$1:$I$89,5,0)</f>
        <v>198.74399999999989</v>
      </c>
      <c r="CV63" s="13">
        <f t="shared" si="41"/>
        <v>49.468035816012154</v>
      </c>
      <c r="CW63" s="20">
        <f t="shared" si="13"/>
        <v>432.30262904622094</v>
      </c>
      <c r="CX63" s="59">
        <f t="shared" si="14"/>
        <v>725.63596237955426</v>
      </c>
      <c r="CY63" s="59">
        <f ca="1">AVERAGE(OFFSET($CX$3,0,0,'Données projet'!$E$13+1,1))-AVERAGE(OFFSET($H$3,0,0,'Données projet'!$E$13+1,1))</f>
        <v>230.38929580146208</v>
      </c>
      <c r="CZ63" s="59">
        <f t="shared" si="42"/>
        <v>227.1847788696258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12</v>
      </c>
      <c r="DC63" s="16">
        <f>IF(ISNA(VLOOKUP(A63,'Données projet'!$A$139:$I$159,5,0)),0%,VLOOKUP(A63,'Données projet'!$A$139:$I$159,5,0)*VLOOKUP('Données projet'!$B$13,Paramètres!$A$1:$I$89,7,0))</f>
        <v>0.53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42.763377964388596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42.763377964388596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243.93</v>
      </c>
      <c r="DM63" s="12">
        <f>VLOOKUP(A63,'Données projet'!$A$165:$I$185,9,0)</f>
        <v>7.6860000000000017</v>
      </c>
      <c r="DN63" s="12">
        <f t="array" ref="DN63">INDEX(DM:DM,MIN(IF(ISNUMBER(DM63:DM259),ROW(DM63:DM259),"")))</f>
        <v>7.6860000000000017</v>
      </c>
      <c r="DO63" s="12">
        <f>IF('Données projet'!$A$166&gt;35,DO62+DN63-DW62,IF(A63&lt;'Données projet'!$A$166,$DL$205^A63,IF(A63='Données projet'!$A$166,'Données projet'!$B$166,DO62+DN63-DW62)))</f>
        <v>243.93</v>
      </c>
      <c r="DP63" s="17">
        <f>DO63*VLOOKUP('Données projet'!$B$14,Paramètres!$A$1:$I$89,3,0)*VLOOKUP('Données projet'!$B$14,Paramètres!$A$1:$I$89,5,0)</f>
        <v>145.87014000000002</v>
      </c>
      <c r="DQ63" s="13">
        <f t="shared" si="43"/>
        <v>37.638540599861784</v>
      </c>
      <c r="DR63" s="20">
        <f t="shared" si="16"/>
        <v>319.61095204475936</v>
      </c>
      <c r="DS63" s="59">
        <f t="shared" si="17"/>
        <v>612.94428537809267</v>
      </c>
      <c r="DT63" s="59">
        <f ca="1">AVERAGE(OFFSET($DS$3,0,0,'Données projet'!$E$14+1,1))-AVERAGE(OFFSET($H$3,0,0,'Données projet'!$E$14+1,1))</f>
        <v>145.97103392561058</v>
      </c>
      <c r="DU63" s="59">
        <f t="shared" si="44"/>
        <v>62.920713953681172</v>
      </c>
      <c r="DV63" s="15">
        <f>IF(ISNA(VLOOKUP(A63,'Données projet'!$A$165:$I$185,3,0)),0,VLOOKUP(A63,'Données projet'!$A$165:$I$185,3,0))</f>
        <v>2</v>
      </c>
      <c r="DW63" s="15">
        <f>IF(ISNA(VLOOKUP(A63,'Données projet'!$A$165:$I$185,4,0)),0,VLOOKUP(A63,'Données projet'!$A$165:$I$185,4,0))</f>
        <v>71.69</v>
      </c>
      <c r="DX63" s="16">
        <f>IF(ISNA(VLOOKUP(A63,'Données projet'!$A$165:$I$185,5,0)),0%,VLOOKUP(A63,'Données projet'!$A$165:$I$185,5,0)*VLOOKUP('Données projet'!$B$14,Paramètres!$A$1:$I$89,7,0))</f>
        <v>0.45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45.216452143148359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45.216452143148359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0.8600000000003547</v>
      </c>
      <c r="O64" s="13">
        <f>N64*VLOOKUP('Données projet'!$B$9,Paramètres!$A$1:$I$89,3,0)*VLOOKUP('Données projet'!$B$9,Paramètres!$A$1:$I$89,5,0)</f>
        <v>0.48074000000019829</v>
      </c>
      <c r="P64" s="13">
        <f t="shared" si="33"/>
        <v>0.24126147010950588</v>
      </c>
      <c r="Q64" s="20">
        <f t="shared" si="53"/>
        <v>1.2574858937744013</v>
      </c>
      <c r="R64" s="59">
        <f t="shared" si="0"/>
        <v>294.59081922710772</v>
      </c>
      <c r="S64" s="59">
        <f ca="1">AVERAGE(OFFSET($R$3,0,0,'Données projet'!$E$9+1,1))-AVERAGE(OFFSET($H$3,0,0,'Données projet'!$E$9+1,1))</f>
        <v>350.01600895263641</v>
      </c>
      <c r="T64" s="59">
        <f t="shared" si="34"/>
        <v>464.08921044376882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330.13560794299917</v>
      </c>
      <c r="AA64" s="21">
        <f>EXP(-LN(2)/25)*AA63+(1-EXP(-LN(2)/25))/(LN(2)/25)*Calculateur!V64*Calculateur!X64*VLOOKUP('Données projet'!$B$9,Paramètres!$A$1:$I$89,3,0)*0.475*44/12</f>
        <v>21.410493558418132</v>
      </c>
      <c r="AB64" s="21">
        <f>EXP(-LN(2)/2)*AB63+(1-EXP(-LN(2)/2))/(LN(2)/2)*V64*Y64*VLOOKUP('Données projet'!$B$9,Paramètres!$A$1:$I$89,3,0)*0.475*44/12</f>
        <v>1.5966883045637584E-5</v>
      </c>
      <c r="AC64" s="22">
        <f t="shared" si="3"/>
        <v>351.54611746830034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</v>
      </c>
      <c r="AI64" s="13">
        <f>IF('Données projet'!$A$62&gt;35,AI63+AH64-AQ63,IF(A64&lt;'Données projet'!$A$62,$AF$205^A64,IF(A64='Données projet'!$A$62,'Données projet'!$B$62,AI63+AH64-AQ63)))</f>
        <v>193.99999999999994</v>
      </c>
      <c r="AJ64" s="13">
        <f>AI64*VLOOKUP('Données projet'!$B$10,Paramètres!$A$1:$I$89,3,0)*VLOOKUP('Données projet'!$B$10,Paramètres!$A$1:$I$89,5,0)</f>
        <v>169.47839999999997</v>
      </c>
      <c r="AK64" s="13">
        <f t="shared" si="35"/>
        <v>42.973181651930297</v>
      </c>
      <c r="AL64" s="20">
        <f t="shared" si="4"/>
        <v>370.01983804377852</v>
      </c>
      <c r="AM64" s="59">
        <f t="shared" si="5"/>
        <v>663.35317137711183</v>
      </c>
      <c r="AN64" s="59">
        <f ca="1">AVERAGE(OFFSET($AM$3,0,0,'Données projet'!$E$10+1,1))-AVERAGE(OFFSET($H$3,0,0,'Données projet'!$E$10+1,1))</f>
        <v>242.48830542479988</v>
      </c>
      <c r="AO64" s="59">
        <f t="shared" si="36"/>
        <v>226.11219631227061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40.628375163803078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40.628375163803078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8.0925000000000011</v>
      </c>
      <c r="BD64" s="12">
        <f>IF('Données projet'!$A$88&gt;35,BD63+BC64-BL63,IF(A64&lt;'Données projet'!$A$88,$BA$205^A64,IF(A64='Données projet'!$A$88,'Données projet'!$B$88,BD63+BC64-BL63)))</f>
        <v>184.52499999999984</v>
      </c>
      <c r="BE64" s="13">
        <f>BD64*VLOOKUP('Données projet'!$B$11,Paramètres!$A$1:$I$89,3,0)*VLOOKUP('Données projet'!$B$11,Paramètres!$A$1:$I$89,5,0)</f>
        <v>187.10834999999986</v>
      </c>
      <c r="BF64" s="13">
        <f t="shared" si="37"/>
        <v>46.900080591754985</v>
      </c>
      <c r="BG64" s="20">
        <f t="shared" si="7"/>
        <v>407.56468328063971</v>
      </c>
      <c r="BH64" s="59">
        <f t="shared" si="8"/>
        <v>700.89801661397303</v>
      </c>
      <c r="BI64" s="59">
        <f ca="1">AVERAGE(OFFSET($BH$3,0,0,'Données projet'!$E$11+1,1))-AVERAGE(OFFSET($H$3,0,0,'Données projet'!$E$11+1,1))</f>
        <v>402.5435069258703</v>
      </c>
      <c r="BJ64" s="59">
        <f t="shared" si="38"/>
        <v>163.60655195816349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66.398659402301988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66.398659402301988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8.0925000000000011</v>
      </c>
      <c r="BY64" s="12">
        <f>IF('Données projet'!$A$114&gt;35,BY63+BX64-CG63,IF(A64&lt;'Données projet'!$A$114,$BV$205^A64,IF(A64='Données projet'!$A$114,'Données projet'!$B$114,BY63+BX64-CG63)))</f>
        <v>184.52499999999984</v>
      </c>
      <c r="BZ64" s="13">
        <f>BY64*VLOOKUP('Données projet'!$B$12,Paramètres!$A$1:$I$89,3,0)*VLOOKUP('Données projet'!$B$12,Paramètres!$A$1:$I$89,5,0)</f>
        <v>166.95821999999987</v>
      </c>
      <c r="CA64" s="13">
        <f t="shared" si="39"/>
        <v>42.408051847144556</v>
      </c>
      <c r="CB64" s="20">
        <f t="shared" si="10"/>
        <v>364.64625680044315</v>
      </c>
      <c r="CC64" s="59">
        <f t="shared" si="11"/>
        <v>657.97959013377647</v>
      </c>
      <c r="CD64" s="59">
        <f ca="1">AVERAGE(OFFSET($CC$3,0,0,'Données projet'!$E$12+1,1))-AVERAGE(OFFSET($H$3,0,0,'Données projet'!$E$12+1,1))</f>
        <v>350.91577977538822</v>
      </c>
      <c r="CE64" s="59">
        <f t="shared" si="40"/>
        <v>142.87103313412547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59.248034543592532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59.248034543592532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4.4000000000000004</v>
      </c>
      <c r="CT64" s="12">
        <f>IF('Données projet'!$A$140&gt;35,CT63+CS64-DB63,IF(A64&lt;'Données projet'!$A$140,$CQ$205^A64,IF(A64='Données projet'!$A$140,'Données projet'!$B$140,CT63+CS64-DB63)))</f>
        <v>237.39999999999984</v>
      </c>
      <c r="CU64" s="17">
        <f>CT64*VLOOKUP('Données projet'!$B$13,Paramètres!$A$1:$I$89,3,0)*VLOOKUP('Données projet'!$B$13,Paramètres!$A$1:$I$89,5,0)</f>
        <v>192.57887999999988</v>
      </c>
      <c r="CV64" s="13">
        <f t="shared" si="41"/>
        <v>48.109658468565421</v>
      </c>
      <c r="CW64" s="20">
        <f t="shared" si="13"/>
        <v>419.19920449941787</v>
      </c>
      <c r="CX64" s="59">
        <f t="shared" si="14"/>
        <v>712.53253783275113</v>
      </c>
      <c r="CY64" s="59">
        <f ca="1">AVERAGE(OFFSET($CX$3,0,0,'Données projet'!$E$13+1,1))-AVERAGE(OFFSET($H$3,0,0,'Données projet'!$E$13+1,1))</f>
        <v>230.38929580146208</v>
      </c>
      <c r="CZ64" s="59">
        <f t="shared" si="42"/>
        <v>227.1847788696258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41.924814205592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41.924814205592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6.615999999999997</v>
      </c>
      <c r="DO64" s="12">
        <f>IF('Données projet'!$A$166&gt;35,DO63+DN64-DW63,IF(A64&lt;'Données projet'!$A$166,$DL$205^A64,IF(A64='Données projet'!$A$166,'Données projet'!$B$166,DO63+DN64-DW63)))</f>
        <v>178.85599999999999</v>
      </c>
      <c r="DP64" s="17">
        <f>DO64*VLOOKUP('Données projet'!$B$14,Paramètres!$A$1:$I$89,3,0)*VLOOKUP('Données projet'!$B$14,Paramètres!$A$1:$I$89,5,0)</f>
        <v>106.955888</v>
      </c>
      <c r="DQ64" s="13">
        <f t="shared" si="43"/>
        <v>28.612600811187942</v>
      </c>
      <c r="DR64" s="20">
        <f t="shared" si="16"/>
        <v>236.11511801281895</v>
      </c>
      <c r="DS64" s="59">
        <f t="shared" si="17"/>
        <v>529.4484513461523</v>
      </c>
      <c r="DT64" s="59">
        <f ca="1">AVERAGE(OFFSET($DS$3,0,0,'Données projet'!$E$14+1,1))-AVERAGE(OFFSET($H$3,0,0,'Données projet'!$E$14+1,1))</f>
        <v>145.97103392561058</v>
      </c>
      <c r="DU64" s="59">
        <f t="shared" si="44"/>
        <v>62.920713953681172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44.329785095933794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44.329785095933794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0.8600000000003547</v>
      </c>
      <c r="O65" s="13">
        <f>N65*VLOOKUP('Données projet'!$B$9,Paramètres!$A$1:$I$89,3,0)*VLOOKUP('Données projet'!$B$9,Paramètres!$A$1:$I$89,5,0)</f>
        <v>0.48074000000019829</v>
      </c>
      <c r="P65" s="13">
        <f t="shared" si="33"/>
        <v>0.24126147010950588</v>
      </c>
      <c r="Q65" s="20">
        <f t="shared" si="53"/>
        <v>1.2574858937744013</v>
      </c>
      <c r="R65" s="59">
        <f t="shared" si="0"/>
        <v>294.59081922710772</v>
      </c>
      <c r="S65" s="59">
        <f ca="1">AVERAGE(OFFSET($R$3,0,0,'Données projet'!$E$9+1,1))-AVERAGE(OFFSET($H$3,0,0,'Données projet'!$E$9+1,1))</f>
        <v>350.01600895263641</v>
      </c>
      <c r="T65" s="59">
        <f t="shared" si="34"/>
        <v>464.08921044376882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323.66185003407486</v>
      </c>
      <c r="AA65" s="21">
        <f>EXP(-LN(2)/25)*AA64+(1-EXP(-LN(2)/25))/(LN(2)/25)*Calculateur!V65*Calculateur!X65*VLOOKUP('Données projet'!$B$9,Paramètres!$A$1:$I$89,3,0)*0.475*44/12</f>
        <v>20.825022486134266</v>
      </c>
      <c r="AB65" s="21">
        <f>EXP(-LN(2)/2)*AB64+(1-EXP(-LN(2)/2))/(LN(2)/2)*V65*Y65*VLOOKUP('Données projet'!$B$9,Paramètres!$A$1:$I$89,3,0)*0.475*44/12</f>
        <v>1.1290291275982851E-5</v>
      </c>
      <c r="AC65" s="22">
        <f t="shared" si="3"/>
        <v>344.48688381050044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</v>
      </c>
      <c r="AI65" s="13">
        <f>IF('Données projet'!$A$62&gt;35,AI64+AH65-AQ64,IF(A65&lt;'Données projet'!$A$62,$AF$205^A65,IF(A65='Données projet'!$A$62,'Données projet'!$B$62,AI64+AH65-AQ64)))</f>
        <v>198.99999999999994</v>
      </c>
      <c r="AJ65" s="13">
        <f>AI65*VLOOKUP('Données projet'!$B$10,Paramètres!$A$1:$I$89,3,0)*VLOOKUP('Données projet'!$B$10,Paramètres!$A$1:$I$89,5,0)</f>
        <v>173.84639999999999</v>
      </c>
      <c r="AK65" s="13">
        <f t="shared" si="35"/>
        <v>43.950364270382295</v>
      </c>
      <c r="AL65" s="20">
        <f t="shared" si="4"/>
        <v>379.32936443758246</v>
      </c>
      <c r="AM65" s="59">
        <f t="shared" si="5"/>
        <v>672.66269777091577</v>
      </c>
      <c r="AN65" s="59">
        <f ca="1">AVERAGE(OFFSET($AM$3,0,0,'Données projet'!$E$10+1,1))-AVERAGE(OFFSET($H$3,0,0,'Données projet'!$E$10+1,1))</f>
        <v>242.48830542479988</v>
      </c>
      <c r="AO65" s="59">
        <f t="shared" si="36"/>
        <v>226.11219631227061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39.831677507702842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39.831677507702842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8.0925000000000011</v>
      </c>
      <c r="BD65" s="12">
        <f>IF('Données projet'!$A$88&gt;35,BD64+BC65-BL64,IF(A65&lt;'Données projet'!$A$88,$BA$205^A65,IF(A65='Données projet'!$A$88,'Données projet'!$B$88,BD64+BC65-BL64)))</f>
        <v>192.61749999999984</v>
      </c>
      <c r="BE65" s="13">
        <f>BD65*VLOOKUP('Données projet'!$B$11,Paramètres!$A$1:$I$89,3,0)*VLOOKUP('Données projet'!$B$11,Paramètres!$A$1:$I$89,5,0)</f>
        <v>195.31414499999985</v>
      </c>
      <c r="BF65" s="13">
        <f t="shared" si="37"/>
        <v>48.712941994837763</v>
      </c>
      <c r="BG65" s="20">
        <f t="shared" si="7"/>
        <v>425.01384318267543</v>
      </c>
      <c r="BH65" s="59">
        <f t="shared" si="8"/>
        <v>718.34717651600874</v>
      </c>
      <c r="BI65" s="59">
        <f ca="1">AVERAGE(OFFSET($BH$3,0,0,'Données projet'!$E$11+1,1))-AVERAGE(OFFSET($H$3,0,0,'Données projet'!$E$11+1,1))</f>
        <v>402.5435069258703</v>
      </c>
      <c r="BJ65" s="59">
        <f t="shared" si="38"/>
        <v>163.60655195816349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65.096622190606112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65.096622190606112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8.0925000000000011</v>
      </c>
      <c r="BY65" s="12">
        <f>IF('Données projet'!$A$114&gt;35,BY64+BX65-CG64,IF(A65&lt;'Données projet'!$A$114,$BV$205^A65,IF(A65='Données projet'!$A$114,'Données projet'!$B$114,BY64+BX65-CG64)))</f>
        <v>192.61749999999984</v>
      </c>
      <c r="BZ65" s="13">
        <f>BY65*VLOOKUP('Données projet'!$B$12,Paramètres!$A$1:$I$89,3,0)*VLOOKUP('Données projet'!$B$12,Paramètres!$A$1:$I$89,5,0)</f>
        <v>174.28031399999983</v>
      </c>
      <c r="CA65" s="13">
        <f t="shared" si="39"/>
        <v>44.047279741928506</v>
      </c>
      <c r="CB65" s="20">
        <f t="shared" si="10"/>
        <v>380.25389243385854</v>
      </c>
      <c r="CC65" s="59">
        <f t="shared" si="11"/>
        <v>673.58722576719185</v>
      </c>
      <c r="CD65" s="59">
        <f ca="1">AVERAGE(OFFSET($CC$3,0,0,'Données projet'!$E$12+1,1))-AVERAGE(OFFSET($H$3,0,0,'Données projet'!$E$12+1,1))</f>
        <v>350.91577977538822</v>
      </c>
      <c r="CE65" s="59">
        <f t="shared" si="40"/>
        <v>142.87103313412547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58.086216723925446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58.086216723925446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4.4000000000000004</v>
      </c>
      <c r="CT65" s="12">
        <f>IF('Données projet'!$A$140&gt;35,CT64+CS65-DB64,IF(A65&lt;'Données projet'!$A$140,$CQ$205^A65,IF(A65='Données projet'!$A$140,'Données projet'!$B$140,CT64+CS65-DB64)))</f>
        <v>241.79999999999984</v>
      </c>
      <c r="CU65" s="17">
        <f>CT65*VLOOKUP('Données projet'!$B$13,Paramètres!$A$1:$I$89,3,0)*VLOOKUP('Données projet'!$B$13,Paramètres!$A$1:$I$89,5,0)</f>
        <v>196.14815999999988</v>
      </c>
      <c r="CV65" s="13">
        <f t="shared" si="41"/>
        <v>48.896694156917398</v>
      </c>
      <c r="CW65" s="20">
        <f t="shared" si="13"/>
        <v>426.78645432329751</v>
      </c>
      <c r="CX65" s="59">
        <f t="shared" si="14"/>
        <v>720.11978765663082</v>
      </c>
      <c r="CY65" s="59">
        <f ca="1">AVERAGE(OFFSET($CX$3,0,0,'Données projet'!$E$13+1,1))-AVERAGE(OFFSET($H$3,0,0,'Données projet'!$E$13+1,1))</f>
        <v>230.38929580146208</v>
      </c>
      <c r="CZ65" s="59">
        <f t="shared" si="42"/>
        <v>227.1847788696258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41.10269417063202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41.10269417063202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6.615999999999997</v>
      </c>
      <c r="DO65" s="12">
        <f>IF('Données projet'!$A$166&gt;35,DO64+DN65-DW64,IF(A65&lt;'Données projet'!$A$166,$DL$205^A65,IF(A65='Données projet'!$A$166,'Données projet'!$B$166,DO64+DN65-DW64)))</f>
        <v>185.47199999999998</v>
      </c>
      <c r="DP65" s="17">
        <f>DO65*VLOOKUP('Données projet'!$B$14,Paramètres!$A$1:$I$89,3,0)*VLOOKUP('Données projet'!$B$14,Paramètres!$A$1:$I$89,5,0)</f>
        <v>110.91225599999999</v>
      </c>
      <c r="DQ65" s="13">
        <f t="shared" si="43"/>
        <v>29.54581577854778</v>
      </c>
      <c r="DR65" s="20">
        <f t="shared" si="16"/>
        <v>244.6311416809707</v>
      </c>
      <c r="DS65" s="59">
        <f t="shared" si="17"/>
        <v>537.96447501430407</v>
      </c>
      <c r="DT65" s="59">
        <f ca="1">AVERAGE(OFFSET($DS$3,0,0,'Données projet'!$E$14+1,1))-AVERAGE(OFFSET($H$3,0,0,'Données projet'!$E$14+1,1))</f>
        <v>145.97103392561058</v>
      </c>
      <c r="DU65" s="59">
        <f t="shared" si="44"/>
        <v>62.920713953681172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43.460505048701613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43.460505048701613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0.8600000000003547</v>
      </c>
      <c r="O66" s="13">
        <f>N66*VLOOKUP('Données projet'!$B$9,Paramètres!$A$1:$I$89,3,0)*VLOOKUP('Données projet'!$B$9,Paramètres!$A$1:$I$89,5,0)</f>
        <v>0.48074000000019829</v>
      </c>
      <c r="P66" s="13">
        <f t="shared" si="33"/>
        <v>0.24126147010950588</v>
      </c>
      <c r="Q66" s="20">
        <f t="shared" si="53"/>
        <v>1.2574858937744013</v>
      </c>
      <c r="R66" s="59">
        <f t="shared" si="0"/>
        <v>294.59081922710772</v>
      </c>
      <c r="S66" s="59">
        <f ca="1">AVERAGE(OFFSET($R$3,0,0,'Données projet'!$E$9+1,1))-AVERAGE(OFFSET($H$3,0,0,'Données projet'!$E$9+1,1))</f>
        <v>350.01600895263641</v>
      </c>
      <c r="T66" s="59">
        <f t="shared" si="34"/>
        <v>464.08921044376882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317.31503856914213</v>
      </c>
      <c r="AA66" s="21">
        <f>EXP(-LN(2)/25)*AA65+(1-EXP(-LN(2)/25))/(LN(2)/25)*Calculateur!V66*Calculateur!X66*VLOOKUP('Données projet'!$B$9,Paramètres!$A$1:$I$89,3,0)*0.475*44/12</f>
        <v>20.255561151110587</v>
      </c>
      <c r="AB66" s="21">
        <f>EXP(-LN(2)/2)*AB65+(1-EXP(-LN(2)/2))/(LN(2)/2)*V66*Y66*VLOOKUP('Données projet'!$B$9,Paramètres!$A$1:$I$89,3,0)*0.475*44/12</f>
        <v>7.9834415228187922E-6</v>
      </c>
      <c r="AC66" s="22">
        <f t="shared" si="3"/>
        <v>337.57060770369429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</v>
      </c>
      <c r="AI66" s="13">
        <f>IF('Données projet'!$A$62&gt;35,AI65+AH66-AQ65,IF(A66&lt;'Données projet'!$A$62,$AF$205^A66,IF(A66='Données projet'!$A$62,'Données projet'!$B$62,AI65+AH66-AQ65)))</f>
        <v>203.99999999999994</v>
      </c>
      <c r="AJ66" s="13">
        <f>AI66*VLOOKUP('Données projet'!$B$10,Paramètres!$A$1:$I$89,3,0)*VLOOKUP('Données projet'!$B$10,Paramètres!$A$1:$I$89,5,0)</f>
        <v>178.21439999999998</v>
      </c>
      <c r="AK66" s="13">
        <f t="shared" si="35"/>
        <v>44.924692855664368</v>
      </c>
      <c r="AL66" s="20">
        <f t="shared" si="4"/>
        <v>388.63392005694874</v>
      </c>
      <c r="AM66" s="59">
        <f t="shared" si="5"/>
        <v>681.96725339028205</v>
      </c>
      <c r="AN66" s="59">
        <f ca="1">AVERAGE(OFFSET($AM$3,0,0,'Données projet'!$E$10+1,1))-AVERAGE(OFFSET($H$3,0,0,'Données projet'!$E$10+1,1))</f>
        <v>242.48830542479988</v>
      </c>
      <c r="AO66" s="59">
        <f t="shared" si="36"/>
        <v>226.11219631227061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39.050602606701148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39.050602606701148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8.0925000000000011</v>
      </c>
      <c r="BD66" s="12">
        <f>IF('Données projet'!$A$88&gt;35,BD65+BC66-BL65,IF(A66&lt;'Données projet'!$A$88,$BA$205^A66,IF(A66='Données projet'!$A$88,'Données projet'!$B$88,BD65+BC66-BL65)))</f>
        <v>200.70999999999984</v>
      </c>
      <c r="BE66" s="13">
        <f>BD66*VLOOKUP('Données projet'!$B$11,Paramètres!$A$1:$I$89,3,0)*VLOOKUP('Données projet'!$B$11,Paramètres!$A$1:$I$89,5,0)</f>
        <v>203.51993999999982</v>
      </c>
      <c r="BF66" s="13">
        <f t="shared" si="37"/>
        <v>50.516956765068734</v>
      </c>
      <c r="BG66" s="20">
        <f t="shared" si="7"/>
        <v>442.44759519916101</v>
      </c>
      <c r="BH66" s="59">
        <f t="shared" si="8"/>
        <v>735.78092853249427</v>
      </c>
      <c r="BI66" s="59">
        <f ca="1">AVERAGE(OFFSET($BH$3,0,0,'Données projet'!$E$11+1,1))-AVERAGE(OFFSET($H$3,0,0,'Données projet'!$E$11+1,1))</f>
        <v>402.5435069258703</v>
      </c>
      <c r="BJ66" s="59">
        <f t="shared" si="38"/>
        <v>163.60655195816349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63.820117134467317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63.820117134467317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8.0925000000000011</v>
      </c>
      <c r="BY66" s="12">
        <f>IF('Données projet'!$A$114&gt;35,BY65+BX66-CG65,IF(A66&lt;'Données projet'!$A$114,$BV$205^A66,IF(A66='Données projet'!$A$114,'Données projet'!$B$114,BY65+BX66-CG65)))</f>
        <v>200.70999999999984</v>
      </c>
      <c r="BZ66" s="13">
        <f>BY66*VLOOKUP('Données projet'!$B$12,Paramètres!$A$1:$I$89,3,0)*VLOOKUP('Données projet'!$B$12,Paramètres!$A$1:$I$89,5,0)</f>
        <v>181.60240799999985</v>
      </c>
      <c r="CA66" s="13">
        <f t="shared" si="39"/>
        <v>45.678508322853823</v>
      </c>
      <c r="CB66" s="20">
        <f t="shared" si="10"/>
        <v>395.84759592897012</v>
      </c>
      <c r="CC66" s="59">
        <f t="shared" si="11"/>
        <v>689.18092926230338</v>
      </c>
      <c r="CD66" s="59">
        <f ca="1">AVERAGE(OFFSET($CC$3,0,0,'Données projet'!$E$12+1,1))-AVERAGE(OFFSET($H$3,0,0,'Données projet'!$E$12+1,1))</f>
        <v>350.91577977538822</v>
      </c>
      <c r="CE66" s="59">
        <f t="shared" si="40"/>
        <v>142.87103313412547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56.947181443063137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56.947181443063137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4.4000000000000004</v>
      </c>
      <c r="CT66" s="12">
        <f>IF('Données projet'!$A$140&gt;35,CT65+CS66-DB65,IF(A66&lt;'Données projet'!$A$140,$CQ$205^A66,IF(A66='Données projet'!$A$140,'Données projet'!$B$140,CT65+CS66-DB65)))</f>
        <v>246.19999999999985</v>
      </c>
      <c r="CU66" s="17">
        <f>CT66*VLOOKUP('Données projet'!$B$13,Paramètres!$A$1:$I$89,3,0)*VLOOKUP('Données projet'!$B$13,Paramètres!$A$1:$I$89,5,0)</f>
        <v>199.71743999999987</v>
      </c>
      <c r="CV66" s="13">
        <f t="shared" si="41"/>
        <v>49.682064480920403</v>
      </c>
      <c r="CW66" s="20">
        <f t="shared" si="13"/>
        <v>434.37080363760282</v>
      </c>
      <c r="CX66" s="59">
        <f t="shared" si="14"/>
        <v>727.70413697093613</v>
      </c>
      <c r="CY66" s="59">
        <f ca="1">AVERAGE(OFFSET($CX$3,0,0,'Données projet'!$E$13+1,1))-AVERAGE(OFFSET($H$3,0,0,'Données projet'!$E$13+1,1))</f>
        <v>230.38929580146208</v>
      </c>
      <c r="CZ66" s="59">
        <f t="shared" si="42"/>
        <v>227.1847788696258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40.296695408113898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40.296695408113898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6.615999999999997</v>
      </c>
      <c r="DO66" s="12">
        <f>IF('Données projet'!$A$166&gt;35,DO65+DN66-DW65,IF(A66&lt;'Données projet'!$A$166,$DL$205^A66,IF(A66='Données projet'!$A$166,'Données projet'!$B$166,DO65+DN66-DW65)))</f>
        <v>192.08799999999997</v>
      </c>
      <c r="DP66" s="17">
        <f>DO66*VLOOKUP('Données projet'!$B$14,Paramètres!$A$1:$I$89,3,0)*VLOOKUP('Données projet'!$B$14,Paramètres!$A$1:$I$89,5,0)</f>
        <v>114.86862399999998</v>
      </c>
      <c r="DQ66" s="13">
        <f t="shared" si="43"/>
        <v>30.475163090189657</v>
      </c>
      <c r="DR66" s="20">
        <f t="shared" si="16"/>
        <v>253.14042918208028</v>
      </c>
      <c r="DS66" s="59">
        <f t="shared" si="17"/>
        <v>546.47376251541357</v>
      </c>
      <c r="DT66" s="59">
        <f ca="1">AVERAGE(OFFSET($DS$3,0,0,'Données projet'!$E$14+1,1))-AVERAGE(OFFSET($H$3,0,0,'Données projet'!$E$14+1,1))</f>
        <v>145.97103392561058</v>
      </c>
      <c r="DU66" s="59">
        <f t="shared" si="44"/>
        <v>62.920713953681172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42.608271052987178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42.608271052987178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0.8600000000003547</v>
      </c>
      <c r="O67" s="13">
        <f>N67*VLOOKUP('Données projet'!$B$9,Paramètres!$A$1:$I$89,3,0)*VLOOKUP('Données projet'!$B$9,Paramètres!$A$1:$I$89,5,0)</f>
        <v>0.48074000000019829</v>
      </c>
      <c r="P67" s="13">
        <f t="shared" si="33"/>
        <v>0.24126147010950588</v>
      </c>
      <c r="Q67" s="20">
        <f t="shared" ref="Q67:Q98" si="54">(O67+P67)*0.475*44/12</f>
        <v>1.2574858937744013</v>
      </c>
      <c r="R67" s="59">
        <f t="shared" ref="R67:R130" si="55">Q67+(I67+J67)*44/12</f>
        <v>294.59081922710772</v>
      </c>
      <c r="S67" s="59">
        <f ca="1">AVERAGE(OFFSET($R$3,0,0,'Données projet'!$E$9+1,1))-AVERAGE(OFFSET($H$3,0,0,'Données projet'!$E$9+1,1))</f>
        <v>350.01600895263641</v>
      </c>
      <c r="T67" s="59">
        <f t="shared" si="34"/>
        <v>464.08921044376882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311.09268420586397</v>
      </c>
      <c r="AA67" s="21">
        <f>EXP(-LN(2)/25)*AA66+(1-EXP(-LN(2)/25))/(LN(2)/25)*Calculateur!V67*Calculateur!X67*VLOOKUP('Données projet'!$B$9,Paramètres!$A$1:$I$89,3,0)*0.475*44/12</f>
        <v>19.701671766239802</v>
      </c>
      <c r="AB67" s="21">
        <f>EXP(-LN(2)/2)*AB66+(1-EXP(-LN(2)/2))/(LN(2)/2)*V67*Y67*VLOOKUP('Données projet'!$B$9,Paramètres!$A$1:$I$89,3,0)*0.475*44/12</f>
        <v>5.6451456379914256E-6</v>
      </c>
      <c r="AC67" s="22">
        <f t="shared" si="3"/>
        <v>330.79436161724942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</v>
      </c>
      <c r="AI67" s="13">
        <f>IF('Données projet'!$A$62&gt;35,AI66+AH67-AQ66,IF(A67&lt;'Données projet'!$A$62,$AF$205^A67,IF(A67='Données projet'!$A$62,'Données projet'!$B$62,AI66+AH67-AQ66)))</f>
        <v>208.99999999999994</v>
      </c>
      <c r="AJ67" s="13">
        <f>AI67*VLOOKUP('Données projet'!$B$10,Paramètres!$A$1:$I$89,3,0)*VLOOKUP('Données projet'!$B$10,Paramètres!$A$1:$I$89,5,0)</f>
        <v>182.58239999999998</v>
      </c>
      <c r="AK67" s="13">
        <f t="shared" si="35"/>
        <v>45.896245406460245</v>
      </c>
      <c r="AL67" s="20">
        <f t="shared" si="4"/>
        <v>397.93364074958487</v>
      </c>
      <c r="AM67" s="59">
        <f t="shared" si="5"/>
        <v>691.26697408291818</v>
      </c>
      <c r="AN67" s="59">
        <f ca="1">AVERAGE(OFFSET($AM$3,0,0,'Données projet'!$E$10+1,1))-AVERAGE(OFFSET($H$3,0,0,'Données projet'!$E$10+1,1))</f>
        <v>242.48830542479988</v>
      </c>
      <c r="AO67" s="59">
        <f t="shared" si="36"/>
        <v>226.11219631227061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38.284844108099442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38.284844108099442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8.0925000000000011</v>
      </c>
      <c r="BD67" s="12">
        <f>IF('Données projet'!$A$88&gt;35,BD66+BC67-BL66,IF(A67&lt;'Données projet'!$A$88,$BA$205^A67,IF(A67='Données projet'!$A$88,'Données projet'!$B$88,BD66+BC67-BL66)))</f>
        <v>208.80249999999984</v>
      </c>
      <c r="BE67" s="13">
        <f>BD67*VLOOKUP('Données projet'!$B$11,Paramètres!$A$1:$I$89,3,0)*VLOOKUP('Données projet'!$B$11,Paramètres!$A$1:$I$89,5,0)</f>
        <v>211.72573499999984</v>
      </c>
      <c r="BF67" s="13">
        <f t="shared" si="37"/>
        <v>52.312522398402251</v>
      </c>
      <c r="BG67" s="20">
        <f t="shared" si="7"/>
        <v>459.86663163555028</v>
      </c>
      <c r="BH67" s="59">
        <f t="shared" si="8"/>
        <v>753.19996496888359</v>
      </c>
      <c r="BI67" s="59">
        <f ca="1">AVERAGE(OFFSET($BH$3,0,0,'Données projet'!$E$11+1,1))-AVERAGE(OFFSET($H$3,0,0,'Données projet'!$E$11+1,1))</f>
        <v>402.5435069258703</v>
      </c>
      <c r="BJ67" s="59">
        <f t="shared" si="38"/>
        <v>163.60655195816349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62.568643563888202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62.568643563888202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8.0925000000000011</v>
      </c>
      <c r="BY67" s="12">
        <f>IF('Données projet'!$A$114&gt;35,BY66+BX67-CG66,IF(A67&lt;'Données projet'!$A$114,$BV$205^A67,IF(A67='Données projet'!$A$114,'Données projet'!$B$114,BY66+BX67-CG66)))</f>
        <v>208.80249999999984</v>
      </c>
      <c r="BZ67" s="13">
        <f>BY67*VLOOKUP('Données projet'!$B$12,Paramètres!$A$1:$I$89,3,0)*VLOOKUP('Données projet'!$B$12,Paramètres!$A$1:$I$89,5,0)</f>
        <v>188.92450199999985</v>
      </c>
      <c r="CA67" s="13">
        <f t="shared" si="39"/>
        <v>47.302097014229012</v>
      </c>
      <c r="CB67" s="20">
        <f t="shared" si="10"/>
        <v>411.42799328311526</v>
      </c>
      <c r="CC67" s="59">
        <f t="shared" si="11"/>
        <v>704.76132661644851</v>
      </c>
      <c r="CD67" s="59">
        <f ca="1">AVERAGE(OFFSET($CC$3,0,0,'Données projet'!$E$12+1,1))-AVERAGE(OFFSET($H$3,0,0,'Données projet'!$E$12+1,1))</f>
        <v>350.91577977538822</v>
      </c>
      <c r="CE67" s="59">
        <f t="shared" si="40"/>
        <v>142.87103313412547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55.830481949315619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55.830481949315619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4.4000000000000004</v>
      </c>
      <c r="CT67" s="12">
        <f>IF('Données projet'!$A$140&gt;35,CT66+CS67-DB66,IF(A67&lt;'Données projet'!$A$140,$CQ$205^A67,IF(A67='Données projet'!$A$140,'Données projet'!$B$140,CT66+CS67-DB66)))</f>
        <v>250.59999999999985</v>
      </c>
      <c r="CU67" s="17">
        <f>CT67*VLOOKUP('Données projet'!$B$13,Paramètres!$A$1:$I$89,3,0)*VLOOKUP('Données projet'!$B$13,Paramètres!$A$1:$I$89,5,0)</f>
        <v>203.28671999999989</v>
      </c>
      <c r="CV67" s="13">
        <f t="shared" si="41"/>
        <v>50.465802636798685</v>
      </c>
      <c r="CW67" s="20">
        <f t="shared" si="13"/>
        <v>441.95231025909084</v>
      </c>
      <c r="CX67" s="59">
        <f t="shared" si="14"/>
        <v>735.28564359242409</v>
      </c>
      <c r="CY67" s="59">
        <f ca="1">AVERAGE(OFFSET($CX$3,0,0,'Données projet'!$E$13+1,1))-AVERAGE(OFFSET($H$3,0,0,'Données projet'!$E$13+1,1))</f>
        <v>230.38929580146208</v>
      </c>
      <c r="CZ67" s="59">
        <f t="shared" si="42"/>
        <v>227.1847788696258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39.506501789718051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39.506501789718051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6.615999999999997</v>
      </c>
      <c r="DO67" s="12">
        <f>IF('Données projet'!$A$166&gt;35,DO66+DN67-DW66,IF(A67&lt;'Données projet'!$A$166,$DL$205^A67,IF(A67='Données projet'!$A$166,'Données projet'!$B$166,DO66+DN67-DW66)))</f>
        <v>198.70399999999995</v>
      </c>
      <c r="DP67" s="17">
        <f>DO67*VLOOKUP('Données projet'!$B$14,Paramètres!$A$1:$I$89,3,0)*VLOOKUP('Données projet'!$B$14,Paramètres!$A$1:$I$89,5,0)</f>
        <v>118.82499199999999</v>
      </c>
      <c r="DQ67" s="13">
        <f t="shared" si="43"/>
        <v>31.400791225840081</v>
      </c>
      <c r="DR67" s="20">
        <f t="shared" si="16"/>
        <v>261.6432391183381</v>
      </c>
      <c r="DS67" s="59">
        <f t="shared" si="17"/>
        <v>554.97657245167147</v>
      </c>
      <c r="DT67" s="59">
        <f ca="1">AVERAGE(OFFSET($DS$3,0,0,'Données projet'!$E$14+1,1))-AVERAGE(OFFSET($H$3,0,0,'Données projet'!$E$14+1,1))</f>
        <v>145.97103392561058</v>
      </c>
      <c r="DU67" s="59">
        <f t="shared" si="44"/>
        <v>62.920713953681172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41.772748846117295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41.772748846117295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0.8600000000003547</v>
      </c>
      <c r="O68" s="13">
        <f>N68*VLOOKUP('Données projet'!$B$9,Paramètres!$A$1:$I$89,3,0)*VLOOKUP('Données projet'!$B$9,Paramètres!$A$1:$I$89,5,0)</f>
        <v>0.48074000000019829</v>
      </c>
      <c r="P68" s="13">
        <f t="shared" si="33"/>
        <v>0.24126147010950588</v>
      </c>
      <c r="Q68" s="20">
        <f t="shared" si="54"/>
        <v>1.2574858937744013</v>
      </c>
      <c r="R68" s="59">
        <f t="shared" si="55"/>
        <v>294.59081922710772</v>
      </c>
      <c r="S68" s="59">
        <f ca="1">AVERAGE(OFFSET($R$3,0,0,'Données projet'!$E$9+1,1))-AVERAGE(OFFSET($H$3,0,0,'Données projet'!$E$9+1,1))</f>
        <v>350.01600895263641</v>
      </c>
      <c r="T68" s="59">
        <f t="shared" si="34"/>
        <v>464.08921044376882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304.99234641638833</v>
      </c>
      <c r="AA68" s="21">
        <f>EXP(-LN(2)/25)*AA67+(1-EXP(-LN(2)/25))/(LN(2)/25)*Calculateur!V68*Calculateur!X68*VLOOKUP('Données projet'!$B$9,Paramètres!$A$1:$I$89,3,0)*0.475*44/12</f>
        <v>19.162928515726083</v>
      </c>
      <c r="AB68" s="21">
        <f>EXP(-LN(2)/2)*AB67+(1-EXP(-LN(2)/2))/(LN(2)/2)*V68*Y68*VLOOKUP('Données projet'!$B$9,Paramètres!$A$1:$I$89,3,0)*0.475*44/12</f>
        <v>3.9917207614093961E-6</v>
      </c>
      <c r="AC68" s="22">
        <f t="shared" ref="AC68:AC131" si="57">SUM(Z68:AB68)</f>
        <v>324.15527892383517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214</v>
      </c>
      <c r="AG68" s="12">
        <f>VLOOKUP(A68,'Données projet'!$A$61:$I$81,9,0)</f>
        <v>5</v>
      </c>
      <c r="AH68" s="12">
        <f t="array" ref="AH68">INDEX(AG:AG,MIN(IF(ISNUMBER(AG68:AG264),ROW(AG68:AG264),"")))</f>
        <v>5</v>
      </c>
      <c r="AI68" s="13">
        <f>IF('Données projet'!$A$62&gt;35,AI67+AH68-AQ67,IF(A68&lt;'Données projet'!$A$62,$AF$205^A68,IF(A68='Données projet'!$A$62,'Données projet'!$B$62,AI67+AH68-AQ67)))</f>
        <v>213.99999999999994</v>
      </c>
      <c r="AJ68" s="13">
        <f>AI68*VLOOKUP('Données projet'!$B$10,Paramètres!$A$1:$I$89,3,0)*VLOOKUP('Données projet'!$B$10,Paramètres!$A$1:$I$89,5,0)</f>
        <v>186.95039999999997</v>
      </c>
      <c r="AK68" s="13">
        <f t="shared" si="35"/>
        <v>46.865095976617653</v>
      </c>
      <c r="AL68" s="20">
        <f t="shared" ref="AL68:AL131" si="58">(AJ68+AK68)*0.475*44/12</f>
        <v>407.22865549260905</v>
      </c>
      <c r="AM68" s="59">
        <f t="shared" ref="AM68:AM131" si="59">AL68+(AD68+AE68)*44/12</f>
        <v>700.56198882594231</v>
      </c>
      <c r="AN68" s="59">
        <f ca="1">AVERAGE(OFFSET($AM$3,0,0,'Données projet'!$E$10+1,1))-AVERAGE(OFFSET($H$3,0,0,'Données projet'!$E$10+1,1))</f>
        <v>242.48830542479988</v>
      </c>
      <c r="AO68" s="59">
        <f t="shared" si="36"/>
        <v>226.11219631227061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17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44.593653197812245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44.593653197812245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8.0925000000000011</v>
      </c>
      <c r="BD68" s="12">
        <f>IF('Données projet'!$A$88&gt;35,BD67+BC68-BL67,IF(A68&lt;'Données projet'!$A$88,$BA$205^A68,IF(A68='Données projet'!$A$88,'Données projet'!$B$88,BD67+BC68-BL67)))</f>
        <v>216.89499999999984</v>
      </c>
      <c r="BE68" s="13">
        <f>BD68*VLOOKUP('Données projet'!$B$11,Paramètres!$A$1:$I$89,3,0)*VLOOKUP('Données projet'!$B$11,Paramètres!$A$1:$I$89,5,0)</f>
        <v>219.93152999999984</v>
      </c>
      <c r="BF68" s="13">
        <f t="shared" si="37"/>
        <v>54.10000383480461</v>
      </c>
      <c r="BG68" s="20">
        <f t="shared" ref="BG68:BG131" si="61">(BE68+BF68)*0.475*44/12</f>
        <v>477.27158809561774</v>
      </c>
      <c r="BH68" s="59">
        <f t="shared" ref="BH68:BH131" si="62">BG68+(AY68+AZ68)*44/12</f>
        <v>770.604921428951</v>
      </c>
      <c r="BI68" s="59">
        <f ca="1">AVERAGE(OFFSET($BH$3,0,0,'Données projet'!$E$11+1,1))-AVERAGE(OFFSET($H$3,0,0,'Données projet'!$E$11+1,1))</f>
        <v>402.5435069258703</v>
      </c>
      <c r="BJ68" s="59">
        <f t="shared" si="38"/>
        <v>163.60655195816349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61.341710626704632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61.341710626704632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8.0925000000000011</v>
      </c>
      <c r="BY68" s="12">
        <f>IF('Données projet'!$A$114&gt;35,BY67+BX68-CG67,IF(A68&lt;'Données projet'!$A$114,$BV$205^A68,IF(A68='Données projet'!$A$114,'Données projet'!$B$114,BY67+BX68-CG67)))</f>
        <v>216.89499999999984</v>
      </c>
      <c r="BZ68" s="13">
        <f>BY68*VLOOKUP('Données projet'!$B$12,Paramètres!$A$1:$I$89,3,0)*VLOOKUP('Données projet'!$B$12,Paramètres!$A$1:$I$89,5,0)</f>
        <v>196.24659599999984</v>
      </c>
      <c r="CA68" s="13">
        <f t="shared" si="39"/>
        <v>48.918375802544908</v>
      </c>
      <c r="CB68" s="20">
        <f t="shared" ref="CB68:CB131" si="64">(BZ68+CA68)*0.475*44/12</f>
        <v>426.99565922276543</v>
      </c>
      <c r="CC68" s="59">
        <f t="shared" ref="CC68:CC131" si="65">CB68+(BT68+BU68)*44/12</f>
        <v>720.32899255609868</v>
      </c>
      <c r="CD68" s="59">
        <f ca="1">AVERAGE(OFFSET($CC$3,0,0,'Données projet'!$E$12+1,1))-AVERAGE(OFFSET($H$3,0,0,'Données projet'!$E$12+1,1))</f>
        <v>350.91577977538822</v>
      </c>
      <c r="CE68" s="59">
        <f t="shared" si="40"/>
        <v>142.87103313412547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54.735680251521053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54.735680251521053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255</v>
      </c>
      <c r="CR68" s="12">
        <f>VLOOKUP(A68,'Données projet'!$A$139:$I$159,9,0)</f>
        <v>4.4000000000000004</v>
      </c>
      <c r="CS68" s="12">
        <f t="array" ref="CS68">INDEX(CR:CR,MIN(IF(ISNUMBER(CR68:CR264),ROW(CR68:CR264),"")))</f>
        <v>4.4000000000000004</v>
      </c>
      <c r="CT68" s="12">
        <f>IF('Données projet'!$A$140&gt;35,CT67+CS68-DB67,IF(A68&lt;'Données projet'!$A$140,$CQ$205^A68,IF(A68='Données projet'!$A$140,'Données projet'!$B$140,CT67+CS68-DB67)))</f>
        <v>254.99999999999986</v>
      </c>
      <c r="CU68" s="17">
        <f>CT68*VLOOKUP('Données projet'!$B$13,Paramètres!$A$1:$I$89,3,0)*VLOOKUP('Données projet'!$B$13,Paramètres!$A$1:$I$89,5,0)</f>
        <v>206.85599999999991</v>
      </c>
      <c r="CV68" s="13">
        <f t="shared" si="41"/>
        <v>51.247940588293027</v>
      </c>
      <c r="CW68" s="20">
        <f t="shared" ref="CW68:CW131" si="67">(CU68+CV68)*0.475*44/12</f>
        <v>449.53102985794345</v>
      </c>
      <c r="CX68" s="59">
        <f t="shared" ref="CX68:CX131" si="68">CW68+(CO68+CP68)*44/12</f>
        <v>742.86436319127677</v>
      </c>
      <c r="CY68" s="59">
        <f ca="1">AVERAGE(OFFSET($CX$3,0,0,'Données projet'!$E$13+1,1))-AVERAGE(OFFSET($H$3,0,0,'Données projet'!$E$13+1,1))</f>
        <v>230.38929580146208</v>
      </c>
      <c r="CZ68" s="59">
        <f t="shared" si="42"/>
        <v>227.1847788696258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11</v>
      </c>
      <c r="DC68" s="16">
        <f>IF(ISNA(VLOOKUP(A68,'Données projet'!$A$139:$I$159,5,0)),0%,VLOOKUP(A68,'Données projet'!$A$139:$I$159,5,0)*VLOOKUP('Données projet'!$B$13,Paramètres!$A$1:$I$89,7,0))</f>
        <v>0.53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43.959900030252101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43.959900030252101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205.32</v>
      </c>
      <c r="DM68" s="12">
        <f>VLOOKUP(A68,'Données projet'!$A$165:$I$185,9,0)</f>
        <v>6.615999999999997</v>
      </c>
      <c r="DN68" s="12">
        <f t="array" ref="DN68">INDEX(DM:DM,MIN(IF(ISNUMBER(DM68:DM264),ROW(DM68:DM264),"")))</f>
        <v>6.615999999999997</v>
      </c>
      <c r="DO68" s="12">
        <f>IF('Données projet'!$A$166&gt;35,DO67+DN68-DW67,IF(A68&lt;'Données projet'!$A$166,$DL$205^A68,IF(A68='Données projet'!$A$166,'Données projet'!$B$166,DO67+DN68-DW67)))</f>
        <v>205.31999999999994</v>
      </c>
      <c r="DP68" s="17">
        <f>DO68*VLOOKUP('Données projet'!$B$14,Paramètres!$A$1:$I$89,3,0)*VLOOKUP('Données projet'!$B$14,Paramètres!$A$1:$I$89,5,0)</f>
        <v>122.78135999999998</v>
      </c>
      <c r="DQ68" s="13">
        <f t="shared" si="43"/>
        <v>32.322838216662845</v>
      </c>
      <c r="DR68" s="20">
        <f t="shared" ref="DR68:DR131" si="70">(DP68+DQ68)*0.475*44/12</f>
        <v>270.13981189402108</v>
      </c>
      <c r="DS68" s="59">
        <f t="shared" ref="DS68:DS131" si="71">DR68+(DJ68+DK68)*44/12</f>
        <v>563.47314522735439</v>
      </c>
      <c r="DT68" s="59">
        <f ca="1">AVERAGE(OFFSET($DS$3,0,0,'Données projet'!$E$14+1,1))-AVERAGE(OFFSET($H$3,0,0,'Données projet'!$E$14+1,1))</f>
        <v>145.97103392561058</v>
      </c>
      <c r="DU68" s="59">
        <f t="shared" si="44"/>
        <v>62.920713953681172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40.9536107201059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40.9536107201059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0.8600000000003547</v>
      </c>
      <c r="O69" s="13">
        <f>N69*VLOOKUP('Données projet'!$B$9,Paramètres!$A$1:$I$89,3,0)*VLOOKUP('Données projet'!$B$9,Paramètres!$A$1:$I$89,5,0)</f>
        <v>0.48074000000019829</v>
      </c>
      <c r="P69" s="13">
        <f t="shared" ref="P69:P132" si="87">EXP(-1.0587+0.8836*LN(O69)+0.284)</f>
        <v>0.24126147010950588</v>
      </c>
      <c r="Q69" s="20">
        <f t="shared" si="54"/>
        <v>1.2574858937744013</v>
      </c>
      <c r="R69" s="59">
        <f t="shared" si="55"/>
        <v>294.59081922710772</v>
      </c>
      <c r="S69" s="59">
        <f ca="1">AVERAGE(OFFSET($R$3,0,0,'Données projet'!$E$9+1,1))-AVERAGE(OFFSET($H$3,0,0,'Données projet'!$E$9+1,1))</f>
        <v>350.01600895263641</v>
      </c>
      <c r="T69" s="59">
        <f t="shared" ref="T69:T132" si="88">$T$3</f>
        <v>464.08921044376882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299.01163253012561</v>
      </c>
      <c r="AA69" s="21">
        <f>EXP(-LN(2)/25)*AA68+(1-EXP(-LN(2)/25))/(LN(2)/25)*Calculateur!V69*Calculateur!X69*VLOOKUP('Données projet'!$B$9,Paramètres!$A$1:$I$89,3,0)*0.475*44/12</f>
        <v>18.638917227728939</v>
      </c>
      <c r="AB69" s="21">
        <f>EXP(-LN(2)/2)*AB68+(1-EXP(-LN(2)/2))/(LN(2)/2)*V69*Y69*VLOOKUP('Données projet'!$B$9,Paramètres!$A$1:$I$89,3,0)*0.475*44/12</f>
        <v>2.8225728189957128E-6</v>
      </c>
      <c r="AC69" s="22">
        <f t="shared" si="57"/>
        <v>317.65055258042736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4.5999999999999996</v>
      </c>
      <c r="AI69" s="13">
        <f>IF('Données projet'!$A$62&gt;35,AI68+AH69-AQ68,IF(A69&lt;'Données projet'!$A$62,$AF$205^A69,IF(A69='Données projet'!$A$62,'Données projet'!$B$62,AI68+AH69-AQ68)))</f>
        <v>201.59999999999994</v>
      </c>
      <c r="AJ69" s="13">
        <f>AI69*VLOOKUP('Données projet'!$B$10,Paramètres!$A$1:$I$89,3,0)*VLOOKUP('Données projet'!$B$10,Paramètres!$A$1:$I$89,5,0)</f>
        <v>176.11775999999998</v>
      </c>
      <c r="AK69" s="13">
        <f t="shared" ref="AK69:AK132" si="89">EXP(-1.0587+0.8836*LN(AJ69)+0.284)</f>
        <v>44.457366290237204</v>
      </c>
      <c r="AL69" s="20">
        <f t="shared" si="58"/>
        <v>384.16834495549637</v>
      </c>
      <c r="AM69" s="59">
        <f t="shared" si="59"/>
        <v>677.50167828882968</v>
      </c>
      <c r="AN69" s="59">
        <f ca="1">AVERAGE(OFFSET($AM$3,0,0,'Données projet'!$E$10+1,1))-AVERAGE(OFFSET($H$3,0,0,'Données projet'!$E$10+1,1))</f>
        <v>242.48830542479988</v>
      </c>
      <c r="AO69" s="59">
        <f t="shared" ref="AO69:AO132" si="90">$AO$3</f>
        <v>226.11219631227061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43.719198858045878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43.719198858045878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8.0925000000000011</v>
      </c>
      <c r="BD69" s="12">
        <f>IF('Données projet'!$A$88&gt;35,BD68+BC69-BL68,IF(A69&lt;'Données projet'!$A$88,$BA$205^A69,IF(A69='Données projet'!$A$88,'Données projet'!$B$88,BD68+BC69-BL68)))</f>
        <v>224.98749999999984</v>
      </c>
      <c r="BE69" s="13">
        <f>BD69*VLOOKUP('Données projet'!$B$11,Paramètres!$A$1:$I$89,3,0)*VLOOKUP('Données projet'!$B$11,Paramètres!$A$1:$I$89,5,0)</f>
        <v>228.13732499999986</v>
      </c>
      <c r="BF69" s="13">
        <f t="shared" ref="BF69:BF132" si="91">EXP(-1.0587+0.8836*LN(BE69)+0.284)</f>
        <v>55.879737239103768</v>
      </c>
      <c r="BG69" s="20">
        <f t="shared" si="61"/>
        <v>494.6630500664387</v>
      </c>
      <c r="BH69" s="59">
        <f t="shared" si="62"/>
        <v>787.99638339977196</v>
      </c>
      <c r="BI69" s="59">
        <f ca="1">AVERAGE(OFFSET($BH$3,0,0,'Données projet'!$E$11+1,1))-AVERAGE(OFFSET($H$3,0,0,'Données projet'!$E$11+1,1))</f>
        <v>402.5435069258703</v>
      </c>
      <c r="BJ69" s="59">
        <f t="shared" ref="BJ69:BJ132" si="92">$BJ$3</f>
        <v>163.60655195816349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60.138837096064037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60.138837096064037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8.0925000000000011</v>
      </c>
      <c r="BY69" s="12">
        <f>IF('Données projet'!$A$114&gt;35,BY68+BX69-CG68,IF(A69&lt;'Données projet'!$A$114,$BV$205^A69,IF(A69='Données projet'!$A$114,'Données projet'!$B$114,BY68+BX69-CG68)))</f>
        <v>224.98749999999984</v>
      </c>
      <c r="BZ69" s="13">
        <f>BY69*VLOOKUP('Données projet'!$B$12,Paramètres!$A$1:$I$89,3,0)*VLOOKUP('Données projet'!$B$12,Paramètres!$A$1:$I$89,5,0)</f>
        <v>203.56868999999983</v>
      </c>
      <c r="CA69" s="13">
        <f t="shared" ref="CA69:CA132" si="93">EXP(-1.0587+0.8836*LN(BZ69)+0.284)</f>
        <v>50.527648655199243</v>
      </c>
      <c r="CB69" s="20">
        <f t="shared" si="64"/>
        <v>442.55112315780502</v>
      </c>
      <c r="CC69" s="59">
        <f t="shared" si="65"/>
        <v>735.88445649113828</v>
      </c>
      <c r="CD69" s="59">
        <f ca="1">AVERAGE(OFFSET($CC$3,0,0,'Données projet'!$E$12+1,1))-AVERAGE(OFFSET($H$3,0,0,'Données projet'!$E$12+1,1))</f>
        <v>350.91577977538822</v>
      </c>
      <c r="CE69" s="59">
        <f t="shared" ref="CE69:CE132" si="94">$CE$3</f>
        <v>142.87103313412547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53.662346947257134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53.662346947257134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3.8</v>
      </c>
      <c r="CT69" s="12">
        <f>IF('Données projet'!$A$140&gt;35,CT68+CS69-DB68,IF(A69&lt;'Données projet'!$A$140,$CQ$205^A69,IF(A69='Données projet'!$A$140,'Données projet'!$B$140,CT68+CS69-DB68)))</f>
        <v>247.79999999999984</v>
      </c>
      <c r="CU69" s="17">
        <f>CT69*VLOOKUP('Données projet'!$B$13,Paramètres!$A$1:$I$89,3,0)*VLOOKUP('Données projet'!$B$13,Paramètres!$A$1:$I$89,5,0)</f>
        <v>201.01535999999987</v>
      </c>
      <c r="CV69" s="13">
        <f t="shared" ref="CV69:CV132" si="95">EXP(-1.0587+0.8836*LN(CU69)+0.284)</f>
        <v>49.96724731300592</v>
      </c>
      <c r="CW69" s="20">
        <f t="shared" si="67"/>
        <v>437.12804107015171</v>
      </c>
      <c r="CX69" s="59">
        <f t="shared" si="68"/>
        <v>730.46137440348502</v>
      </c>
      <c r="CY69" s="59">
        <f ca="1">AVERAGE(OFFSET($CX$3,0,0,'Données projet'!$E$13+1,1))-AVERAGE(OFFSET($H$3,0,0,'Données projet'!$E$13+1,1))</f>
        <v>230.38929580146208</v>
      </c>
      <c r="CZ69" s="59">
        <f t="shared" ref="CZ69:CZ132" si="96">$CZ$3</f>
        <v>227.1847788696258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43.097873203550321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43.097873203550321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6.9080000000000039</v>
      </c>
      <c r="DO69" s="12">
        <f>IF('Données projet'!$A$166&gt;35,DO68+DN69-DW68,IF(A69&lt;'Données projet'!$A$166,$DL$205^A69,IF(A69='Données projet'!$A$166,'Données projet'!$B$166,DO68+DN69-DW68)))</f>
        <v>212.22799999999995</v>
      </c>
      <c r="DP69" s="17">
        <f>DO69*VLOOKUP('Données projet'!$B$14,Paramètres!$A$1:$I$89,3,0)*VLOOKUP('Données projet'!$B$14,Paramètres!$A$1:$I$89,5,0)</f>
        <v>126.91234399999998</v>
      </c>
      <c r="DQ69" s="13">
        <f t="shared" ref="DQ69:DQ132" si="97">EXP(-1.0587+0.8836*LN(DP69)+0.284)</f>
        <v>33.281897619282596</v>
      </c>
      <c r="DR69" s="20">
        <f t="shared" si="70"/>
        <v>279.00497082025043</v>
      </c>
      <c r="DS69" s="59">
        <f t="shared" si="71"/>
        <v>572.33830415358375</v>
      </c>
      <c r="DT69" s="59">
        <f ca="1">AVERAGE(OFFSET($DS$3,0,0,'Données projet'!$E$14+1,1))-AVERAGE(OFFSET($H$3,0,0,'Données projet'!$E$14+1,1))</f>
        <v>145.97103392561058</v>
      </c>
      <c r="DU69" s="59">
        <f t="shared" ref="DU69:DU132" si="98">$DU$3</f>
        <v>62.920713953681172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40.15053539312067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40.15053539312067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0.8600000000003547</v>
      </c>
      <c r="O70" s="13">
        <f>N70*VLOOKUP('Données projet'!$B$9,Paramètres!$A$1:$I$89,3,0)*VLOOKUP('Données projet'!$B$9,Paramètres!$A$1:$I$89,5,0)</f>
        <v>0.48074000000019829</v>
      </c>
      <c r="P70" s="13">
        <f t="shared" si="87"/>
        <v>0.24126147010950588</v>
      </c>
      <c r="Q70" s="20">
        <f t="shared" si="54"/>
        <v>1.2574858937744013</v>
      </c>
      <c r="R70" s="59">
        <f t="shared" si="55"/>
        <v>294.59081922710772</v>
      </c>
      <c r="S70" s="59">
        <f ca="1">AVERAGE(OFFSET($R$3,0,0,'Données projet'!$E$9+1,1))-AVERAGE(OFFSET($H$3,0,0,'Données projet'!$E$9+1,1))</f>
        <v>350.01600895263641</v>
      </c>
      <c r="T70" s="59">
        <f t="shared" si="88"/>
        <v>464.08921044376882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293.14819679529722</v>
      </c>
      <c r="AA70" s="21">
        <f>EXP(-LN(2)/25)*AA69+(1-EXP(-LN(2)/25))/(LN(2)/25)*Calculateur!V70*Calculateur!X70*VLOOKUP('Données projet'!$B$9,Paramètres!$A$1:$I$89,3,0)*0.475*44/12</f>
        <v>18.129235055958635</v>
      </c>
      <c r="AB70" s="21">
        <f>EXP(-LN(2)/2)*AB69+(1-EXP(-LN(2)/2))/(LN(2)/2)*V70*Y70*VLOOKUP('Données projet'!$B$9,Paramètres!$A$1:$I$89,3,0)*0.475*44/12</f>
        <v>1.995860380704698E-6</v>
      </c>
      <c r="AC70" s="22">
        <f t="shared" si="57"/>
        <v>311.27743384711624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4.5999999999999996</v>
      </c>
      <c r="AI70" s="13">
        <f>IF('Données projet'!$A$62&gt;35,AI69+AH70-AQ69,IF(A70&lt;'Données projet'!$A$62,$AF$205^A70,IF(A70='Données projet'!$A$62,'Données projet'!$B$62,AI69+AH70-AQ69)))</f>
        <v>206.19999999999993</v>
      </c>
      <c r="AJ70" s="13">
        <f>AI70*VLOOKUP('Données projet'!$B$10,Paramètres!$A$1:$I$89,3,0)*VLOOKUP('Données projet'!$B$10,Paramètres!$A$1:$I$89,5,0)</f>
        <v>180.13631999999996</v>
      </c>
      <c r="AK70" s="13">
        <f t="shared" si="89"/>
        <v>45.352513518602102</v>
      </c>
      <c r="AL70" s="20">
        <f t="shared" si="58"/>
        <v>392.72638504489856</v>
      </c>
      <c r="AM70" s="59">
        <f t="shared" si="59"/>
        <v>686.05971837823188</v>
      </c>
      <c r="AN70" s="59">
        <f ca="1">AVERAGE(OFFSET($AM$3,0,0,'Données projet'!$E$10+1,1))-AVERAGE(OFFSET($H$3,0,0,'Données projet'!$E$10+1,1))</f>
        <v>242.48830542479988</v>
      </c>
      <c r="AO70" s="59">
        <f t="shared" si="90"/>
        <v>226.11219631227061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42.861892034517844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42.861892034517844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>
        <f>VLOOKUP(A70,'Données projet'!$A$87:$I$107,2,0)</f>
        <v>233.08</v>
      </c>
      <c r="BB70" s="12">
        <f>VLOOKUP(A70,'Données projet'!$A$87:$I$107,9,0)</f>
        <v>8.0925000000000011</v>
      </c>
      <c r="BC70" s="12">
        <f t="array" ref="BC70">INDEX(BB:BB,MIN(IF(ISNUMBER(BB70:BB266),ROW(BB70:BB266),"")))</f>
        <v>8.0925000000000011</v>
      </c>
      <c r="BD70" s="12">
        <f>IF('Données projet'!$A$88&gt;35,BD69+BC70-BL69,IF(A70&lt;'Données projet'!$A$88,$BA$205^A70,IF(A70='Données projet'!$A$88,'Données projet'!$B$88,BD69+BC70-BL69)))</f>
        <v>233.07999999999984</v>
      </c>
      <c r="BE70" s="13">
        <f>BD70*VLOOKUP('Données projet'!$B$11,Paramètres!$A$1:$I$89,3,0)*VLOOKUP('Données projet'!$B$11,Paramètres!$A$1:$I$89,5,0)</f>
        <v>236.34311999999986</v>
      </c>
      <c r="BF70" s="13">
        <f t="shared" si="91"/>
        <v>57.652033222582375</v>
      </c>
      <c r="BG70" s="20">
        <f t="shared" si="61"/>
        <v>512.0415585293307</v>
      </c>
      <c r="BH70" s="59">
        <f t="shared" si="62"/>
        <v>805.37489186266407</v>
      </c>
      <c r="BI70" s="59">
        <f ca="1">AVERAGE(OFFSET($BH$3,0,0,'Données projet'!$E$11+1,1))-AVERAGE(OFFSET($H$3,0,0,'Données projet'!$E$11+1,1))</f>
        <v>402.5435069258703</v>
      </c>
      <c r="BJ70" s="59">
        <f t="shared" si="92"/>
        <v>163.60655195816349</v>
      </c>
      <c r="BK70" s="15">
        <f>IF(ISNA(VLOOKUP(A70,'Données projet'!$A$87:$I$107,3,0)),0,VLOOKUP(A70,'Données projet'!$A$87:$I$107,3,0))</f>
        <v>4</v>
      </c>
      <c r="BL70" s="15">
        <f>IF(ISNA(VLOOKUP(A70,'Données projet'!$A$87:$I$107,4,0)),0,VLOOKUP(A70,'Données projet'!$A$87:$I$107,4,0))</f>
        <v>40.630000000000003</v>
      </c>
      <c r="BM70" s="16">
        <f>IF(ISNA(VLOOKUP(A70,'Données projet'!$A$87:$I$107,5,0)),0%,VLOOKUP(A70,'Données projet'!$A$87:$I$107,5,0)*VLOOKUP('Données projet'!$B$11,Paramètres!$A$1:$I$89,7,0))</f>
        <v>0.43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78.543503509814073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78.543503509814073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>
        <f>VLOOKUP(A70,'Données projet'!$A$113:$I$133,2,0)</f>
        <v>233.08</v>
      </c>
      <c r="BW70" s="12">
        <f>VLOOKUP(A70,'Données projet'!$A$113:$I$133,9,0)</f>
        <v>8.0925000000000011</v>
      </c>
      <c r="BX70" s="12">
        <f t="array" ref="BX70">INDEX(BW:BW,MIN(IF(ISNUMBER(BW70:BW266),ROW(BW70:BW266),"")))</f>
        <v>8.0925000000000011</v>
      </c>
      <c r="BY70" s="12">
        <f>IF('Données projet'!$A$114&gt;35,BY69+BX70-CG69,IF(A70&lt;'Données projet'!$A$114,$BV$205^A70,IF(A70='Données projet'!$A$114,'Données projet'!$B$114,BY69+BX70-CG69)))</f>
        <v>233.07999999999984</v>
      </c>
      <c r="BZ70" s="13">
        <f>BY70*VLOOKUP('Données projet'!$B$12,Paramètres!$A$1:$I$89,3,0)*VLOOKUP('Données projet'!$B$12,Paramètres!$A$1:$I$89,5,0)</f>
        <v>210.89078399999985</v>
      </c>
      <c r="CA70" s="13">
        <f t="shared" si="93"/>
        <v>52.130196433529925</v>
      </c>
      <c r="CB70" s="20">
        <f t="shared" si="64"/>
        <v>458.09487425506433</v>
      </c>
      <c r="CC70" s="59">
        <f t="shared" si="65"/>
        <v>751.42820758839764</v>
      </c>
      <c r="CD70" s="59">
        <f ca="1">AVERAGE(OFFSET($CC$3,0,0,'Données projet'!$E$12+1,1))-AVERAGE(OFFSET($H$3,0,0,'Données projet'!$E$12+1,1))</f>
        <v>350.91577977538822</v>
      </c>
      <c r="CE70" s="59">
        <f t="shared" si="94"/>
        <v>142.87103313412547</v>
      </c>
      <c r="CF70" s="15">
        <f>IF(ISNA(VLOOKUP(A70,'Données projet'!$A$113:$I$133,3,0)),0,VLOOKUP(A70,'Données projet'!$A$113:$I$133,3,0))</f>
        <v>4</v>
      </c>
      <c r="CG70" s="15">
        <f>IF(ISNA(VLOOKUP(A70,'Données projet'!$A$113:$I$133,4,0)),0,VLOOKUP(A70,'Données projet'!$A$113:$I$133,4,0))</f>
        <v>40.630000000000003</v>
      </c>
      <c r="CH70" s="16">
        <f>IF(ISNA(VLOOKUP(A70,'Données projet'!$A$113:$I$133,5,0)),0%,VLOOKUP(A70,'Données projet'!$A$113:$I$133,5,0)*VLOOKUP('Données projet'!$B$12,Paramètres!$A$1:$I$89,7,0))</f>
        <v>0.43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70.08497236260331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70.08497236260331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3.8</v>
      </c>
      <c r="CT70" s="12">
        <f>IF('Données projet'!$A$140&gt;35,CT69+CS70-DB69,IF(A70&lt;'Données projet'!$A$140,$CQ$205^A70,IF(A70='Données projet'!$A$140,'Données projet'!$B$140,CT69+CS70-DB69)))</f>
        <v>251.59999999999985</v>
      </c>
      <c r="CU70" s="17">
        <f>CT70*VLOOKUP('Données projet'!$B$13,Paramètres!$A$1:$I$89,3,0)*VLOOKUP('Données projet'!$B$13,Paramètres!$A$1:$I$89,5,0)</f>
        <v>204.0979199999999</v>
      </c>
      <c r="CV70" s="13">
        <f t="shared" si="95"/>
        <v>50.643700651523019</v>
      </c>
      <c r="CW70" s="20">
        <f t="shared" si="67"/>
        <v>443.67498930140238</v>
      </c>
      <c r="CX70" s="59">
        <f t="shared" si="68"/>
        <v>737.00832263473569</v>
      </c>
      <c r="CY70" s="59">
        <f ca="1">AVERAGE(OFFSET($CX$3,0,0,'Données projet'!$E$13+1,1))-AVERAGE(OFFSET($H$3,0,0,'Données projet'!$E$13+1,1))</f>
        <v>230.38929580146208</v>
      </c>
      <c r="CZ70" s="59">
        <f t="shared" si="96"/>
        <v>227.1847788696258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42.252750197135718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42.252750197135718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6.9080000000000039</v>
      </c>
      <c r="DO70" s="12">
        <f>IF('Données projet'!$A$166&gt;35,DO69+DN70-DW69,IF(A70&lt;'Données projet'!$A$166,$DL$205^A70,IF(A70='Données projet'!$A$166,'Données projet'!$B$166,DO69+DN70-DW69)))</f>
        <v>219.13599999999997</v>
      </c>
      <c r="DP70" s="17">
        <f>DO70*VLOOKUP('Données projet'!$B$14,Paramètres!$A$1:$I$89,3,0)*VLOOKUP('Données projet'!$B$14,Paramètres!$A$1:$I$89,5,0)</f>
        <v>131.04332799999997</v>
      </c>
      <c r="DQ70" s="13">
        <f t="shared" si="97"/>
        <v>34.23732952798602</v>
      </c>
      <c r="DR70" s="20">
        <f t="shared" si="70"/>
        <v>287.86381186124225</v>
      </c>
      <c r="DS70" s="59">
        <f t="shared" si="71"/>
        <v>581.19714519457557</v>
      </c>
      <c r="DT70" s="59">
        <f ca="1">AVERAGE(OFFSET($DS$3,0,0,'Données projet'!$E$14+1,1))-AVERAGE(OFFSET($H$3,0,0,'Données projet'!$E$14+1,1))</f>
        <v>145.97103392561058</v>
      </c>
      <c r="DU70" s="59">
        <f t="shared" si="98"/>
        <v>62.920713953681172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39.363207883470032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39.363207883470032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0.8600000000003547</v>
      </c>
      <c r="O71" s="13">
        <f>N71*VLOOKUP('Données projet'!$B$9,Paramètres!$A$1:$I$89,3,0)*VLOOKUP('Données projet'!$B$9,Paramètres!$A$1:$I$89,5,0)</f>
        <v>0.48074000000019829</v>
      </c>
      <c r="P71" s="13">
        <f t="shared" si="87"/>
        <v>0.24126147010950588</v>
      </c>
      <c r="Q71" s="20">
        <f t="shared" si="54"/>
        <v>1.2574858937744013</v>
      </c>
      <c r="R71" s="59">
        <f t="shared" si="55"/>
        <v>294.59081922710772</v>
      </c>
      <c r="S71" s="59">
        <f ca="1">AVERAGE(OFFSET($R$3,0,0,'Données projet'!$E$9+1,1))-AVERAGE(OFFSET($H$3,0,0,'Données projet'!$E$9+1,1))</f>
        <v>350.01600895263641</v>
      </c>
      <c r="T71" s="59">
        <f t="shared" si="88"/>
        <v>464.08921044376882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287.39973945888619</v>
      </c>
      <c r="AA71" s="21">
        <f>EXP(-LN(2)/25)*AA70+(1-EXP(-LN(2)/25))/(LN(2)/25)*Calculateur!V71*Calculateur!X71*VLOOKUP('Données projet'!$B$9,Paramètres!$A$1:$I$89,3,0)*0.475*44/12</f>
        <v>17.633490169978408</v>
      </c>
      <c r="AB71" s="21">
        <f>EXP(-LN(2)/2)*AB70+(1-EXP(-LN(2)/2))/(LN(2)/2)*V71*Y71*VLOOKUP('Données projet'!$B$9,Paramètres!$A$1:$I$89,3,0)*0.475*44/12</f>
        <v>1.4112864094978564E-6</v>
      </c>
      <c r="AC71" s="22">
        <f t="shared" si="57"/>
        <v>305.03323104015101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4.5999999999999996</v>
      </c>
      <c r="AI71" s="13">
        <f>IF('Données projet'!$A$62&gt;35,AI70+AH71-AQ70,IF(A71&lt;'Données projet'!$A$62,$AF$205^A71,IF(A71='Données projet'!$A$62,'Données projet'!$B$62,AI70+AH71-AQ70)))</f>
        <v>210.79999999999993</v>
      </c>
      <c r="AJ71" s="13">
        <f>AI71*VLOOKUP('Données projet'!$B$10,Paramètres!$A$1:$I$89,3,0)*VLOOKUP('Données projet'!$B$10,Paramètres!$A$1:$I$89,5,0)</f>
        <v>184.15487999999996</v>
      </c>
      <c r="AK71" s="13">
        <f t="shared" si="89"/>
        <v>46.245339127946259</v>
      </c>
      <c r="AL71" s="20">
        <f t="shared" si="58"/>
        <v>401.28038164783965</v>
      </c>
      <c r="AM71" s="59">
        <f t="shared" si="59"/>
        <v>694.61371498117296</v>
      </c>
      <c r="AN71" s="59">
        <f ca="1">AVERAGE(OFFSET($AM$3,0,0,'Données projet'!$E$10+1,1))-AVERAGE(OFFSET($H$3,0,0,'Données projet'!$E$10+1,1))</f>
        <v>242.48830542479988</v>
      </c>
      <c r="AO71" s="59">
        <f t="shared" si="90"/>
        <v>226.11219631227061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42.021396474893663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42.021396474893663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7.8049999999999962</v>
      </c>
      <c r="BD71" s="12">
        <f>IF('Données projet'!$A$88&gt;35,BD70+BC71-BL70,IF(A71&lt;'Données projet'!$A$88,$BA$205^A71,IF(A71='Données projet'!$A$88,'Données projet'!$B$88,BD70+BC71-BL70)))</f>
        <v>200.25499999999985</v>
      </c>
      <c r="BE71" s="13">
        <f>BD71*VLOOKUP('Données projet'!$B$11,Paramètres!$A$1:$I$89,3,0)*VLOOKUP('Données projet'!$B$11,Paramètres!$A$1:$I$89,5,0)</f>
        <v>203.05856999999989</v>
      </c>
      <c r="BF71" s="13">
        <f t="shared" si="91"/>
        <v>50.415753944455837</v>
      </c>
      <c r="BG71" s="20">
        <f t="shared" si="61"/>
        <v>441.46778086992703</v>
      </c>
      <c r="BH71" s="59">
        <f t="shared" si="62"/>
        <v>734.80111420326034</v>
      </c>
      <c r="BI71" s="59">
        <f ca="1">AVERAGE(OFFSET($BH$3,0,0,'Données projet'!$E$11+1,1))-AVERAGE(OFFSET($H$3,0,0,'Données projet'!$E$11+1,1))</f>
        <v>402.5435069258703</v>
      </c>
      <c r="BJ71" s="59">
        <f t="shared" si="92"/>
        <v>163.60655195816349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77.003313312793352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77.003313312793352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7.8049999999999962</v>
      </c>
      <c r="BY71" s="12">
        <f>IF('Données projet'!$A$114&gt;35,BY70+BX71-CG70,IF(A71&lt;'Données projet'!$A$114,$BV$205^A71,IF(A71='Données projet'!$A$114,'Données projet'!$B$114,BY70+BX71-CG70)))</f>
        <v>200.25499999999985</v>
      </c>
      <c r="BZ71" s="13">
        <f>BY71*VLOOKUP('Données projet'!$B$12,Paramètres!$A$1:$I$89,3,0)*VLOOKUP('Données projet'!$B$12,Paramètres!$A$1:$I$89,5,0)</f>
        <v>181.19072399999988</v>
      </c>
      <c r="CA71" s="13">
        <f t="shared" si="93"/>
        <v>45.58699857682614</v>
      </c>
      <c r="CB71" s="20">
        <f t="shared" si="64"/>
        <v>394.97120015463861</v>
      </c>
      <c r="CC71" s="59">
        <f t="shared" si="65"/>
        <v>688.30453348797187</v>
      </c>
      <c r="CD71" s="59">
        <f ca="1">AVERAGE(OFFSET($CC$3,0,0,'Données projet'!$E$12+1,1))-AVERAGE(OFFSET($H$3,0,0,'Données projet'!$E$12+1,1))</f>
        <v>350.91577977538822</v>
      </c>
      <c r="CE71" s="59">
        <f t="shared" si="94"/>
        <v>142.87103313412547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68.710648802184821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68.710648802184821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3.8</v>
      </c>
      <c r="CT71" s="12">
        <f>IF('Données projet'!$A$140&gt;35,CT70+CS71-DB70,IF(A71&lt;'Données projet'!$A$140,$CQ$205^A71,IF(A71='Données projet'!$A$140,'Données projet'!$B$140,CT70+CS71-DB70)))</f>
        <v>255.39999999999986</v>
      </c>
      <c r="CU71" s="17">
        <f>CT71*VLOOKUP('Données projet'!$B$13,Paramètres!$A$1:$I$89,3,0)*VLOOKUP('Données projet'!$B$13,Paramètres!$A$1:$I$89,5,0)</f>
        <v>207.1804799999999</v>
      </c>
      <c r="CV71" s="13">
        <f t="shared" si="95"/>
        <v>51.318965762681508</v>
      </c>
      <c r="CW71" s="20">
        <f t="shared" si="67"/>
        <v>450.21986803667011</v>
      </c>
      <c r="CX71" s="59">
        <f t="shared" si="68"/>
        <v>743.55320137000342</v>
      </c>
      <c r="CY71" s="59">
        <f ca="1">AVERAGE(OFFSET($CX$3,0,0,'Données projet'!$E$13+1,1))-AVERAGE(OFFSET($H$3,0,0,'Données projet'!$E$13+1,1))</f>
        <v>230.38929580146208</v>
      </c>
      <c r="CZ71" s="59">
        <f t="shared" si="96"/>
        <v>227.1847788696258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41.424199537402771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41.424199537402771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6.9080000000000039</v>
      </c>
      <c r="DO71" s="12">
        <f>IF('Données projet'!$A$166&gt;35,DO70+DN71-DW70,IF(A71&lt;'Données projet'!$A$166,$DL$205^A71,IF(A71='Données projet'!$A$166,'Données projet'!$B$166,DO70+DN71-DW70)))</f>
        <v>226.04399999999998</v>
      </c>
      <c r="DP71" s="17">
        <f>DO71*VLOOKUP('Données projet'!$B$14,Paramètres!$A$1:$I$89,3,0)*VLOOKUP('Données projet'!$B$14,Paramètres!$A$1:$I$89,5,0)</f>
        <v>135.17431199999999</v>
      </c>
      <c r="DQ71" s="13">
        <f t="shared" si="97"/>
        <v>35.189261414704681</v>
      </c>
      <c r="DR71" s="20">
        <f t="shared" si="70"/>
        <v>296.7165570306106</v>
      </c>
      <c r="DS71" s="59">
        <f t="shared" si="71"/>
        <v>590.04989036394386</v>
      </c>
      <c r="DT71" s="59">
        <f ca="1">AVERAGE(OFFSET($DS$3,0,0,'Données projet'!$E$14+1,1))-AVERAGE(OFFSET($H$3,0,0,'Données projet'!$E$14+1,1))</f>
        <v>145.97103392561058</v>
      </c>
      <c r="DU71" s="59">
        <f t="shared" si="98"/>
        <v>62.920713953681172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38.591319386061286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38.591319386061286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0.8600000000003547</v>
      </c>
      <c r="O72" s="13">
        <f>N72*VLOOKUP('Données projet'!$B$9,Paramètres!$A$1:$I$89,3,0)*VLOOKUP('Données projet'!$B$9,Paramètres!$A$1:$I$89,5,0)</f>
        <v>0.48074000000019829</v>
      </c>
      <c r="P72" s="13">
        <f t="shared" si="87"/>
        <v>0.24126147010950588</v>
      </c>
      <c r="Q72" s="20">
        <f t="shared" si="54"/>
        <v>1.2574858937744013</v>
      </c>
      <c r="R72" s="59">
        <f t="shared" si="55"/>
        <v>294.59081922710772</v>
      </c>
      <c r="S72" s="59">
        <f ca="1">AVERAGE(OFFSET($R$3,0,0,'Données projet'!$E$9+1,1))-AVERAGE(OFFSET($H$3,0,0,'Données projet'!$E$9+1,1))</f>
        <v>350.01600895263641</v>
      </c>
      <c r="T72" s="59">
        <f t="shared" si="88"/>
        <v>464.08921044376882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281.76400586462938</v>
      </c>
      <c r="AA72" s="21">
        <f>EXP(-LN(2)/25)*AA71+(1-EXP(-LN(2)/25))/(LN(2)/25)*Calculateur!V72*Calculateur!X72*VLOOKUP('Données projet'!$B$9,Paramètres!$A$1:$I$89,3,0)*0.475*44/12</f>
        <v>17.151301453975403</v>
      </c>
      <c r="AB72" s="21">
        <f>EXP(-LN(2)/2)*AB71+(1-EXP(-LN(2)/2))/(LN(2)/2)*V72*Y72*VLOOKUP('Données projet'!$B$9,Paramètres!$A$1:$I$89,3,0)*0.475*44/12</f>
        <v>9.9793019035234902E-7</v>
      </c>
      <c r="AC72" s="22">
        <f t="shared" si="57"/>
        <v>298.915308316535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4.5999999999999996</v>
      </c>
      <c r="AI72" s="13">
        <f>IF('Données projet'!$A$62&gt;35,AI71+AH72-AQ71,IF(A72&lt;'Données projet'!$A$62,$AF$205^A72,IF(A72='Données projet'!$A$62,'Données projet'!$B$62,AI71+AH72-AQ71)))</f>
        <v>215.39999999999992</v>
      </c>
      <c r="AJ72" s="13">
        <f>AI72*VLOOKUP('Données projet'!$B$10,Paramètres!$A$1:$I$89,3,0)*VLOOKUP('Données projet'!$B$10,Paramètres!$A$1:$I$89,5,0)</f>
        <v>188.17343999999994</v>
      </c>
      <c r="AK72" s="13">
        <f t="shared" si="89"/>
        <v>47.135899614073118</v>
      </c>
      <c r="AL72" s="20">
        <f t="shared" si="58"/>
        <v>409.83043316117727</v>
      </c>
      <c r="AM72" s="59">
        <f t="shared" si="59"/>
        <v>703.16376649451058</v>
      </c>
      <c r="AN72" s="59">
        <f ca="1">AVERAGE(OFFSET($AM$3,0,0,'Données projet'!$E$10+1,1))-AVERAGE(OFFSET($H$3,0,0,'Données projet'!$E$10+1,1))</f>
        <v>242.48830542479988</v>
      </c>
      <c r="AO72" s="59">
        <f t="shared" si="90"/>
        <v>226.11219631227061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41.197382520542043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41.197382520542043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7.8049999999999962</v>
      </c>
      <c r="BD72" s="12">
        <f>IF('Données projet'!$A$88&gt;35,BD71+BC72-BL71,IF(A72&lt;'Données projet'!$A$88,$BA$205^A72,IF(A72='Données projet'!$A$88,'Données projet'!$B$88,BD71+BC72-BL71)))</f>
        <v>208.05999999999986</v>
      </c>
      <c r="BE72" s="13">
        <f>BD72*VLOOKUP('Données projet'!$B$11,Paramètres!$A$1:$I$89,3,0)*VLOOKUP('Données projet'!$B$11,Paramètres!$A$1:$I$89,5,0)</f>
        <v>210.97283999999988</v>
      </c>
      <c r="BF72" s="13">
        <f t="shared" si="91"/>
        <v>52.148118495572035</v>
      </c>
      <c r="BG72" s="20">
        <f t="shared" si="61"/>
        <v>458.2690027131211</v>
      </c>
      <c r="BH72" s="59">
        <f t="shared" si="62"/>
        <v>751.60233604645441</v>
      </c>
      <c r="BI72" s="59">
        <f ca="1">AVERAGE(OFFSET($BH$3,0,0,'Données projet'!$E$11+1,1))-AVERAGE(OFFSET($H$3,0,0,'Données projet'!$E$11+1,1))</f>
        <v>402.5435069258703</v>
      </c>
      <c r="BJ72" s="59">
        <f t="shared" si="92"/>
        <v>163.60655195816349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75.493325306112951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75.493325306112951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7.8049999999999962</v>
      </c>
      <c r="BY72" s="12">
        <f>IF('Données projet'!$A$114&gt;35,BY71+BX72-CG71,IF(A72&lt;'Données projet'!$A$114,$BV$205^A72,IF(A72='Données projet'!$A$114,'Données projet'!$B$114,BY71+BX72-CG71)))</f>
        <v>208.05999999999986</v>
      </c>
      <c r="BZ72" s="13">
        <f>BY72*VLOOKUP('Données projet'!$B$12,Paramètres!$A$1:$I$89,3,0)*VLOOKUP('Données projet'!$B$12,Paramètres!$A$1:$I$89,5,0)</f>
        <v>188.25268799999986</v>
      </c>
      <c r="CA72" s="13">
        <f t="shared" si="93"/>
        <v>47.153439503471468</v>
      </c>
      <c r="CB72" s="20">
        <f t="shared" si="64"/>
        <v>409.99900540187923</v>
      </c>
      <c r="CC72" s="59">
        <f t="shared" si="65"/>
        <v>703.33233873521249</v>
      </c>
      <c r="CD72" s="59">
        <f ca="1">AVERAGE(OFFSET($CC$3,0,0,'Données projet'!$E$12+1,1))-AVERAGE(OFFSET($H$3,0,0,'Données projet'!$E$12+1,1))</f>
        <v>350.91577977538822</v>
      </c>
      <c r="CE72" s="59">
        <f t="shared" si="94"/>
        <v>142.87103313412547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67.363274888531535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67.363274888531535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3.8</v>
      </c>
      <c r="CT72" s="12">
        <f>IF('Données projet'!$A$140&gt;35,CT71+CS72-DB71,IF(A72&lt;'Données projet'!$A$140,$CQ$205^A72,IF(A72='Données projet'!$A$140,'Données projet'!$B$140,CT71+CS72-DB71)))</f>
        <v>259.19999999999987</v>
      </c>
      <c r="CU72" s="17">
        <f>CT72*VLOOKUP('Données projet'!$B$13,Paramètres!$A$1:$I$89,3,0)*VLOOKUP('Données projet'!$B$13,Paramètres!$A$1:$I$89,5,0)</f>
        <v>210.2630399999999</v>
      </c>
      <c r="CV72" s="13">
        <f t="shared" si="95"/>
        <v>51.993062367907982</v>
      </c>
      <c r="CW72" s="20">
        <f t="shared" si="67"/>
        <v>456.7627116241062</v>
      </c>
      <c r="CX72" s="59">
        <f t="shared" si="68"/>
        <v>750.09604495743952</v>
      </c>
      <c r="CY72" s="59">
        <f ca="1">AVERAGE(OFFSET($CX$3,0,0,'Données projet'!$E$13+1,1))-AVERAGE(OFFSET($H$3,0,0,'Données projet'!$E$13+1,1))</f>
        <v>230.38929580146208</v>
      </c>
      <c r="CZ72" s="59">
        <f t="shared" si="96"/>
        <v>227.1847788696258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40.611896250741182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40.611896250741182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6.9080000000000039</v>
      </c>
      <c r="DO72" s="12">
        <f>IF('Données projet'!$A$166&gt;35,DO71+DN72-DW71,IF(A72&lt;'Données projet'!$A$166,$DL$205^A72,IF(A72='Données projet'!$A$166,'Données projet'!$B$166,DO71+DN72-DW71)))</f>
        <v>232.952</v>
      </c>
      <c r="DP72" s="17">
        <f>DO72*VLOOKUP('Données projet'!$B$14,Paramètres!$A$1:$I$89,3,0)*VLOOKUP('Données projet'!$B$14,Paramètres!$A$1:$I$89,5,0)</f>
        <v>139.305296</v>
      </c>
      <c r="DQ72" s="13">
        <f t="shared" si="97"/>
        <v>36.137812517491433</v>
      </c>
      <c r="DR72" s="20">
        <f t="shared" si="70"/>
        <v>305.56341400129753</v>
      </c>
      <c r="DS72" s="59">
        <f t="shared" si="71"/>
        <v>598.89674733463085</v>
      </c>
      <c r="DT72" s="59">
        <f ca="1">AVERAGE(OFFSET($DS$3,0,0,'Données projet'!$E$14+1,1))-AVERAGE(OFFSET($H$3,0,0,'Données projet'!$E$14+1,1))</f>
        <v>145.97103392561058</v>
      </c>
      <c r="DU72" s="59">
        <f t="shared" si="98"/>
        <v>62.920713953681172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37.834567151281227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37.834567151281227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0.8600000000003547</v>
      </c>
      <c r="O73" s="13">
        <f>N73*VLOOKUP('Données projet'!$B$9,Paramètres!$A$1:$I$89,3,0)*VLOOKUP('Données projet'!$B$9,Paramètres!$A$1:$I$89,5,0)</f>
        <v>0.48074000000019829</v>
      </c>
      <c r="P73" s="13">
        <f t="shared" si="87"/>
        <v>0.24126147010950588</v>
      </c>
      <c r="Q73" s="20">
        <f t="shared" si="54"/>
        <v>1.2574858937744013</v>
      </c>
      <c r="R73" s="59">
        <f t="shared" si="55"/>
        <v>294.59081922710772</v>
      </c>
      <c r="S73" s="59">
        <f ca="1">AVERAGE(OFFSET($R$3,0,0,'Données projet'!$E$9+1,1))-AVERAGE(OFFSET($H$3,0,0,'Données projet'!$E$9+1,1))</f>
        <v>350.01600895263641</v>
      </c>
      <c r="T73" s="59">
        <f t="shared" si="88"/>
        <v>464.08921044376882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276.23878556869789</v>
      </c>
      <c r="AA73" s="21">
        <f>EXP(-LN(2)/25)*AA72+(1-EXP(-LN(2)/25))/(LN(2)/25)*Calculateur!V73*Calculateur!X73*VLOOKUP('Données projet'!$B$9,Paramètres!$A$1:$I$89,3,0)*0.475*44/12</f>
        <v>16.682298213768703</v>
      </c>
      <c r="AB73" s="21">
        <f>EXP(-LN(2)/2)*AB72+(1-EXP(-LN(2)/2))/(LN(2)/2)*V73*Y73*VLOOKUP('Données projet'!$B$9,Paramètres!$A$1:$I$89,3,0)*0.475*44/12</f>
        <v>7.056432047489282E-7</v>
      </c>
      <c r="AC73" s="22">
        <f t="shared" si="57"/>
        <v>292.92108448810984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220</v>
      </c>
      <c r="AG73" s="12">
        <f>VLOOKUP(A73,'Données projet'!$A$61:$I$81,9,0)</f>
        <v>4.5999999999999996</v>
      </c>
      <c r="AH73" s="12">
        <f t="array" ref="AH73">INDEX(AG:AG,MIN(IF(ISNUMBER(AG73:AG269),ROW(AG73:AG269),"")))</f>
        <v>4.5999999999999996</v>
      </c>
      <c r="AI73" s="13">
        <f>IF('Données projet'!$A$62&gt;35,AI72+AH73-AQ72,IF(A73&lt;'Données projet'!$A$62,$AF$205^A73,IF(A73='Données projet'!$A$62,'Données projet'!$B$62,AI72+AH73-AQ72)))</f>
        <v>219.99999999999991</v>
      </c>
      <c r="AJ73" s="13">
        <f>AI73*VLOOKUP('Données projet'!$B$10,Paramètres!$A$1:$I$89,3,0)*VLOOKUP('Données projet'!$B$10,Paramètres!$A$1:$I$89,5,0)</f>
        <v>192.19199999999995</v>
      </c>
      <c r="AK73" s="13">
        <f t="shared" si="89"/>
        <v>48.02424892193244</v>
      </c>
      <c r="AL73" s="20">
        <f t="shared" si="58"/>
        <v>418.37663353903218</v>
      </c>
      <c r="AM73" s="59">
        <f t="shared" si="59"/>
        <v>711.7099668723655</v>
      </c>
      <c r="AN73" s="59">
        <f ca="1">AVERAGE(OFFSET($AM$3,0,0,'Données projet'!$E$10+1,1))-AVERAGE(OFFSET($H$3,0,0,'Données projet'!$E$10+1,1))</f>
        <v>242.48830542479988</v>
      </c>
      <c r="AO73" s="59">
        <f t="shared" si="90"/>
        <v>226.11219631227061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16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47.033810771329073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47.033810771329073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7.8049999999999962</v>
      </c>
      <c r="BD73" s="12">
        <f>IF('Données projet'!$A$88&gt;35,BD72+BC73-BL72,IF(A73&lt;'Données projet'!$A$88,$BA$205^A73,IF(A73='Données projet'!$A$88,'Données projet'!$B$88,BD72+BC73-BL72)))</f>
        <v>215.86499999999987</v>
      </c>
      <c r="BE73" s="13">
        <f>BD73*VLOOKUP('Données projet'!$B$11,Paramètres!$A$1:$I$89,3,0)*VLOOKUP('Données projet'!$B$11,Paramètres!$A$1:$I$89,5,0)</f>
        <v>218.88710999999989</v>
      </c>
      <c r="BF73" s="13">
        <f t="shared" si="91"/>
        <v>53.872933231029414</v>
      </c>
      <c r="BG73" s="20">
        <f t="shared" si="61"/>
        <v>475.05707529404276</v>
      </c>
      <c r="BH73" s="59">
        <f t="shared" si="62"/>
        <v>768.39040862737602</v>
      </c>
      <c r="BI73" s="59">
        <f ca="1">AVERAGE(OFFSET($BH$3,0,0,'Données projet'!$E$11+1,1))-AVERAGE(OFFSET($H$3,0,0,'Données projet'!$E$11+1,1))</f>
        <v>402.5435069258703</v>
      </c>
      <c r="BJ73" s="59">
        <f t="shared" si="92"/>
        <v>163.60655195816349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74.012947243241811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74.012947243241811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7.8049999999999962</v>
      </c>
      <c r="BY73" s="12">
        <f>IF('Données projet'!$A$114&gt;35,BY72+BX73-CG72,IF(A73&lt;'Données projet'!$A$114,$BV$205^A73,IF(A73='Données projet'!$A$114,'Données projet'!$B$114,BY72+BX73-CG72)))</f>
        <v>215.86499999999987</v>
      </c>
      <c r="BZ73" s="13">
        <f>BY73*VLOOKUP('Données projet'!$B$12,Paramètres!$A$1:$I$89,3,0)*VLOOKUP('Données projet'!$B$12,Paramètres!$A$1:$I$89,5,0)</f>
        <v>195.31465199999988</v>
      </c>
      <c r="CA73" s="13">
        <f t="shared" si="93"/>
        <v>48.713053725986398</v>
      </c>
      <c r="CB73" s="20">
        <f t="shared" si="64"/>
        <v>425.01492080609273</v>
      </c>
      <c r="CC73" s="59">
        <f t="shared" si="65"/>
        <v>718.34825413942599</v>
      </c>
      <c r="CD73" s="59">
        <f ca="1">AVERAGE(OFFSET($CC$3,0,0,'Données projet'!$E$12+1,1))-AVERAGE(OFFSET($H$3,0,0,'Données projet'!$E$12+1,1))</f>
        <v>350.91577977538822</v>
      </c>
      <c r="CE73" s="59">
        <f t="shared" si="94"/>
        <v>142.87103313412547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66.04232215550806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66.04232215550806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263</v>
      </c>
      <c r="CR73" s="12">
        <f>VLOOKUP(A73,'Données projet'!$A$139:$I$159,9,0)</f>
        <v>3.8</v>
      </c>
      <c r="CS73" s="12">
        <f t="array" ref="CS73">INDEX(CR:CR,MIN(IF(ISNUMBER(CR73:CR269),ROW(CR73:CR269),"")))</f>
        <v>3.8</v>
      </c>
      <c r="CT73" s="12">
        <f>IF('Données projet'!$A$140&gt;35,CT72+CS73-DB72,IF(A73&lt;'Données projet'!$A$140,$CQ$205^A73,IF(A73='Données projet'!$A$140,'Données projet'!$B$140,CT72+CS73-DB72)))</f>
        <v>262.99999999999989</v>
      </c>
      <c r="CU73" s="17">
        <f>CT73*VLOOKUP('Données projet'!$B$13,Paramètres!$A$1:$I$89,3,0)*VLOOKUP('Données projet'!$B$13,Paramètres!$A$1:$I$89,5,0)</f>
        <v>213.34559999999991</v>
      </c>
      <c r="CV73" s="13">
        <f t="shared" si="95"/>
        <v>52.666009577179437</v>
      </c>
      <c r="CW73" s="20">
        <f t="shared" si="67"/>
        <v>463.30355334692064</v>
      </c>
      <c r="CX73" s="59">
        <f t="shared" si="68"/>
        <v>756.63688668025395</v>
      </c>
      <c r="CY73" s="59">
        <f ca="1">AVERAGE(OFFSET($CX$3,0,0,'Données projet'!$E$13+1,1))-AVERAGE(OFFSET($H$3,0,0,'Données projet'!$E$13+1,1))</f>
        <v>230.38929580146208</v>
      </c>
      <c r="CZ73" s="59">
        <f t="shared" si="96"/>
        <v>227.1847788696258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10</v>
      </c>
      <c r="DC73" s="16">
        <f>IF(ISNA(VLOOKUP(A73,'Données projet'!$A$139:$I$159,5,0)),0%,VLOOKUP(A73,'Données projet'!$A$139:$I$159,5,0)*VLOOKUP('Données projet'!$B$13,Paramètres!$A$1:$I$89,7,0))</f>
        <v>0.53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44.568336867023731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44.568336867023731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239.86</v>
      </c>
      <c r="DM73" s="12">
        <f>VLOOKUP(A73,'Données projet'!$A$165:$I$185,9,0)</f>
        <v>6.9080000000000039</v>
      </c>
      <c r="DN73" s="12">
        <f t="array" ref="DN73">INDEX(DM:DM,MIN(IF(ISNUMBER(DM73:DM269),ROW(DM73:DM269),"")))</f>
        <v>6.9080000000000039</v>
      </c>
      <c r="DO73" s="12">
        <f>IF('Données projet'!$A$166&gt;35,DO72+DN73-DW72,IF(A73&lt;'Données projet'!$A$166,$DL$205^A73,IF(A73='Données projet'!$A$166,'Données projet'!$B$166,DO72+DN73-DW72)))</f>
        <v>239.86</v>
      </c>
      <c r="DP73" s="17">
        <f>DO73*VLOOKUP('Données projet'!$B$14,Paramètres!$A$1:$I$89,3,0)*VLOOKUP('Données projet'!$B$14,Paramètres!$A$1:$I$89,5,0)</f>
        <v>143.43628000000001</v>
      </c>
      <c r="DQ73" s="13">
        <f t="shared" si="97"/>
        <v>37.083094600589355</v>
      </c>
      <c r="DR73" s="20">
        <f t="shared" si="70"/>
        <v>314.40457742935979</v>
      </c>
      <c r="DS73" s="59">
        <f t="shared" si="71"/>
        <v>607.7379107626931</v>
      </c>
      <c r="DT73" s="59">
        <f ca="1">AVERAGE(OFFSET($DS$3,0,0,'Données projet'!$E$14+1,1))-AVERAGE(OFFSET($H$3,0,0,'Données projet'!$E$14+1,1))</f>
        <v>145.97103392561058</v>
      </c>
      <c r="DU73" s="59">
        <f t="shared" si="98"/>
        <v>62.920713953681172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37.092654366251921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37.092654366251921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0.8600000000003547</v>
      </c>
      <c r="O74" s="13">
        <f>N74*VLOOKUP('Données projet'!$B$9,Paramètres!$A$1:$I$89,3,0)*VLOOKUP('Données projet'!$B$9,Paramètres!$A$1:$I$89,5,0)</f>
        <v>0.48074000000019829</v>
      </c>
      <c r="P74" s="13">
        <f t="shared" si="87"/>
        <v>0.24126147010950588</v>
      </c>
      <c r="Q74" s="20">
        <f t="shared" si="54"/>
        <v>1.2574858937744013</v>
      </c>
      <c r="R74" s="59">
        <f t="shared" si="55"/>
        <v>294.59081922710772</v>
      </c>
      <c r="S74" s="59">
        <f ca="1">AVERAGE(OFFSET($R$3,0,0,'Données projet'!$E$9+1,1))-AVERAGE(OFFSET($H$3,0,0,'Données projet'!$E$9+1,1))</f>
        <v>350.01600895263641</v>
      </c>
      <c r="T74" s="59">
        <f t="shared" si="88"/>
        <v>464.08921044376882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270.821911472718</v>
      </c>
      <c r="AA74" s="21">
        <f>EXP(-LN(2)/25)*AA73+(1-EXP(-LN(2)/25))/(LN(2)/25)*Calculateur!V74*Calculateur!X74*VLOOKUP('Données projet'!$B$9,Paramètres!$A$1:$I$89,3,0)*0.475*44/12</f>
        <v>16.226119891829264</v>
      </c>
      <c r="AB74" s="21">
        <f>EXP(-LN(2)/2)*AB73+(1-EXP(-LN(2)/2))/(LN(2)/2)*V74*Y74*VLOOKUP('Données projet'!$B$9,Paramètres!$A$1:$I$89,3,0)*0.475*44/12</f>
        <v>4.9896509517617451E-7</v>
      </c>
      <c r="AC74" s="22">
        <f t="shared" si="57"/>
        <v>287.04803186351239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3.8</v>
      </c>
      <c r="AI74" s="13">
        <f>IF('Données projet'!$A$62&gt;35,AI73+AH74-AQ73,IF(A74&lt;'Données projet'!$A$62,$AF$205^A74,IF(A74='Données projet'!$A$62,'Données projet'!$B$62,AI73+AH74-AQ73)))</f>
        <v>207.79999999999993</v>
      </c>
      <c r="AJ74" s="13">
        <f>AI74*VLOOKUP('Données projet'!$B$10,Paramètres!$A$1:$I$89,3,0)*VLOOKUP('Données projet'!$B$10,Paramètres!$A$1:$I$89,5,0)</f>
        <v>181.53407999999996</v>
      </c>
      <c r="AK74" s="13">
        <f t="shared" si="89"/>
        <v>45.663321943731859</v>
      </c>
      <c r="AL74" s="20">
        <f t="shared" si="58"/>
        <v>395.70214171866616</v>
      </c>
      <c r="AM74" s="59">
        <f t="shared" si="59"/>
        <v>689.03547505199947</v>
      </c>
      <c r="AN74" s="59">
        <f ca="1">AVERAGE(OFFSET($AM$3,0,0,'Données projet'!$E$10+1,1))-AVERAGE(OFFSET($H$3,0,0,'Données projet'!$E$10+1,1))</f>
        <v>242.48830542479988</v>
      </c>
      <c r="AO74" s="59">
        <f t="shared" si="90"/>
        <v>226.11219631227061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46.111506429895194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46.111506429895194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7.8049999999999962</v>
      </c>
      <c r="BD74" s="12">
        <f>IF('Données projet'!$A$88&gt;35,BD73+BC74-BL73,IF(A74&lt;'Données projet'!$A$88,$BA$205^A74,IF(A74='Données projet'!$A$88,'Données projet'!$B$88,BD73+BC74-BL73)))</f>
        <v>223.66999999999987</v>
      </c>
      <c r="BE74" s="13">
        <f>BD74*VLOOKUP('Données projet'!$B$11,Paramètres!$A$1:$I$89,3,0)*VLOOKUP('Données projet'!$B$11,Paramètres!$A$1:$I$89,5,0)</f>
        <v>226.80137999999988</v>
      </c>
      <c r="BF74" s="13">
        <f t="shared" si="91"/>
        <v>55.590502397463332</v>
      </c>
      <c r="BG74" s="20">
        <f t="shared" si="61"/>
        <v>491.83252850891512</v>
      </c>
      <c r="BH74" s="59">
        <f t="shared" si="62"/>
        <v>785.16586184224843</v>
      </c>
      <c r="BI74" s="59">
        <f ca="1">AVERAGE(OFFSET($BH$3,0,0,'Données projet'!$E$11+1,1))-AVERAGE(OFFSET($H$3,0,0,'Données projet'!$E$11+1,1))</f>
        <v>402.5435069258703</v>
      </c>
      <c r="BJ74" s="59">
        <f t="shared" si="92"/>
        <v>163.60655195816349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72.561598491242108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72.561598491242108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7.8049999999999962</v>
      </c>
      <c r="BY74" s="12">
        <f>IF('Données projet'!$A$114&gt;35,BY73+BX74-CG73,IF(A74&lt;'Données projet'!$A$114,$BV$205^A74,IF(A74='Données projet'!$A$114,'Données projet'!$B$114,BY73+BX74-CG73)))</f>
        <v>223.66999999999987</v>
      </c>
      <c r="BZ74" s="13">
        <f>BY74*VLOOKUP('Données projet'!$B$12,Paramètres!$A$1:$I$89,3,0)*VLOOKUP('Données projet'!$B$12,Paramètres!$A$1:$I$89,5,0)</f>
        <v>202.37661599999987</v>
      </c>
      <c r="CA74" s="13">
        <f t="shared" si="93"/>
        <v>50.266116350658976</v>
      </c>
      <c r="CB74" s="20">
        <f t="shared" si="64"/>
        <v>440.0194255107308</v>
      </c>
      <c r="CC74" s="59">
        <f t="shared" si="65"/>
        <v>733.35275884406406</v>
      </c>
      <c r="CD74" s="59">
        <f ca="1">AVERAGE(OFFSET($CC$3,0,0,'Données projet'!$E$12+1,1))-AVERAGE(OFFSET($H$3,0,0,'Données projet'!$E$12+1,1))</f>
        <v>350.91577977538822</v>
      </c>
      <c r="CE74" s="59">
        <f t="shared" si="94"/>
        <v>142.87103313412547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64.747272499877567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64.747272499877567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3.4</v>
      </c>
      <c r="CT74" s="12">
        <f>IF('Données projet'!$A$140&gt;35,CT73+CS74-DB73,IF(A74&lt;'Données projet'!$A$140,$CQ$205^A74,IF(A74='Données projet'!$A$140,'Données projet'!$B$140,CT73+CS74-DB73)))</f>
        <v>256.39999999999986</v>
      </c>
      <c r="CU74" s="17">
        <f>CT74*VLOOKUP('Données projet'!$B$13,Paramètres!$A$1:$I$89,3,0)*VLOOKUP('Données projet'!$B$13,Paramètres!$A$1:$I$89,5,0)</f>
        <v>207.99167999999992</v>
      </c>
      <c r="CV74" s="13">
        <f t="shared" si="95"/>
        <v>51.496472105486831</v>
      </c>
      <c r="CW74" s="20">
        <f t="shared" si="67"/>
        <v>451.94186491705608</v>
      </c>
      <c r="CX74" s="59">
        <f t="shared" si="68"/>
        <v>745.27519825038939</v>
      </c>
      <c r="CY74" s="59">
        <f ca="1">AVERAGE(OFFSET($CX$3,0,0,'Données projet'!$E$13+1,1))-AVERAGE(OFFSET($H$3,0,0,'Données projet'!$E$13+1,1))</f>
        <v>230.38929580146208</v>
      </c>
      <c r="CZ74" s="59">
        <f t="shared" si="96"/>
        <v>227.1847788696258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43.69437896506269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43.69437896506269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6.9339999999999922</v>
      </c>
      <c r="DO74" s="12">
        <f>IF('Données projet'!$A$166&gt;35,DO73+DN74-DW73,IF(A74&lt;'Données projet'!$A$166,$DL$205^A74,IF(A74='Données projet'!$A$166,'Données projet'!$B$166,DO73+DN74-DW73)))</f>
        <v>246.79400000000001</v>
      </c>
      <c r="DP74" s="17">
        <f>DO74*VLOOKUP('Données projet'!$B$14,Paramètres!$A$1:$I$89,3,0)*VLOOKUP('Données projet'!$B$14,Paramètres!$A$1:$I$89,5,0)</f>
        <v>147.58281200000002</v>
      </c>
      <c r="DQ74" s="13">
        <f t="shared" si="97"/>
        <v>38.028752672897632</v>
      </c>
      <c r="DR74" s="20">
        <f t="shared" si="70"/>
        <v>323.27347513863009</v>
      </c>
      <c r="DS74" s="59">
        <f t="shared" si="71"/>
        <v>616.6068084719634</v>
      </c>
      <c r="DT74" s="59">
        <f ca="1">AVERAGE(OFFSET($DS$3,0,0,'Données projet'!$E$14+1,1))-AVERAGE(OFFSET($H$3,0,0,'Données projet'!$E$14+1,1))</f>
        <v>145.97103392561058</v>
      </c>
      <c r="DU74" s="59">
        <f t="shared" si="98"/>
        <v>62.920713953681172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36.365290038414919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36.365290038414919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0.8600000000003547</v>
      </c>
      <c r="O75" s="13">
        <f>N75*VLOOKUP('Données projet'!$B$9,Paramètres!$A$1:$I$89,3,0)*VLOOKUP('Données projet'!$B$9,Paramètres!$A$1:$I$89,5,0)</f>
        <v>0.48074000000019829</v>
      </c>
      <c r="P75" s="13">
        <f t="shared" si="87"/>
        <v>0.24126147010950588</v>
      </c>
      <c r="Q75" s="20">
        <f t="shared" si="54"/>
        <v>1.2574858937744013</v>
      </c>
      <c r="R75" s="59">
        <f t="shared" si="55"/>
        <v>294.59081922710772</v>
      </c>
      <c r="S75" s="59">
        <f ca="1">AVERAGE(OFFSET($R$3,0,0,'Données projet'!$E$9+1,1))-AVERAGE(OFFSET($H$3,0,0,'Données projet'!$E$9+1,1))</f>
        <v>350.01600895263641</v>
      </c>
      <c r="T75" s="59">
        <f t="shared" si="88"/>
        <v>464.08921044376882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265.5112589737933</v>
      </c>
      <c r="AA75" s="21">
        <f>EXP(-LN(2)/25)*AA74+(1-EXP(-LN(2)/25))/(LN(2)/25)*Calculateur!V75*Calculateur!X75*VLOOKUP('Données projet'!$B$9,Paramètres!$A$1:$I$89,3,0)*0.475*44/12</f>
        <v>15.782415790092632</v>
      </c>
      <c r="AB75" s="21">
        <f>EXP(-LN(2)/2)*AB74+(1-EXP(-LN(2)/2))/(LN(2)/2)*V75*Y75*VLOOKUP('Données projet'!$B$9,Paramètres!$A$1:$I$89,3,0)*0.475*44/12</f>
        <v>3.528216023744641E-7</v>
      </c>
      <c r="AC75" s="22">
        <f t="shared" si="57"/>
        <v>281.2936751167075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3.8</v>
      </c>
      <c r="AI75" s="13">
        <f>IF('Données projet'!$A$62&gt;35,AI74+AH75-AQ74,IF(A75&lt;'Données projet'!$A$62,$AF$205^A75,IF(A75='Données projet'!$A$62,'Données projet'!$B$62,AI74+AH75-AQ74)))</f>
        <v>211.59999999999994</v>
      </c>
      <c r="AJ75" s="13">
        <f>AI75*VLOOKUP('Données projet'!$B$10,Paramètres!$A$1:$I$89,3,0)*VLOOKUP('Données projet'!$B$10,Paramètres!$A$1:$I$89,5,0)</f>
        <v>184.85375999999997</v>
      </c>
      <c r="AK75" s="13">
        <f t="shared" si="89"/>
        <v>46.400380376458166</v>
      </c>
      <c r="AL75" s="20">
        <f t="shared" si="58"/>
        <v>402.76762782233124</v>
      </c>
      <c r="AM75" s="59">
        <f t="shared" si="59"/>
        <v>696.10096115566455</v>
      </c>
      <c r="AN75" s="59">
        <f ca="1">AVERAGE(OFFSET($AM$3,0,0,'Données projet'!$E$10+1,1))-AVERAGE(OFFSET($H$3,0,0,'Données projet'!$E$10+1,1))</f>
        <v>242.48830542479988</v>
      </c>
      <c r="AO75" s="59">
        <f t="shared" si="90"/>
        <v>226.11219631227061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45.207287914046731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45.207287914046731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7.8049999999999962</v>
      </c>
      <c r="BD75" s="12">
        <f>IF('Données projet'!$A$88&gt;35,BD74+BC75-BL74,IF(A75&lt;'Données projet'!$A$88,$BA$205^A75,IF(A75='Données projet'!$A$88,'Données projet'!$B$88,BD74+BC75-BL74)))</f>
        <v>231.47499999999988</v>
      </c>
      <c r="BE75" s="13">
        <f>BD75*VLOOKUP('Données projet'!$B$11,Paramètres!$A$1:$I$89,3,0)*VLOOKUP('Données projet'!$B$11,Paramètres!$A$1:$I$89,5,0)</f>
        <v>234.7156499999999</v>
      </c>
      <c r="BF75" s="13">
        <f t="shared" si="91"/>
        <v>57.301107803953755</v>
      </c>
      <c r="BG75" s="20">
        <f t="shared" si="61"/>
        <v>508.59585317521925</v>
      </c>
      <c r="BH75" s="59">
        <f t="shared" si="62"/>
        <v>801.92918650855256</v>
      </c>
      <c r="BI75" s="59">
        <f ca="1">AVERAGE(OFFSET($BH$3,0,0,'Données projet'!$E$11+1,1))-AVERAGE(OFFSET($H$3,0,0,'Données projet'!$E$11+1,1))</f>
        <v>402.5435069258703</v>
      </c>
      <c r="BJ75" s="59">
        <f t="shared" si="92"/>
        <v>163.60655195816349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71.138709803033791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71.138709803033791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7.8049999999999962</v>
      </c>
      <c r="BY75" s="12">
        <f>IF('Données projet'!$A$114&gt;35,BY74+BX75-CG74,IF(A75&lt;'Données projet'!$A$114,$BV$205^A75,IF(A75='Données projet'!$A$114,'Données projet'!$B$114,BY74+BX75-CG74)))</f>
        <v>231.47499999999988</v>
      </c>
      <c r="BZ75" s="13">
        <f>BY75*VLOOKUP('Données projet'!$B$12,Paramètres!$A$1:$I$89,3,0)*VLOOKUP('Données projet'!$B$12,Paramètres!$A$1:$I$89,5,0)</f>
        <v>209.43857999999989</v>
      </c>
      <c r="CA75" s="13">
        <f t="shared" si="93"/>
        <v>51.812882195261906</v>
      </c>
      <c r="CB75" s="20">
        <f t="shared" si="64"/>
        <v>455.01296332341434</v>
      </c>
      <c r="CC75" s="59">
        <f t="shared" si="65"/>
        <v>748.34629665674765</v>
      </c>
      <c r="CD75" s="59">
        <f ca="1">AVERAGE(OFFSET($CC$3,0,0,'Données projet'!$E$12+1,1))-AVERAGE(OFFSET($H$3,0,0,'Données projet'!$E$12+1,1))</f>
        <v>350.91577977538822</v>
      </c>
      <c r="CE75" s="59">
        <f t="shared" si="94"/>
        <v>142.87103313412547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63.477617978091686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63.477617978091686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3.4</v>
      </c>
      <c r="CT75" s="12">
        <f>IF('Données projet'!$A$140&gt;35,CT74+CS75-DB74,IF(A75&lt;'Données projet'!$A$140,$CQ$205^A75,IF(A75='Données projet'!$A$140,'Données projet'!$B$140,CT74+CS75-DB74)))</f>
        <v>259.79999999999984</v>
      </c>
      <c r="CU75" s="17">
        <f>CT75*VLOOKUP('Données projet'!$B$13,Paramètres!$A$1:$I$89,3,0)*VLOOKUP('Données projet'!$B$13,Paramètres!$A$1:$I$89,5,0)</f>
        <v>210.74975999999987</v>
      </c>
      <c r="CV75" s="13">
        <f t="shared" si="95"/>
        <v>52.099393122422597</v>
      </c>
      <c r="CW75" s="20">
        <f t="shared" si="67"/>
        <v>457.79560835488581</v>
      </c>
      <c r="CX75" s="59">
        <f t="shared" si="68"/>
        <v>751.12894168821913</v>
      </c>
      <c r="CY75" s="59">
        <f ca="1">AVERAGE(OFFSET($CX$3,0,0,'Données projet'!$E$13+1,1))-AVERAGE(OFFSET($H$3,0,0,'Données projet'!$E$13+1,1))</f>
        <v>230.38929580146208</v>
      </c>
      <c r="CZ75" s="59">
        <f t="shared" si="96"/>
        <v>227.1847788696258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42.837558844497416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42.837558844497416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6.9339999999999922</v>
      </c>
      <c r="DO75" s="12">
        <f>IF('Données projet'!$A$166&gt;35,DO74+DN75-DW74,IF(A75&lt;'Données projet'!$A$166,$DL$205^A75,IF(A75='Données projet'!$A$166,'Données projet'!$B$166,DO74+DN75-DW74)))</f>
        <v>253.72800000000001</v>
      </c>
      <c r="DP75" s="17">
        <f>DO75*VLOOKUP('Données projet'!$B$14,Paramètres!$A$1:$I$89,3,0)*VLOOKUP('Données projet'!$B$14,Paramètres!$A$1:$I$89,5,0)</f>
        <v>151.72934400000003</v>
      </c>
      <c r="DQ75" s="13">
        <f t="shared" si="97"/>
        <v>38.971322677817533</v>
      </c>
      <c r="DR75" s="20">
        <f t="shared" si="70"/>
        <v>332.13699446386562</v>
      </c>
      <c r="DS75" s="59">
        <f t="shared" si="71"/>
        <v>625.47032779719893</v>
      </c>
      <c r="DT75" s="59">
        <f ca="1">AVERAGE(OFFSET($DS$3,0,0,'Données projet'!$E$14+1,1))-AVERAGE(OFFSET($H$3,0,0,'Données projet'!$E$14+1,1))</f>
        <v>145.97103392561058</v>
      </c>
      <c r="DU75" s="59">
        <f t="shared" si="98"/>
        <v>62.920713953681172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35.652188881398367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35.652188881398367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0.8600000000003547</v>
      </c>
      <c r="O76" s="13">
        <f>N76*VLOOKUP('Données projet'!$B$9,Paramètres!$A$1:$I$89,3,0)*VLOOKUP('Données projet'!$B$9,Paramètres!$A$1:$I$89,5,0)</f>
        <v>0.48074000000019829</v>
      </c>
      <c r="P76" s="13">
        <f t="shared" si="87"/>
        <v>0.24126147010950588</v>
      </c>
      <c r="Q76" s="20">
        <f t="shared" si="54"/>
        <v>1.2574858937744013</v>
      </c>
      <c r="R76" s="59">
        <f t="shared" si="55"/>
        <v>294.59081922710772</v>
      </c>
      <c r="S76" s="59">
        <f ca="1">AVERAGE(OFFSET($R$3,0,0,'Données projet'!$E$9+1,1))-AVERAGE(OFFSET($H$3,0,0,'Données projet'!$E$9+1,1))</f>
        <v>350.01600895263641</v>
      </c>
      <c r="T76" s="59">
        <f t="shared" si="88"/>
        <v>464.08921044376882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260.30474513119435</v>
      </c>
      <c r="AA76" s="21">
        <f>EXP(-LN(2)/25)*AA75+(1-EXP(-LN(2)/25))/(LN(2)/25)*Calculateur!V76*Calculateur!X76*VLOOKUP('Données projet'!$B$9,Paramètres!$A$1:$I$89,3,0)*0.475*44/12</f>
        <v>15.350844800351373</v>
      </c>
      <c r="AB76" s="21">
        <f>EXP(-LN(2)/2)*AB75+(1-EXP(-LN(2)/2))/(LN(2)/2)*V76*Y76*VLOOKUP('Données projet'!$B$9,Paramètres!$A$1:$I$89,3,0)*0.475*44/12</f>
        <v>2.4948254758808726E-7</v>
      </c>
      <c r="AC76" s="22">
        <f t="shared" si="57"/>
        <v>275.65559018102823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3.8</v>
      </c>
      <c r="AI76" s="13">
        <f>IF('Données projet'!$A$62&gt;35,AI75+AH76-AQ75,IF(A76&lt;'Données projet'!$A$62,$AF$205^A76,IF(A76='Données projet'!$A$62,'Données projet'!$B$62,AI75+AH76-AQ75)))</f>
        <v>215.39999999999995</v>
      </c>
      <c r="AJ76" s="13">
        <f>AI76*VLOOKUP('Données projet'!$B$10,Paramètres!$A$1:$I$89,3,0)*VLOOKUP('Données projet'!$B$10,Paramètres!$A$1:$I$89,5,0)</f>
        <v>188.17343999999997</v>
      </c>
      <c r="AK76" s="13">
        <f t="shared" si="89"/>
        <v>47.135899614073118</v>
      </c>
      <c r="AL76" s="20">
        <f t="shared" si="58"/>
        <v>409.83043316117727</v>
      </c>
      <c r="AM76" s="59">
        <f t="shared" si="59"/>
        <v>703.16376649451058</v>
      </c>
      <c r="AN76" s="59">
        <f ca="1">AVERAGE(OFFSET($AM$3,0,0,'Données projet'!$E$10+1,1))-AVERAGE(OFFSET($H$3,0,0,'Données projet'!$E$10+1,1))</f>
        <v>242.48830542479988</v>
      </c>
      <c r="AO76" s="59">
        <f t="shared" si="90"/>
        <v>226.11219631227061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44.320800571775223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44.320800571775223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7.8049999999999962</v>
      </c>
      <c r="BD76" s="12">
        <f>IF('Données projet'!$A$88&gt;35,BD75+BC76-BL75,IF(A76&lt;'Données projet'!$A$88,$BA$205^A76,IF(A76='Données projet'!$A$88,'Données projet'!$B$88,BD75+BC76-BL75)))</f>
        <v>239.27999999999989</v>
      </c>
      <c r="BE76" s="13">
        <f>BD76*VLOOKUP('Données projet'!$B$11,Paramètres!$A$1:$I$89,3,0)*VLOOKUP('Données projet'!$B$11,Paramètres!$A$1:$I$89,5,0)</f>
        <v>242.62991999999988</v>
      </c>
      <c r="BF76" s="13">
        <f t="shared" si="91"/>
        <v>59.005011176979288</v>
      </c>
      <c r="BG76" s="20">
        <f t="shared" si="61"/>
        <v>525.34750513323877</v>
      </c>
      <c r="BH76" s="59">
        <f t="shared" si="62"/>
        <v>818.68083846657214</v>
      </c>
      <c r="BI76" s="59">
        <f ca="1">AVERAGE(OFFSET($BH$3,0,0,'Données projet'!$E$11+1,1))-AVERAGE(OFFSET($H$3,0,0,'Données projet'!$E$11+1,1))</f>
        <v>402.5435069258703</v>
      </c>
      <c r="BJ76" s="59">
        <f t="shared" si="92"/>
        <v>163.60655195816349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69.743723094124846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69.743723094124846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7.8049999999999962</v>
      </c>
      <c r="BY76" s="12">
        <f>IF('Données projet'!$A$114&gt;35,BY75+BX76-CG75,IF(A76&lt;'Données projet'!$A$114,$BV$205^A76,IF(A76='Données projet'!$A$114,'Données projet'!$B$114,BY75+BX76-CG75)))</f>
        <v>239.27999999999989</v>
      </c>
      <c r="BZ76" s="13">
        <f>BY76*VLOOKUP('Données projet'!$B$12,Paramètres!$A$1:$I$89,3,0)*VLOOKUP('Données projet'!$B$12,Paramètres!$A$1:$I$89,5,0)</f>
        <v>216.50054399999991</v>
      </c>
      <c r="CA76" s="13">
        <f t="shared" si="93"/>
        <v>53.35358791845195</v>
      </c>
      <c r="CB76" s="20">
        <f t="shared" si="64"/>
        <v>469.995946424637</v>
      </c>
      <c r="CC76" s="59">
        <f t="shared" si="65"/>
        <v>763.32927975797031</v>
      </c>
      <c r="CD76" s="59">
        <f ca="1">AVERAGE(OFFSET($CC$3,0,0,'Données projet'!$E$12+1,1))-AVERAGE(OFFSET($H$3,0,0,'Données projet'!$E$12+1,1))</f>
        <v>350.91577977538822</v>
      </c>
      <c r="CE76" s="59">
        <f t="shared" si="94"/>
        <v>142.87103313412547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62.232860607065234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62.232860607065234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3.4</v>
      </c>
      <c r="CT76" s="12">
        <f>IF('Données projet'!$A$140&gt;35,CT75+CS76-DB75,IF(A76&lt;'Données projet'!$A$140,$CQ$205^A76,IF(A76='Données projet'!$A$140,'Données projet'!$B$140,CT75+CS76-DB75)))</f>
        <v>263.19999999999982</v>
      </c>
      <c r="CU76" s="17">
        <f>CT76*VLOOKUP('Données projet'!$B$13,Paramètres!$A$1:$I$89,3,0)*VLOOKUP('Données projet'!$B$13,Paramètres!$A$1:$I$89,5,0)</f>
        <v>213.50783999999987</v>
      </c>
      <c r="CV76" s="13">
        <f t="shared" si="95"/>
        <v>52.701396365805124</v>
      </c>
      <c r="CW76" s="20">
        <f t="shared" si="67"/>
        <v>463.64775333711032</v>
      </c>
      <c r="CX76" s="59">
        <f t="shared" si="68"/>
        <v>756.98108667044357</v>
      </c>
      <c r="CY76" s="59">
        <f ca="1">AVERAGE(OFFSET($CX$3,0,0,'Données projet'!$E$13+1,1))-AVERAGE(OFFSET($H$3,0,0,'Données projet'!$E$13+1,1))</f>
        <v>230.38929580146208</v>
      </c>
      <c r="CZ76" s="59">
        <f t="shared" si="96"/>
        <v>227.1847788696258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41.997540443887758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41.997540443887758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6.9339999999999922</v>
      </c>
      <c r="DO76" s="12">
        <f>IF('Données projet'!$A$166&gt;35,DO75+DN76-DW75,IF(A76&lt;'Données projet'!$A$166,$DL$205^A76,IF(A76='Données projet'!$A$166,'Données projet'!$B$166,DO75+DN76-DW75)))</f>
        <v>260.66199999999998</v>
      </c>
      <c r="DP76" s="17">
        <f>DO76*VLOOKUP('Données projet'!$B$14,Paramètres!$A$1:$I$89,3,0)*VLOOKUP('Données projet'!$B$14,Paramètres!$A$1:$I$89,5,0)</f>
        <v>155.87587600000001</v>
      </c>
      <c r="DQ76" s="13">
        <f t="shared" si="97"/>
        <v>39.910898704806755</v>
      </c>
      <c r="DR76" s="20">
        <f t="shared" si="70"/>
        <v>340.99529927753844</v>
      </c>
      <c r="DS76" s="59">
        <f t="shared" si="71"/>
        <v>634.32863261087175</v>
      </c>
      <c r="DT76" s="59">
        <f ca="1">AVERAGE(OFFSET($DS$3,0,0,'Données projet'!$E$14+1,1))-AVERAGE(OFFSET($H$3,0,0,'Données projet'!$E$14+1,1))</f>
        <v>145.97103392561058</v>
      </c>
      <c r="DU76" s="59">
        <f t="shared" si="98"/>
        <v>62.920713953681172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34.953071203122157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34.953071203122157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0.8600000000003547</v>
      </c>
      <c r="O77" s="13">
        <f>N77*VLOOKUP('Données projet'!$B$9,Paramètres!$A$1:$I$89,3,0)*VLOOKUP('Données projet'!$B$9,Paramètres!$A$1:$I$89,5,0)</f>
        <v>0.48074000000019829</v>
      </c>
      <c r="P77" s="13">
        <f t="shared" si="87"/>
        <v>0.24126147010950588</v>
      </c>
      <c r="Q77" s="20">
        <f t="shared" si="54"/>
        <v>1.2574858937744013</v>
      </c>
      <c r="R77" s="59">
        <f t="shared" si="55"/>
        <v>294.59081922710772</v>
      </c>
      <c r="S77" s="59">
        <f ca="1">AVERAGE(OFFSET($R$3,0,0,'Données projet'!$E$9+1,1))-AVERAGE(OFFSET($H$3,0,0,'Données projet'!$E$9+1,1))</f>
        <v>350.01600895263641</v>
      </c>
      <c r="T77" s="59">
        <f t="shared" si="88"/>
        <v>464.08921044376882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255.20032784938891</v>
      </c>
      <c r="AA77" s="21">
        <f>EXP(-LN(2)/25)*AA76+(1-EXP(-LN(2)/25))/(LN(2)/25)*Calculateur!V77*Calculateur!X77*VLOOKUP('Données projet'!$B$9,Paramètres!$A$1:$I$89,3,0)*0.475*44/12</f>
        <v>14.931075142019921</v>
      </c>
      <c r="AB77" s="21">
        <f>EXP(-LN(2)/2)*AB76+(1-EXP(-LN(2)/2))/(LN(2)/2)*V77*Y77*VLOOKUP('Données projet'!$B$9,Paramètres!$A$1:$I$89,3,0)*0.475*44/12</f>
        <v>1.7641080118723205E-7</v>
      </c>
      <c r="AC77" s="22">
        <f t="shared" si="57"/>
        <v>270.13140316781966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3.8</v>
      </c>
      <c r="AI77" s="13">
        <f>IF('Données projet'!$A$62&gt;35,AI76+AH77-AQ76,IF(A77&lt;'Données projet'!$A$62,$AF$205^A77,IF(A77='Données projet'!$A$62,'Données projet'!$B$62,AI76+AH77-AQ76)))</f>
        <v>219.19999999999996</v>
      </c>
      <c r="AJ77" s="13">
        <f>AI77*VLOOKUP('Données projet'!$B$10,Paramètres!$A$1:$I$89,3,0)*VLOOKUP('Données projet'!$B$10,Paramètres!$A$1:$I$89,5,0)</f>
        <v>191.49312</v>
      </c>
      <c r="AK77" s="13">
        <f t="shared" si="89"/>
        <v>47.86990994320918</v>
      </c>
      <c r="AL77" s="20">
        <f t="shared" si="58"/>
        <v>416.89061048442267</v>
      </c>
      <c r="AM77" s="59">
        <f t="shared" si="59"/>
        <v>710.22394381775598</v>
      </c>
      <c r="AN77" s="59">
        <f ca="1">AVERAGE(OFFSET($AM$3,0,0,'Données projet'!$E$10+1,1))-AVERAGE(OFFSET($H$3,0,0,'Données projet'!$E$10+1,1))</f>
        <v>242.48830542479988</v>
      </c>
      <c r="AO77" s="59">
        <f t="shared" si="90"/>
        <v>226.11219631227061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43.451696705581767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43.451696705581767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7.8049999999999962</v>
      </c>
      <c r="BD77" s="12">
        <f>IF('Données projet'!$A$88&gt;35,BD76+BC77-BL76,IF(A77&lt;'Données projet'!$A$88,$BA$205^A77,IF(A77='Données projet'!$A$88,'Données projet'!$B$88,BD76+BC77-BL76)))</f>
        <v>247.08499999999989</v>
      </c>
      <c r="BE77" s="13">
        <f>BD77*VLOOKUP('Données projet'!$B$11,Paramètres!$A$1:$I$89,3,0)*VLOOKUP('Données projet'!$B$11,Paramètres!$A$1:$I$89,5,0)</f>
        <v>250.5441899999999</v>
      </c>
      <c r="BF77" s="13">
        <f t="shared" si="91"/>
        <v>60.702456199476657</v>
      </c>
      <c r="BG77" s="20">
        <f t="shared" si="61"/>
        <v>542.08790879742162</v>
      </c>
      <c r="BH77" s="59">
        <f t="shared" si="62"/>
        <v>835.42124213075499</v>
      </c>
      <c r="BI77" s="59">
        <f ca="1">AVERAGE(OFFSET($BH$3,0,0,'Données projet'!$E$11+1,1))-AVERAGE(OFFSET($H$3,0,0,'Données projet'!$E$11+1,1))</f>
        <v>402.5435069258703</v>
      </c>
      <c r="BJ77" s="59">
        <f t="shared" si="92"/>
        <v>163.60655195816349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68.376091223719726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68.376091223719726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7.8049999999999962</v>
      </c>
      <c r="BY77" s="12">
        <f>IF('Données projet'!$A$114&gt;35,BY76+BX77-CG76,IF(A77&lt;'Données projet'!$A$114,$BV$205^A77,IF(A77='Données projet'!$A$114,'Données projet'!$B$114,BY76+BX77-CG76)))</f>
        <v>247.08499999999989</v>
      </c>
      <c r="BZ77" s="13">
        <f>BY77*VLOOKUP('Données projet'!$B$12,Paramètres!$A$1:$I$89,3,0)*VLOOKUP('Données projet'!$B$12,Paramètres!$A$1:$I$89,5,0)</f>
        <v>223.56250799999989</v>
      </c>
      <c r="CA77" s="13">
        <f t="shared" si="93"/>
        <v>54.88845386353097</v>
      </c>
      <c r="CB77" s="20">
        <f t="shared" si="64"/>
        <v>484.96875857898294</v>
      </c>
      <c r="CC77" s="59">
        <f t="shared" si="65"/>
        <v>778.3020919123162</v>
      </c>
      <c r="CD77" s="59">
        <f ca="1">AVERAGE(OFFSET($CC$3,0,0,'Données projet'!$E$12+1,1))-AVERAGE(OFFSET($H$3,0,0,'Données projet'!$E$12+1,1))</f>
        <v>350.91577977538822</v>
      </c>
      <c r="CE77" s="59">
        <f t="shared" si="94"/>
        <v>142.87103313412547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61.012512168857583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61.012512168857583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3.4</v>
      </c>
      <c r="CT77" s="12">
        <f>IF('Données projet'!$A$140&gt;35,CT76+CS77-DB76,IF(A77&lt;'Données projet'!$A$140,$CQ$205^A77,IF(A77='Données projet'!$A$140,'Données projet'!$B$140,CT76+CS77-DB76)))</f>
        <v>266.5999999999998</v>
      </c>
      <c r="CU77" s="17">
        <f>CT77*VLOOKUP('Données projet'!$B$13,Paramètres!$A$1:$I$89,3,0)*VLOOKUP('Données projet'!$B$13,Paramètres!$A$1:$I$89,5,0)</f>
        <v>216.26591999999982</v>
      </c>
      <c r="CV77" s="13">
        <f t="shared" si="95"/>
        <v>53.302495062173776</v>
      </c>
      <c r="CW77" s="20">
        <f t="shared" si="67"/>
        <v>469.49832289995226</v>
      </c>
      <c r="CX77" s="59">
        <f t="shared" si="68"/>
        <v>762.83165623328557</v>
      </c>
      <c r="CY77" s="59">
        <f ca="1">AVERAGE(OFFSET($CX$3,0,0,'Données projet'!$E$13+1,1))-AVERAGE(OFFSET($H$3,0,0,'Données projet'!$E$13+1,1))</f>
        <v>230.38929580146208</v>
      </c>
      <c r="CZ77" s="59">
        <f t="shared" si="96"/>
        <v>227.1847788696258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41.173994291753424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41.173994291753424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6.9339999999999922</v>
      </c>
      <c r="DO77" s="12">
        <f>IF('Données projet'!$A$166&gt;35,DO76+DN77-DW76,IF(A77&lt;'Données projet'!$A$166,$DL$205^A77,IF(A77='Données projet'!$A$166,'Données projet'!$B$166,DO76+DN77-DW76)))</f>
        <v>267.59599999999995</v>
      </c>
      <c r="DP77" s="17">
        <f>DO77*VLOOKUP('Données projet'!$B$14,Paramètres!$A$1:$I$89,3,0)*VLOOKUP('Données projet'!$B$14,Paramètres!$A$1:$I$89,5,0)</f>
        <v>160.02240799999998</v>
      </c>
      <c r="DQ77" s="13">
        <f t="shared" si="97"/>
        <v>40.847569552449968</v>
      </c>
      <c r="DR77" s="20">
        <f t="shared" si="70"/>
        <v>349.8485442371836</v>
      </c>
      <c r="DS77" s="59">
        <f t="shared" si="71"/>
        <v>643.18187757051692</v>
      </c>
      <c r="DT77" s="59">
        <f ca="1">AVERAGE(OFFSET($DS$3,0,0,'Données projet'!$E$14+1,1))-AVERAGE(OFFSET($H$3,0,0,'Données projet'!$E$14+1,1))</f>
        <v>145.97103392561058</v>
      </c>
      <c r="DU77" s="59">
        <f t="shared" si="98"/>
        <v>62.920713953681172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34.267662796097262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34.267662796097262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0.8600000000003547</v>
      </c>
      <c r="O78" s="13">
        <f>N78*VLOOKUP('Données projet'!$B$9,Paramètres!$A$1:$I$89,3,0)*VLOOKUP('Données projet'!$B$9,Paramètres!$A$1:$I$89,5,0)</f>
        <v>0.48074000000019829</v>
      </c>
      <c r="P78" s="13">
        <f t="shared" si="87"/>
        <v>0.24126147010950588</v>
      </c>
      <c r="Q78" s="20">
        <f t="shared" si="54"/>
        <v>1.2574858937744013</v>
      </c>
      <c r="R78" s="59">
        <f t="shared" si="55"/>
        <v>294.59081922710772</v>
      </c>
      <c r="S78" s="59">
        <f ca="1">AVERAGE(OFFSET($R$3,0,0,'Données projet'!$E$9+1,1))-AVERAGE(OFFSET($H$3,0,0,'Données projet'!$E$9+1,1))</f>
        <v>350.01600895263641</v>
      </c>
      <c r="T78" s="59">
        <f t="shared" si="88"/>
        <v>464.08921044376882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250.19600507709254</v>
      </c>
      <c r="AA78" s="21">
        <f>EXP(-LN(2)/25)*AA77+(1-EXP(-LN(2)/25))/(LN(2)/25)*Calculateur!V78*Calculateur!X78*VLOOKUP('Données projet'!$B$9,Paramètres!$A$1:$I$89,3,0)*0.475*44/12</f>
        <v>14.522784107070271</v>
      </c>
      <c r="AB78" s="21">
        <f>EXP(-LN(2)/2)*AB77+(1-EXP(-LN(2)/2))/(LN(2)/2)*V78*Y78*VLOOKUP('Données projet'!$B$9,Paramètres!$A$1:$I$89,3,0)*0.475*44/12</f>
        <v>1.2474127379404363E-7</v>
      </c>
      <c r="AC78" s="22">
        <f t="shared" si="57"/>
        <v>264.71878930890409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223</v>
      </c>
      <c r="AG78" s="12">
        <f>VLOOKUP(A78,'Données projet'!$A$61:$I$81,9,0)</f>
        <v>3.8</v>
      </c>
      <c r="AH78" s="12">
        <f t="array" ref="AH78">INDEX(AG:AG,MIN(IF(ISNUMBER(AG78:AG274),ROW(AG78:AG274),"")))</f>
        <v>3.8</v>
      </c>
      <c r="AI78" s="13">
        <f>IF('Données projet'!$A$62&gt;35,AI77+AH78-AQ77,IF(A78&lt;'Données projet'!$A$62,$AF$205^A78,IF(A78='Données projet'!$A$62,'Données projet'!$B$62,AI77+AH78-AQ77)))</f>
        <v>222.99999999999997</v>
      </c>
      <c r="AJ78" s="13">
        <f>AI78*VLOOKUP('Données projet'!$B$10,Paramètres!$A$1:$I$89,3,0)*VLOOKUP('Données projet'!$B$10,Paramètres!$A$1:$I$89,5,0)</f>
        <v>194.81280000000001</v>
      </c>
      <c r="AK78" s="13">
        <f t="shared" si="89"/>
        <v>48.602440540253859</v>
      </c>
      <c r="AL78" s="20">
        <f t="shared" si="58"/>
        <v>423.94821060760881</v>
      </c>
      <c r="AM78" s="59">
        <f t="shared" si="59"/>
        <v>717.28154394094213</v>
      </c>
      <c r="AN78" s="59">
        <f ca="1">AVERAGE(OFFSET($AM$3,0,0,'Données projet'!$E$10+1,1))-AVERAGE(OFFSET($H$3,0,0,'Données projet'!$E$10+1,1))</f>
        <v>242.48830542479988</v>
      </c>
      <c r="AO78" s="59">
        <f t="shared" si="90"/>
        <v>226.11219631227061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14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48.413383755934468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48.413383755934468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254.89</v>
      </c>
      <c r="BB78" s="12">
        <f>VLOOKUP(A78,'Données projet'!$A$87:$I$107,9,0)</f>
        <v>7.8049999999999962</v>
      </c>
      <c r="BC78" s="12">
        <f t="array" ref="BC78">INDEX(BB:BB,MIN(IF(ISNUMBER(BB78:BB274),ROW(BB78:BB274),"")))</f>
        <v>7.8049999999999962</v>
      </c>
      <c r="BD78" s="12">
        <f>IF('Données projet'!$A$88&gt;35,BD77+BC78-BL77,IF(A78&lt;'Données projet'!$A$88,$BA$205^A78,IF(A78='Données projet'!$A$88,'Données projet'!$B$88,BD77+BC78-BL77)))</f>
        <v>254.8899999999999</v>
      </c>
      <c r="BE78" s="13">
        <f>BD78*VLOOKUP('Données projet'!$B$11,Paramètres!$A$1:$I$89,3,0)*VLOOKUP('Données projet'!$B$11,Paramètres!$A$1:$I$89,5,0)</f>
        <v>258.45845999999989</v>
      </c>
      <c r="BF78" s="13">
        <f t="shared" si="91"/>
        <v>62.393670285021919</v>
      </c>
      <c r="BG78" s="20">
        <f t="shared" si="61"/>
        <v>558.81746024641291</v>
      </c>
      <c r="BH78" s="59">
        <f t="shared" si="62"/>
        <v>852.15079357974628</v>
      </c>
      <c r="BI78" s="59">
        <f ca="1">AVERAGE(OFFSET($BH$3,0,0,'Données projet'!$E$11+1,1))-AVERAGE(OFFSET($H$3,0,0,'Données projet'!$E$11+1,1))</f>
        <v>402.5435069258703</v>
      </c>
      <c r="BJ78" s="59">
        <f t="shared" si="92"/>
        <v>163.60655195816349</v>
      </c>
      <c r="BK78" s="15">
        <f>IF(ISNA(VLOOKUP(A78,'Données projet'!$A$87:$I$107,3,0)),0,VLOOKUP(A78,'Données projet'!$A$87:$I$107,3,0))</f>
        <v>5</v>
      </c>
      <c r="BL78" s="15">
        <f>IF(ISNA(VLOOKUP(A78,'Données projet'!$A$87:$I$107,4,0)),0,VLOOKUP(A78,'Données projet'!$A$87:$I$107,4,0))</f>
        <v>39.54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86.093842265831825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86.093842265831825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254.89</v>
      </c>
      <c r="BW78" s="12">
        <f>VLOOKUP(A78,'Données projet'!$A$113:$I$133,9,0)</f>
        <v>7.8049999999999962</v>
      </c>
      <c r="BX78" s="12">
        <f t="array" ref="BX78">INDEX(BW:BW,MIN(IF(ISNUMBER(BW78:BW274),ROW(BW78:BW274),"")))</f>
        <v>7.8049999999999962</v>
      </c>
      <c r="BY78" s="12">
        <f>IF('Données projet'!$A$114&gt;35,BY77+BX78-CG77,IF(A78&lt;'Données projet'!$A$114,$BV$205^A78,IF(A78='Données projet'!$A$114,'Données projet'!$B$114,BY77+BX78-CG77)))</f>
        <v>254.8899999999999</v>
      </c>
      <c r="BZ78" s="13">
        <f>BY78*VLOOKUP('Données projet'!$B$12,Paramètres!$A$1:$I$89,3,0)*VLOOKUP('Données projet'!$B$12,Paramètres!$A$1:$I$89,5,0)</f>
        <v>230.62447199999991</v>
      </c>
      <c r="CA78" s="13">
        <f t="shared" si="93"/>
        <v>56.417685662698347</v>
      </c>
      <c r="CB78" s="20">
        <f t="shared" si="64"/>
        <v>499.93175792919948</v>
      </c>
      <c r="CC78" s="59">
        <f t="shared" si="65"/>
        <v>793.26509126253279</v>
      </c>
      <c r="CD78" s="59">
        <f ca="1">AVERAGE(OFFSET($CC$3,0,0,'Données projet'!$E$12+1,1))-AVERAGE(OFFSET($H$3,0,0,'Données projet'!$E$12+1,1))</f>
        <v>350.91577977538822</v>
      </c>
      <c r="CE78" s="59">
        <f t="shared" si="94"/>
        <v>142.87103313412547</v>
      </c>
      <c r="CF78" s="15">
        <f>IF(ISNA(VLOOKUP(A78,'Données projet'!$A$113:$I$133,3,0)),0,VLOOKUP(A78,'Données projet'!$A$113:$I$133,3,0))</f>
        <v>5</v>
      </c>
      <c r="CG78" s="15">
        <f>IF(ISNA(VLOOKUP(A78,'Données projet'!$A$113:$I$133,4,0)),0,VLOOKUP(A78,'Données projet'!$A$113:$I$133,4,0))</f>
        <v>39.54</v>
      </c>
      <c r="CH78" s="16">
        <f>IF(ISNA(VLOOKUP(A78,'Données projet'!$A$113:$I$133,5,0)),0%,VLOOKUP(A78,'Données projet'!$A$113:$I$133,5,0)*VLOOKUP('Données projet'!$B$12,Paramètres!$A$1:$I$89,7,0))</f>
        <v>0.43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76.822197714126844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76.822197714126844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270</v>
      </c>
      <c r="CR78" s="12">
        <f>VLOOKUP(A78,'Données projet'!$A$139:$I$159,9,0)</f>
        <v>3.4</v>
      </c>
      <c r="CS78" s="12">
        <f t="array" ref="CS78">INDEX(CR:CR,MIN(IF(ISNUMBER(CR78:CR274),ROW(CR78:CR274),"")))</f>
        <v>3.4</v>
      </c>
      <c r="CT78" s="12">
        <f>IF('Données projet'!$A$140&gt;35,CT77+CS78-DB77,IF(A78&lt;'Données projet'!$A$140,$CQ$205^A78,IF(A78='Données projet'!$A$140,'Données projet'!$B$140,CT77+CS78-DB77)))</f>
        <v>269.99999999999977</v>
      </c>
      <c r="CU78" s="17">
        <f>CT78*VLOOKUP('Données projet'!$B$13,Paramètres!$A$1:$I$89,3,0)*VLOOKUP('Données projet'!$B$13,Paramètres!$A$1:$I$89,5,0)</f>
        <v>219.02399999999983</v>
      </c>
      <c r="CV78" s="13">
        <f t="shared" si="95"/>
        <v>53.902702081308306</v>
      </c>
      <c r="CW78" s="20">
        <f t="shared" si="67"/>
        <v>475.34733945827821</v>
      </c>
      <c r="CX78" s="59">
        <f t="shared" si="68"/>
        <v>768.68067279161153</v>
      </c>
      <c r="CY78" s="59">
        <f ca="1">AVERAGE(OFFSET($CX$3,0,0,'Données projet'!$E$13+1,1))-AVERAGE(OFFSET($H$3,0,0,'Données projet'!$E$13+1,1))</f>
        <v>230.38929580146208</v>
      </c>
      <c r="CZ78" s="59">
        <f t="shared" si="96"/>
        <v>227.1847788696258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9</v>
      </c>
      <c r="DC78" s="16">
        <f>IF(ISNA(VLOOKUP(A78,'Données projet'!$A$139:$I$159,5,0)),0%,VLOOKUP(A78,'Données projet'!$A$139:$I$159,5,0)*VLOOKUP('Données projet'!$B$13,Paramètres!$A$1:$I$89,7,0))</f>
        <v>0.53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44.644130995202794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44.644130995202794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274.52999999999997</v>
      </c>
      <c r="DM78" s="12">
        <f>VLOOKUP(A78,'Données projet'!$A$165:$I$185,9,0)</f>
        <v>6.9339999999999922</v>
      </c>
      <c r="DN78" s="12">
        <f t="array" ref="DN78">INDEX(DM:DM,MIN(IF(ISNUMBER(DM78:DM274),ROW(DM78:DM274),"")))</f>
        <v>6.9339999999999922</v>
      </c>
      <c r="DO78" s="12">
        <f>IF('Données projet'!$A$166&gt;35,DO77+DN78-DW77,IF(A78&lt;'Données projet'!$A$166,$DL$205^A78,IF(A78='Données projet'!$A$166,'Données projet'!$B$166,DO77+DN78-DW77)))</f>
        <v>274.52999999999992</v>
      </c>
      <c r="DP78" s="17">
        <f>DO78*VLOOKUP('Données projet'!$B$14,Paramètres!$A$1:$I$89,3,0)*VLOOKUP('Données projet'!$B$14,Paramètres!$A$1:$I$89,5,0)</f>
        <v>164.16893999999996</v>
      </c>
      <c r="DQ78" s="13">
        <f t="shared" si="97"/>
        <v>41.781419155260934</v>
      </c>
      <c r="DR78" s="20">
        <f t="shared" si="70"/>
        <v>358.69687552874603</v>
      </c>
      <c r="DS78" s="59">
        <f t="shared" si="71"/>
        <v>652.03020886207935</v>
      </c>
      <c r="DT78" s="59">
        <f ca="1">AVERAGE(OFFSET($DS$3,0,0,'Données projet'!$E$14+1,1))-AVERAGE(OFFSET($H$3,0,0,'Données projet'!$E$14+1,1))</f>
        <v>145.97103392561058</v>
      </c>
      <c r="DU78" s="59">
        <f t="shared" si="98"/>
        <v>62.920713953681172</v>
      </c>
      <c r="DV78" s="15">
        <f>IF(ISNA(VLOOKUP(A78,'Données projet'!$A$165:$I$185,3,0)),0,VLOOKUP(A78,'Données projet'!$A$165:$I$185,3,0))</f>
        <v>3</v>
      </c>
      <c r="DW78" s="15">
        <f>IF(ISNA(VLOOKUP(A78,'Données projet'!$A$165:$I$185,4,0)),0,VLOOKUP(A78,'Données projet'!$A$165:$I$185,4,0))</f>
        <v>75.069999999999993</v>
      </c>
      <c r="DX78" s="16">
        <f>IF(ISNA(VLOOKUP(A78,'Données projet'!$A$165:$I$185,5,0)),0%,VLOOKUP(A78,'Données projet'!$A$165:$I$185,5,0)*VLOOKUP('Données projet'!$B$14,Paramètres!$A$1:$I$89,7,0))</f>
        <v>0.45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60.394070446431911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60.394070446431911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0.8600000000003547</v>
      </c>
      <c r="O79" s="13">
        <f>N79*VLOOKUP('Données projet'!$B$9,Paramètres!$A$1:$I$89,3,0)*VLOOKUP('Données projet'!$B$9,Paramètres!$A$1:$I$89,5,0)</f>
        <v>0.48074000000019829</v>
      </c>
      <c r="P79" s="13">
        <f t="shared" si="87"/>
        <v>0.24126147010950588</v>
      </c>
      <c r="Q79" s="20">
        <f t="shared" si="54"/>
        <v>1.2574858937744013</v>
      </c>
      <c r="R79" s="59">
        <f t="shared" si="55"/>
        <v>294.59081922710772</v>
      </c>
      <c r="S79" s="59">
        <f ca="1">AVERAGE(OFFSET($R$3,0,0,'Données projet'!$E$9+1,1))-AVERAGE(OFFSET($H$3,0,0,'Données projet'!$E$9+1,1))</f>
        <v>350.01600895263641</v>
      </c>
      <c r="T79" s="59">
        <f t="shared" si="88"/>
        <v>464.08921044376882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245.28981402202541</v>
      </c>
      <c r="AA79" s="21">
        <f>EXP(-LN(2)/25)*AA78+(1-EXP(-LN(2)/25))/(LN(2)/25)*Calculateur!V79*Calculateur!X79*VLOOKUP('Données projet'!$B$9,Paramètres!$A$1:$I$89,3,0)*0.475*44/12</f>
        <v>14.125657811942411</v>
      </c>
      <c r="AB79" s="21">
        <f>EXP(-LN(2)/2)*AB78+(1-EXP(-LN(2)/2))/(LN(2)/2)*V79*Y79*VLOOKUP('Données projet'!$B$9,Paramètres!$A$1:$I$89,3,0)*0.475*44/12</f>
        <v>8.8205400593616025E-8</v>
      </c>
      <c r="AC79" s="22">
        <f t="shared" si="57"/>
        <v>259.41547192217325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3.6</v>
      </c>
      <c r="AI79" s="13">
        <f>IF('Données projet'!$A$62&gt;35,AI78+AH79-AQ78,IF(A79&lt;'Données projet'!$A$62,$AF$205^A79,IF(A79='Données projet'!$A$62,'Données projet'!$B$62,AI78+AH79-AQ78)))</f>
        <v>212.59999999999997</v>
      </c>
      <c r="AJ79" s="13">
        <f>AI79*VLOOKUP('Données projet'!$B$10,Paramètres!$A$1:$I$89,3,0)*VLOOKUP('Données projet'!$B$10,Paramètres!$A$1:$I$89,5,0)</f>
        <v>185.72736</v>
      </c>
      <c r="AK79" s="13">
        <f t="shared" si="89"/>
        <v>46.594086043363802</v>
      </c>
      <c r="AL79" s="20">
        <f t="shared" si="58"/>
        <v>404.62651852552534</v>
      </c>
      <c r="AM79" s="59">
        <f t="shared" si="59"/>
        <v>697.95985185885866</v>
      </c>
      <c r="AN79" s="59">
        <f ca="1">AVERAGE(OFFSET($AM$3,0,0,'Données projet'!$E$10+1,1))-AVERAGE(OFFSET($H$3,0,0,'Données projet'!$E$10+1,1))</f>
        <v>242.48830542479988</v>
      </c>
      <c r="AO79" s="59">
        <f t="shared" si="90"/>
        <v>226.11219631227061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47.464026829728915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47.464026829728915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7.6022222222222204</v>
      </c>
      <c r="BD79" s="12">
        <f>IF('Données projet'!$A$88&gt;35,BD78+BC79-BL78,IF(A79&lt;'Données projet'!$A$88,$BA$205^A79,IF(A79='Données projet'!$A$88,'Données projet'!$B$88,BD78+BC79-BL78)))</f>
        <v>222.9522222222221</v>
      </c>
      <c r="BE79" s="13">
        <f>BD79*VLOOKUP('Données projet'!$B$11,Paramètres!$A$1:$I$89,3,0)*VLOOKUP('Données projet'!$B$11,Paramètres!$A$1:$I$89,5,0)</f>
        <v>226.07355333333325</v>
      </c>
      <c r="BF79" s="13">
        <f t="shared" si="91"/>
        <v>55.432843030204474</v>
      </c>
      <c r="BG79" s="20">
        <f t="shared" si="61"/>
        <v>490.29030699982809</v>
      </c>
      <c r="BH79" s="59">
        <f t="shared" si="62"/>
        <v>783.62364033316135</v>
      </c>
      <c r="BI79" s="59">
        <f ca="1">AVERAGE(OFFSET($BH$3,0,0,'Données projet'!$E$11+1,1))-AVERAGE(OFFSET($H$3,0,0,'Données projet'!$E$11+1,1))</f>
        <v>402.5435069258703</v>
      </c>
      <c r="BJ79" s="59">
        <f t="shared" si="92"/>
        <v>163.60655195816349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84.405594531057503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84.405594531057503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7.6022222222222204</v>
      </c>
      <c r="BY79" s="12">
        <f>IF('Données projet'!$A$114&gt;35,BY78+BX79-CG78,IF(A79&lt;'Données projet'!$A$114,$BV$205^A79,IF(A79='Données projet'!$A$114,'Données projet'!$B$114,BY78+BX79-CG78)))</f>
        <v>222.9522222222221</v>
      </c>
      <c r="BZ79" s="13">
        <f>BY79*VLOOKUP('Données projet'!$B$12,Paramètres!$A$1:$I$89,3,0)*VLOOKUP('Données projet'!$B$12,Paramètres!$A$1:$I$89,5,0)</f>
        <v>201.72717066666655</v>
      </c>
      <c r="CA79" s="13">
        <f t="shared" si="93"/>
        <v>50.123557392624278</v>
      </c>
      <c r="CB79" s="20">
        <f t="shared" si="64"/>
        <v>438.64001803659812</v>
      </c>
      <c r="CC79" s="59">
        <f t="shared" si="65"/>
        <v>731.97335136993138</v>
      </c>
      <c r="CD79" s="59">
        <f ca="1">AVERAGE(OFFSET($CC$3,0,0,'Données projet'!$E$12+1,1))-AVERAGE(OFFSET($H$3,0,0,'Données projet'!$E$12+1,1))</f>
        <v>350.91577977538822</v>
      </c>
      <c r="CE79" s="59">
        <f t="shared" si="94"/>
        <v>142.87103313412547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75.315761273866684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75.315761273866684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2.8</v>
      </c>
      <c r="CT79" s="12">
        <f>IF('Données projet'!$A$140&gt;35,CT78+CS79-DB78,IF(A79&lt;'Données projet'!$A$140,$CQ$205^A79,IF(A79='Données projet'!$A$140,'Données projet'!$B$140,CT78+CS79-DB78)))</f>
        <v>263.79999999999978</v>
      </c>
      <c r="CU79" s="17">
        <f>CT79*VLOOKUP('Données projet'!$B$13,Paramètres!$A$1:$I$89,3,0)*VLOOKUP('Données projet'!$B$13,Paramètres!$A$1:$I$89,5,0)</f>
        <v>213.99455999999986</v>
      </c>
      <c r="CV79" s="13">
        <f t="shared" si="95"/>
        <v>52.807537963382018</v>
      </c>
      <c r="CW79" s="20">
        <f t="shared" si="67"/>
        <v>464.68032061955677</v>
      </c>
      <c r="CX79" s="59">
        <f t="shared" si="68"/>
        <v>758.01365395289008</v>
      </c>
      <c r="CY79" s="59">
        <f ca="1">AVERAGE(OFFSET($CX$3,0,0,'Données projet'!$E$13+1,1))-AVERAGE(OFFSET($H$3,0,0,'Données projet'!$E$13+1,1))</f>
        <v>230.38929580146208</v>
      </c>
      <c r="CZ79" s="59">
        <f t="shared" si="96"/>
        <v>227.1847788696258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43.768686816618015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43.768686816618015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6.3200000000000047</v>
      </c>
      <c r="DO79" s="12">
        <f>IF('Données projet'!$A$166&gt;35,DO78+DN79-DW78,IF(A79&lt;'Données projet'!$A$166,$DL$205^A79,IF(A79='Données projet'!$A$166,'Données projet'!$B$166,DO78+DN79-DW78)))</f>
        <v>205.77999999999992</v>
      </c>
      <c r="DP79" s="17">
        <f>DO79*VLOOKUP('Données projet'!$B$14,Paramètres!$A$1:$I$89,3,0)*VLOOKUP('Données projet'!$B$14,Paramètres!$A$1:$I$89,5,0)</f>
        <v>123.05643999999997</v>
      </c>
      <c r="DQ79" s="13">
        <f t="shared" si="97"/>
        <v>32.386816883605547</v>
      </c>
      <c r="DR79" s="20">
        <f t="shared" si="70"/>
        <v>270.73033907227955</v>
      </c>
      <c r="DS79" s="59">
        <f t="shared" si="71"/>
        <v>564.06367240561281</v>
      </c>
      <c r="DT79" s="59">
        <f ca="1">AVERAGE(OFFSET($DS$3,0,0,'Données projet'!$E$14+1,1))-AVERAGE(OFFSET($H$3,0,0,'Données projet'!$E$14+1,1))</f>
        <v>145.97103392561058</v>
      </c>
      <c r="DU79" s="59">
        <f t="shared" si="98"/>
        <v>62.920713953681172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59.209779561723025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59.209779561723025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0.8600000000003547</v>
      </c>
      <c r="O80" s="13">
        <f>N80*VLOOKUP('Données projet'!$B$9,Paramètres!$A$1:$I$89,3,0)*VLOOKUP('Données projet'!$B$9,Paramètres!$A$1:$I$89,5,0)</f>
        <v>0.48074000000019829</v>
      </c>
      <c r="P80" s="13">
        <f t="shared" si="87"/>
        <v>0.24126147010950588</v>
      </c>
      <c r="Q80" s="20">
        <f t="shared" si="54"/>
        <v>1.2574858937744013</v>
      </c>
      <c r="R80" s="59">
        <f t="shared" si="55"/>
        <v>294.59081922710772</v>
      </c>
      <c r="S80" s="59">
        <f ca="1">AVERAGE(OFFSET($R$3,0,0,'Données projet'!$E$9+1,1))-AVERAGE(OFFSET($H$3,0,0,'Données projet'!$E$9+1,1))</f>
        <v>350.01600895263641</v>
      </c>
      <c r="T80" s="59">
        <f t="shared" si="88"/>
        <v>464.08921044376882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240.47983038106707</v>
      </c>
      <c r="AA80" s="21">
        <f>EXP(-LN(2)/25)*AA79+(1-EXP(-LN(2)/25))/(LN(2)/25)*Calculateur!V80*Calculateur!X80*VLOOKUP('Données projet'!$B$9,Paramètres!$A$1:$I$89,3,0)*0.475*44/12</f>
        <v>13.739390956238786</v>
      </c>
      <c r="AB80" s="21">
        <f>EXP(-LN(2)/2)*AB79+(1-EXP(-LN(2)/2))/(LN(2)/2)*V80*Y80*VLOOKUP('Données projet'!$B$9,Paramètres!$A$1:$I$89,3,0)*0.475*44/12</f>
        <v>6.2370636897021814E-8</v>
      </c>
      <c r="AC80" s="22">
        <f t="shared" si="57"/>
        <v>254.21922139967651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3.6</v>
      </c>
      <c r="AI80" s="13">
        <f>IF('Données projet'!$A$62&gt;35,AI79+AH80-AQ79,IF(A80&lt;'Données projet'!$A$62,$AF$205^A80,IF(A80='Données projet'!$A$62,'Données projet'!$B$62,AI79+AH80-AQ79)))</f>
        <v>216.19999999999996</v>
      </c>
      <c r="AJ80" s="13">
        <f>AI80*VLOOKUP('Données projet'!$B$10,Paramètres!$A$1:$I$89,3,0)*VLOOKUP('Données projet'!$B$10,Paramètres!$A$1:$I$89,5,0)</f>
        <v>188.87232</v>
      </c>
      <c r="AK80" s="13">
        <f t="shared" si="89"/>
        <v>47.290552503862891</v>
      </c>
      <c r="AL80" s="20">
        <f t="shared" si="58"/>
        <v>411.31700294422785</v>
      </c>
      <c r="AM80" s="59">
        <f t="shared" si="59"/>
        <v>704.65033627756111</v>
      </c>
      <c r="AN80" s="59">
        <f ca="1">AVERAGE(OFFSET($AM$3,0,0,'Données projet'!$E$10+1,1))-AVERAGE(OFFSET($H$3,0,0,'Données projet'!$E$10+1,1))</f>
        <v>242.48830542479988</v>
      </c>
      <c r="AO80" s="59">
        <f t="shared" si="90"/>
        <v>226.11219631227061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46.533286213795705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46.533286213795705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7.6022222222222204</v>
      </c>
      <c r="BD80" s="12">
        <f>IF('Données projet'!$A$88&gt;35,BD79+BC80-BL79,IF(A80&lt;'Données projet'!$A$88,$BA$205^A80,IF(A80='Données projet'!$A$88,'Données projet'!$B$88,BD79+BC80-BL79)))</f>
        <v>230.55444444444433</v>
      </c>
      <c r="BE80" s="13">
        <f>BD80*VLOOKUP('Données projet'!$B$11,Paramètres!$A$1:$I$89,3,0)*VLOOKUP('Données projet'!$B$11,Paramètres!$A$1:$I$89,5,0)</f>
        <v>233.78220666666658</v>
      </c>
      <c r="BF80" s="13">
        <f t="shared" si="91"/>
        <v>57.099705101540508</v>
      </c>
      <c r="BG80" s="20">
        <f t="shared" si="61"/>
        <v>506.61932966296064</v>
      </c>
      <c r="BH80" s="59">
        <f t="shared" si="62"/>
        <v>799.95266299629395</v>
      </c>
      <c r="BI80" s="59">
        <f ca="1">AVERAGE(OFFSET($BH$3,0,0,'Données projet'!$E$11+1,1))-AVERAGE(OFFSET($H$3,0,0,'Données projet'!$E$11+1,1))</f>
        <v>402.5435069258703</v>
      </c>
      <c r="BJ80" s="59">
        <f t="shared" si="92"/>
        <v>163.60655195816349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82.750452304632674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82.750452304632674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7.6022222222222204</v>
      </c>
      <c r="BY80" s="12">
        <f>IF('Données projet'!$A$114&gt;35,BY79+BX80-CG79,IF(A80&lt;'Données projet'!$A$114,$BV$205^A80,IF(A80='Données projet'!$A$114,'Données projet'!$B$114,BY79+BX80-CG79)))</f>
        <v>230.55444444444433</v>
      </c>
      <c r="BZ80" s="13">
        <f>BY80*VLOOKUP('Données projet'!$B$12,Paramètres!$A$1:$I$89,3,0)*VLOOKUP('Données projet'!$B$12,Paramètres!$A$1:$I$89,5,0)</f>
        <v>208.60566133333322</v>
      </c>
      <c r="CA80" s="13">
        <f t="shared" si="93"/>
        <v>51.630769581843509</v>
      </c>
      <c r="CB80" s="20">
        <f t="shared" si="64"/>
        <v>453.24511717726608</v>
      </c>
      <c r="CC80" s="59">
        <f t="shared" si="65"/>
        <v>746.5784505105994</v>
      </c>
      <c r="CD80" s="59">
        <f ca="1">AVERAGE(OFFSET($CC$3,0,0,'Données projet'!$E$12+1,1))-AVERAGE(OFFSET($H$3,0,0,'Données projet'!$E$12+1,1))</f>
        <v>350.91577977538822</v>
      </c>
      <c r="CE80" s="59">
        <f t="shared" si="94"/>
        <v>142.87103313412547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73.838865133364521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73.838865133364521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2.8</v>
      </c>
      <c r="CT80" s="12">
        <f>IF('Données projet'!$A$140&gt;35,CT79+CS80-DB79,IF(A80&lt;'Données projet'!$A$140,$CQ$205^A80,IF(A80='Données projet'!$A$140,'Données projet'!$B$140,CT79+CS80-DB79)))</f>
        <v>266.5999999999998</v>
      </c>
      <c r="CU80" s="17">
        <f>CT80*VLOOKUP('Données projet'!$B$13,Paramètres!$A$1:$I$89,3,0)*VLOOKUP('Données projet'!$B$13,Paramètres!$A$1:$I$89,5,0)</f>
        <v>216.26591999999982</v>
      </c>
      <c r="CV80" s="13">
        <f t="shared" si="95"/>
        <v>53.302495062173776</v>
      </c>
      <c r="CW80" s="20">
        <f t="shared" si="67"/>
        <v>469.49832289995226</v>
      </c>
      <c r="CX80" s="59">
        <f t="shared" si="68"/>
        <v>762.83165623328557</v>
      </c>
      <c r="CY80" s="59">
        <f ca="1">AVERAGE(OFFSET($CX$3,0,0,'Données projet'!$E$13+1,1))-AVERAGE(OFFSET($H$3,0,0,'Données projet'!$E$13+1,1))</f>
        <v>230.38929580146208</v>
      </c>
      <c r="CZ80" s="59">
        <f t="shared" si="96"/>
        <v>227.1847788696258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42.910409564407054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42.910409564407054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6.3200000000000047</v>
      </c>
      <c r="DO80" s="12">
        <f>IF('Données projet'!$A$166&gt;35,DO79+DN80-DW79,IF(A80&lt;'Données projet'!$A$166,$DL$205^A80,IF(A80='Données projet'!$A$166,'Données projet'!$B$166,DO79+DN80-DW79)))</f>
        <v>212.09999999999991</v>
      </c>
      <c r="DP80" s="17">
        <f>DO80*VLOOKUP('Données projet'!$B$14,Paramètres!$A$1:$I$89,3,0)*VLOOKUP('Données projet'!$B$14,Paramètres!$A$1:$I$89,5,0)</f>
        <v>126.83579999999995</v>
      </c>
      <c r="DQ80" s="13">
        <f t="shared" si="97"/>
        <v>33.264160367804379</v>
      </c>
      <c r="DR80" s="20">
        <f t="shared" si="70"/>
        <v>278.84076430725924</v>
      </c>
      <c r="DS80" s="59">
        <f t="shared" si="71"/>
        <v>572.17409764059255</v>
      </c>
      <c r="DT80" s="59">
        <f ca="1">AVERAGE(OFFSET($DS$3,0,0,'Données projet'!$E$14+1,1))-AVERAGE(OFFSET($H$3,0,0,'Données projet'!$E$14+1,1))</f>
        <v>145.97103392561058</v>
      </c>
      <c r="DU80" s="59">
        <f t="shared" si="98"/>
        <v>62.920713953681172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58.048711898917169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58.048711898917169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0.8600000000003547</v>
      </c>
      <c r="O81" s="13">
        <f>N81*VLOOKUP('Données projet'!$B$9,Paramètres!$A$1:$I$89,3,0)*VLOOKUP('Données projet'!$B$9,Paramètres!$A$1:$I$89,5,0)</f>
        <v>0.48074000000019829</v>
      </c>
      <c r="P81" s="13">
        <f t="shared" si="87"/>
        <v>0.24126147010950588</v>
      </c>
      <c r="Q81" s="20">
        <f t="shared" si="54"/>
        <v>1.2574858937744013</v>
      </c>
      <c r="R81" s="59">
        <f t="shared" si="55"/>
        <v>294.59081922710772</v>
      </c>
      <c r="S81" s="59">
        <f ca="1">AVERAGE(OFFSET($R$3,0,0,'Données projet'!$E$9+1,1))-AVERAGE(OFFSET($H$3,0,0,'Données projet'!$E$9+1,1))</f>
        <v>350.01600895263641</v>
      </c>
      <c r="T81" s="59">
        <f t="shared" si="88"/>
        <v>464.08921044376882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235.76416758550761</v>
      </c>
      <c r="AA81" s="21">
        <f>EXP(-LN(2)/25)*AA80+(1-EXP(-LN(2)/25))/(LN(2)/25)*Calculateur!V81*Calculateur!X81*VLOOKUP('Données projet'!$B$9,Paramètres!$A$1:$I$89,3,0)*0.475*44/12</f>
        <v>13.363686588017268</v>
      </c>
      <c r="AB81" s="21">
        <f>EXP(-LN(2)/2)*AB80+(1-EXP(-LN(2)/2))/(LN(2)/2)*V81*Y81*VLOOKUP('Données projet'!$B$9,Paramètres!$A$1:$I$89,3,0)*0.475*44/12</f>
        <v>4.4102700296808013E-8</v>
      </c>
      <c r="AC81" s="22">
        <f t="shared" si="57"/>
        <v>249.12785421762757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3.6</v>
      </c>
      <c r="AI81" s="13">
        <f>IF('Données projet'!$A$62&gt;35,AI80+AH81-AQ80,IF(A81&lt;'Données projet'!$A$62,$AF$205^A81,IF(A81='Données projet'!$A$62,'Données projet'!$B$62,AI80+AH81-AQ80)))</f>
        <v>219.79999999999995</v>
      </c>
      <c r="AJ81" s="13">
        <f>AI81*VLOOKUP('Données projet'!$B$10,Paramètres!$A$1:$I$89,3,0)*VLOOKUP('Données projet'!$B$10,Paramètres!$A$1:$I$89,5,0)</f>
        <v>192.01727999999997</v>
      </c>
      <c r="AK81" s="13">
        <f t="shared" si="89"/>
        <v>47.985670310783661</v>
      </c>
      <c r="AL81" s="20">
        <f t="shared" si="58"/>
        <v>418.00513845794814</v>
      </c>
      <c r="AM81" s="59">
        <f t="shared" si="59"/>
        <v>711.33847179128145</v>
      </c>
      <c r="AN81" s="59">
        <f ca="1">AVERAGE(OFFSET($AM$3,0,0,'Données projet'!$E$10+1,1))-AVERAGE(OFFSET($H$3,0,0,'Données projet'!$E$10+1,1))</f>
        <v>242.48830542479988</v>
      </c>
      <c r="AO81" s="59">
        <f t="shared" si="90"/>
        <v>226.11219631227061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45.620796853645224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45.620796853645224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7.6022222222222204</v>
      </c>
      <c r="BD81" s="12">
        <f>IF('Données projet'!$A$88&gt;35,BD80+BC81-BL80,IF(A81&lt;'Données projet'!$A$88,$BA$205^A81,IF(A81='Données projet'!$A$88,'Données projet'!$B$88,BD80+BC81-BL80)))</f>
        <v>238.15666666666655</v>
      </c>
      <c r="BE81" s="13">
        <f>BD81*VLOOKUP('Données projet'!$B$11,Paramètres!$A$1:$I$89,3,0)*VLOOKUP('Données projet'!$B$11,Paramètres!$A$1:$I$89,5,0)</f>
        <v>241.49085999999991</v>
      </c>
      <c r="BF81" s="13">
        <f t="shared" si="91"/>
        <v>58.760180573382776</v>
      </c>
      <c r="BG81" s="20">
        <f t="shared" si="61"/>
        <v>522.93722899864156</v>
      </c>
      <c r="BH81" s="59">
        <f t="shared" si="62"/>
        <v>816.27056233197482</v>
      </c>
      <c r="BI81" s="59">
        <f ca="1">AVERAGE(OFFSET($BH$3,0,0,'Données projet'!$E$11+1,1))-AVERAGE(OFFSET($H$3,0,0,'Données projet'!$E$11+1,1))</f>
        <v>402.5435069258703</v>
      </c>
      <c r="BJ81" s="59">
        <f t="shared" si="92"/>
        <v>163.60655195816349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81.127766407730959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81.127766407730959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7.6022222222222204</v>
      </c>
      <c r="BY81" s="12">
        <f>IF('Données projet'!$A$114&gt;35,BY80+BX81-CG80,IF(A81&lt;'Données projet'!$A$114,$BV$205^A81,IF(A81='Données projet'!$A$114,'Données projet'!$B$114,BY80+BX81-CG80)))</f>
        <v>238.15666666666655</v>
      </c>
      <c r="BZ81" s="13">
        <f>BY81*VLOOKUP('Données projet'!$B$12,Paramètres!$A$1:$I$89,3,0)*VLOOKUP('Données projet'!$B$12,Paramètres!$A$1:$I$89,5,0)</f>
        <v>215.48415199999988</v>
      </c>
      <c r="CA81" s="13">
        <f t="shared" si="93"/>
        <v>53.132206871765312</v>
      </c>
      <c r="CB81" s="20">
        <f t="shared" si="64"/>
        <v>467.84015836832441</v>
      </c>
      <c r="CC81" s="59">
        <f t="shared" si="65"/>
        <v>761.17349170165767</v>
      </c>
      <c r="CD81" s="59">
        <f ca="1">AVERAGE(OFFSET($CC$3,0,0,'Données projet'!$E$12+1,1))-AVERAGE(OFFSET($H$3,0,0,'Données projet'!$E$12+1,1))</f>
        <v>350.91577977538822</v>
      </c>
      <c r="CE81" s="59">
        <f t="shared" si="94"/>
        <v>142.87103313412547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72.390930025359921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72.390930025359921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2.8</v>
      </c>
      <c r="CT81" s="12">
        <f>IF('Données projet'!$A$140&gt;35,CT80+CS81-DB80,IF(A81&lt;'Données projet'!$A$140,$CQ$205^A81,IF(A81='Données projet'!$A$140,'Données projet'!$B$140,CT80+CS81-DB80)))</f>
        <v>269.39999999999981</v>
      </c>
      <c r="CU81" s="17">
        <f>CT81*VLOOKUP('Données projet'!$B$13,Paramètres!$A$1:$I$89,3,0)*VLOOKUP('Données projet'!$B$13,Paramètres!$A$1:$I$89,5,0)</f>
        <v>218.53727999999987</v>
      </c>
      <c r="CV81" s="13">
        <f t="shared" si="95"/>
        <v>53.796847431080771</v>
      </c>
      <c r="CW81" s="20">
        <f t="shared" si="67"/>
        <v>474.31527194246542</v>
      </c>
      <c r="CX81" s="59">
        <f t="shared" si="68"/>
        <v>767.64860527579867</v>
      </c>
      <c r="CY81" s="59">
        <f ca="1">AVERAGE(OFFSET($CX$3,0,0,'Données projet'!$E$13+1,1))-AVERAGE(OFFSET($H$3,0,0,'Données projet'!$E$13+1,1))</f>
        <v>230.38929580146208</v>
      </c>
      <c r="CZ81" s="59">
        <f t="shared" si="96"/>
        <v>227.1847788696258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42.068962605614523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42.068962605614523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6.3200000000000047</v>
      </c>
      <c r="DO81" s="12">
        <f>IF('Données projet'!$A$166&gt;35,DO80+DN81-DW80,IF(A81&lt;'Données projet'!$A$166,$DL$205^A81,IF(A81='Données projet'!$A$166,'Données projet'!$B$166,DO80+DN81-DW80)))</f>
        <v>218.4199999999999</v>
      </c>
      <c r="DP81" s="17">
        <f>DO81*VLOOKUP('Données projet'!$B$14,Paramètres!$A$1:$I$89,3,0)*VLOOKUP('Données projet'!$B$14,Paramètres!$A$1:$I$89,5,0)</f>
        <v>130.61515999999995</v>
      </c>
      <c r="DQ81" s="13">
        <f t="shared" si="97"/>
        <v>34.138465668382914</v>
      </c>
      <c r="DR81" s="20">
        <f t="shared" si="70"/>
        <v>286.94589803910009</v>
      </c>
      <c r="DS81" s="59">
        <f t="shared" si="71"/>
        <v>580.2792313724334</v>
      </c>
      <c r="DT81" s="59">
        <f ca="1">AVERAGE(OFFSET($DS$3,0,0,'Données projet'!$E$14+1,1))-AVERAGE(OFFSET($H$3,0,0,'Données projet'!$E$14+1,1))</f>
        <v>145.97103392561058</v>
      </c>
      <c r="DU81" s="59">
        <f t="shared" si="98"/>
        <v>62.920713953681172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56.91041206479759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56.91041206479759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0.8600000000003547</v>
      </c>
      <c r="O82" s="13">
        <f>N82*VLOOKUP('Données projet'!$B$9,Paramètres!$A$1:$I$89,3,0)*VLOOKUP('Données projet'!$B$9,Paramètres!$A$1:$I$89,5,0)</f>
        <v>0.48074000000019829</v>
      </c>
      <c r="P82" s="13">
        <f t="shared" si="87"/>
        <v>0.24126147010950588</v>
      </c>
      <c r="Q82" s="20">
        <f t="shared" si="54"/>
        <v>1.2574858937744013</v>
      </c>
      <c r="R82" s="59">
        <f t="shared" si="55"/>
        <v>294.59081922710772</v>
      </c>
      <c r="S82" s="59">
        <f ca="1">AVERAGE(OFFSET($R$3,0,0,'Données projet'!$E$9+1,1))-AVERAGE(OFFSET($H$3,0,0,'Données projet'!$E$9+1,1))</f>
        <v>350.01600895263641</v>
      </c>
      <c r="T82" s="59">
        <f t="shared" si="88"/>
        <v>464.08921044376882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231.14097606109877</v>
      </c>
      <c r="AA82" s="21">
        <f>EXP(-LN(2)/25)*AA81+(1-EXP(-LN(2)/25))/(LN(2)/25)*Calculateur!V82*Calculateur!X82*VLOOKUP('Données projet'!$B$9,Paramètres!$A$1:$I$89,3,0)*0.475*44/12</f>
        <v>12.998255875502201</v>
      </c>
      <c r="AB82" s="21">
        <f>EXP(-LN(2)/2)*AB81+(1-EXP(-LN(2)/2))/(LN(2)/2)*V82*Y82*VLOOKUP('Données projet'!$B$9,Paramètres!$A$1:$I$89,3,0)*0.475*44/12</f>
        <v>3.1185318448510907E-8</v>
      </c>
      <c r="AC82" s="22">
        <f t="shared" si="57"/>
        <v>244.13923196778629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3.6</v>
      </c>
      <c r="AI82" s="13">
        <f>IF('Données projet'!$A$62&gt;35,AI81+AH82-AQ81,IF(A82&lt;'Données projet'!$A$62,$AF$205^A82,IF(A82='Données projet'!$A$62,'Données projet'!$B$62,AI81+AH82-AQ81)))</f>
        <v>223.39999999999995</v>
      </c>
      <c r="AJ82" s="13">
        <f>AI82*VLOOKUP('Données projet'!$B$10,Paramètres!$A$1:$I$89,3,0)*VLOOKUP('Données projet'!$B$10,Paramètres!$A$1:$I$89,5,0)</f>
        <v>195.16224</v>
      </c>
      <c r="AK82" s="13">
        <f t="shared" si="89"/>
        <v>48.67946410296608</v>
      </c>
      <c r="AL82" s="20">
        <f t="shared" si="58"/>
        <v>424.69096797933253</v>
      </c>
      <c r="AM82" s="59">
        <f t="shared" si="59"/>
        <v>718.02430131266578</v>
      </c>
      <c r="AN82" s="59">
        <f ca="1">AVERAGE(OFFSET($AM$3,0,0,'Données projet'!$E$10+1,1))-AVERAGE(OFFSET($H$3,0,0,'Données projet'!$E$10+1,1))</f>
        <v>242.48830542479988</v>
      </c>
      <c r="AO82" s="59">
        <f t="shared" si="90"/>
        <v>226.11219631227061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44.726200853283736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44.726200853283736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7.6022222222222204</v>
      </c>
      <c r="BD82" s="12">
        <f>IF('Données projet'!$A$88&gt;35,BD81+BC82-BL81,IF(A82&lt;'Données projet'!$A$88,$BA$205^A82,IF(A82='Données projet'!$A$88,'Données projet'!$B$88,BD81+BC82-BL81)))</f>
        <v>245.75888888888878</v>
      </c>
      <c r="BE82" s="13">
        <f>BD82*VLOOKUP('Données projet'!$B$11,Paramètres!$A$1:$I$89,3,0)*VLOOKUP('Données projet'!$B$11,Paramètres!$A$1:$I$89,5,0)</f>
        <v>249.19951333333324</v>
      </c>
      <c r="BF82" s="13">
        <f t="shared" si="91"/>
        <v>60.41449669917413</v>
      </c>
      <c r="BG82" s="20">
        <f t="shared" si="61"/>
        <v>539.24440080661702</v>
      </c>
      <c r="BH82" s="59">
        <f t="shared" si="62"/>
        <v>832.57773413995028</v>
      </c>
      <c r="BI82" s="59">
        <f ca="1">AVERAGE(OFFSET($BH$3,0,0,'Données projet'!$E$11+1,1))-AVERAGE(OFFSET($H$3,0,0,'Données projet'!$E$11+1,1))</f>
        <v>402.5435069258703</v>
      </c>
      <c r="BJ82" s="59">
        <f t="shared" si="92"/>
        <v>163.60655195816349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79.536900391526814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79.536900391526814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7.6022222222222204</v>
      </c>
      <c r="BY82" s="12">
        <f>IF('Données projet'!$A$114&gt;35,BY81+BX82-CG81,IF(A82&lt;'Données projet'!$A$114,$BV$205^A82,IF(A82='Données projet'!$A$114,'Données projet'!$B$114,BY81+BX82-CG81)))</f>
        <v>245.75888888888878</v>
      </c>
      <c r="BZ82" s="13">
        <f>BY82*VLOOKUP('Données projet'!$B$12,Paramètres!$A$1:$I$89,3,0)*VLOOKUP('Données projet'!$B$12,Paramètres!$A$1:$I$89,5,0)</f>
        <v>222.36264266666657</v>
      </c>
      <c r="CA82" s="13">
        <f t="shared" si="93"/>
        <v>54.628074749793228</v>
      </c>
      <c r="CB82" s="20">
        <f t="shared" si="64"/>
        <v>482.42549950033413</v>
      </c>
      <c r="CC82" s="59">
        <f t="shared" si="65"/>
        <v>775.75883283366738</v>
      </c>
      <c r="CD82" s="59">
        <f ca="1">AVERAGE(OFFSET($CC$3,0,0,'Données projet'!$E$12+1,1))-AVERAGE(OFFSET($H$3,0,0,'Données projet'!$E$12+1,1))</f>
        <v>350.91577977538822</v>
      </c>
      <c r="CE82" s="59">
        <f t="shared" si="94"/>
        <v>142.87103313412547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70.971388041670068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70.971388041670068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2.8</v>
      </c>
      <c r="CT82" s="12">
        <f>IF('Données projet'!$A$140&gt;35,CT81+CS82-DB81,IF(A82&lt;'Données projet'!$A$140,$CQ$205^A82,IF(A82='Données projet'!$A$140,'Données projet'!$B$140,CT81+CS82-DB81)))</f>
        <v>272.19999999999982</v>
      </c>
      <c r="CU82" s="17">
        <f>CT82*VLOOKUP('Données projet'!$B$13,Paramètres!$A$1:$I$89,3,0)*VLOOKUP('Données projet'!$B$13,Paramètres!$A$1:$I$89,5,0)</f>
        <v>220.80863999999985</v>
      </c>
      <c r="CV82" s="13">
        <f t="shared" si="95"/>
        <v>54.290602082955985</v>
      </c>
      <c r="CW82" s="20">
        <f t="shared" si="67"/>
        <v>479.13117996114801</v>
      </c>
      <c r="CX82" s="59">
        <f t="shared" si="68"/>
        <v>772.46451329448132</v>
      </c>
      <c r="CY82" s="59">
        <f ca="1">AVERAGE(OFFSET($CX$3,0,0,'Données projet'!$E$13+1,1))-AVERAGE(OFFSET($H$3,0,0,'Données projet'!$E$13+1,1))</f>
        <v>230.38929580146208</v>
      </c>
      <c r="CZ82" s="59">
        <f t="shared" si="96"/>
        <v>227.1847788696258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41.244015908451942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41.244015908451942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6.3200000000000047</v>
      </c>
      <c r="DO82" s="12">
        <f>IF('Données projet'!$A$166&gt;35,DO81+DN82-DW81,IF(A82&lt;'Données projet'!$A$166,$DL$205^A82,IF(A82='Données projet'!$A$166,'Données projet'!$B$166,DO81+DN82-DW81)))</f>
        <v>224.7399999999999</v>
      </c>
      <c r="DP82" s="17">
        <f>DO82*VLOOKUP('Données projet'!$B$14,Paramètres!$A$1:$I$89,3,0)*VLOOKUP('Données projet'!$B$14,Paramètres!$A$1:$I$89,5,0)</f>
        <v>134.39451999999994</v>
      </c>
      <c r="DQ82" s="13">
        <f t="shared" si="97"/>
        <v>35.009830790787603</v>
      </c>
      <c r="DR82" s="20">
        <f t="shared" si="70"/>
        <v>295.0459109606216</v>
      </c>
      <c r="DS82" s="59">
        <f t="shared" si="71"/>
        <v>588.37924429395491</v>
      </c>
      <c r="DT82" s="59">
        <f ca="1">AVERAGE(OFFSET($DS$3,0,0,'Données projet'!$E$14+1,1))-AVERAGE(OFFSET($H$3,0,0,'Données projet'!$E$14+1,1))</f>
        <v>145.97103392561058</v>
      </c>
      <c r="DU82" s="59">
        <f t="shared" si="98"/>
        <v>62.920713953681172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55.794433596130752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55.794433596130752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0.8600000000003547</v>
      </c>
      <c r="O83" s="13">
        <f>N83*VLOOKUP('Données projet'!$B$9,Paramètres!$A$1:$I$89,3,0)*VLOOKUP('Données projet'!$B$9,Paramètres!$A$1:$I$89,5,0)</f>
        <v>0.48074000000019829</v>
      </c>
      <c r="P83" s="13">
        <f t="shared" si="87"/>
        <v>0.24126147010950588</v>
      </c>
      <c r="Q83" s="20">
        <f t="shared" si="54"/>
        <v>1.2574858937744013</v>
      </c>
      <c r="R83" s="59">
        <f t="shared" si="55"/>
        <v>294.59081922710772</v>
      </c>
      <c r="S83" s="59">
        <f ca="1">AVERAGE(OFFSET($R$3,0,0,'Données projet'!$E$9+1,1))-AVERAGE(OFFSET($H$3,0,0,'Données projet'!$E$9+1,1))</f>
        <v>350.01600895263641</v>
      </c>
      <c r="T83" s="59">
        <f t="shared" si="88"/>
        <v>464.08921044376882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226.60844250261519</v>
      </c>
      <c r="AA83" s="21">
        <f>EXP(-LN(2)/25)*AA82+(1-EXP(-LN(2)/25))/(LN(2)/25)*Calculateur!V83*Calculateur!X83*VLOOKUP('Données projet'!$B$9,Paramètres!$A$1:$I$89,3,0)*0.475*44/12</f>
        <v>12.642817885038024</v>
      </c>
      <c r="AB83" s="21">
        <f>EXP(-LN(2)/2)*AB82+(1-EXP(-LN(2)/2))/(LN(2)/2)*V83*Y83*VLOOKUP('Données projet'!$B$9,Paramètres!$A$1:$I$89,3,0)*0.475*44/12</f>
        <v>2.2051350148404006E-8</v>
      </c>
      <c r="AC83" s="22">
        <f t="shared" si="57"/>
        <v>239.25126040970457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227</v>
      </c>
      <c r="AG83" s="12">
        <f>VLOOKUP(A83,'Données projet'!$A$61:$I$81,9,0)</f>
        <v>3.6</v>
      </c>
      <c r="AH83" s="12">
        <f t="array" ref="AH83">INDEX(AG:AG,MIN(IF(ISNUMBER(AG83:AG279),ROW(AG83:AG279),"")))</f>
        <v>3.6</v>
      </c>
      <c r="AI83" s="13">
        <f>IF('Données projet'!$A$62&gt;35,AI82+AH83-AQ82,IF(A83&lt;'Données projet'!$A$62,$AF$205^A83,IF(A83='Données projet'!$A$62,'Données projet'!$B$62,AI82+AH83-AQ82)))</f>
        <v>226.99999999999994</v>
      </c>
      <c r="AJ83" s="13">
        <f>AI83*VLOOKUP('Données projet'!$B$10,Paramètres!$A$1:$I$89,3,0)*VLOOKUP('Données projet'!$B$10,Paramètres!$A$1:$I$89,5,0)</f>
        <v>198.30719999999997</v>
      </c>
      <c r="AK83" s="13">
        <f t="shared" si="89"/>
        <v>49.371957679623371</v>
      </c>
      <c r="AL83" s="20">
        <f t="shared" si="58"/>
        <v>431.37453295867726</v>
      </c>
      <c r="AM83" s="59">
        <f t="shared" si="59"/>
        <v>724.70786629201052</v>
      </c>
      <c r="AN83" s="59">
        <f ca="1">AVERAGE(OFFSET($AM$3,0,0,'Données projet'!$E$10+1,1))-AVERAGE(OFFSET($H$3,0,0,'Données projet'!$E$10+1,1))</f>
        <v>242.48830542479988</v>
      </c>
      <c r="AO83" s="59">
        <f t="shared" si="90"/>
        <v>226.11219631227061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13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49.247627917539972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49.247627917539972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7.6022222222222204</v>
      </c>
      <c r="BD83" s="12">
        <f>IF('Données projet'!$A$88&gt;35,BD82+BC83-BL82,IF(A83&lt;'Données projet'!$A$88,$BA$205^A83,IF(A83='Données projet'!$A$88,'Données projet'!$B$88,BD82+BC83-BL82)))</f>
        <v>253.361111111111</v>
      </c>
      <c r="BE83" s="13">
        <f>BD83*VLOOKUP('Données projet'!$B$11,Paramètres!$A$1:$I$89,3,0)*VLOOKUP('Données projet'!$B$11,Paramètres!$A$1:$I$89,5,0)</f>
        <v>256.90816666666655</v>
      </c>
      <c r="BF83" s="13">
        <f t="shared" si="91"/>
        <v>62.062865874094335</v>
      </c>
      <c r="BG83" s="20">
        <f t="shared" si="61"/>
        <v>555.5412150084918</v>
      </c>
      <c r="BH83" s="59">
        <f t="shared" si="62"/>
        <v>848.87454834182518</v>
      </c>
      <c r="BI83" s="59">
        <f ca="1">AVERAGE(OFFSET($BH$3,0,0,'Données projet'!$E$11+1,1))-AVERAGE(OFFSET($H$3,0,0,'Données projet'!$E$11+1,1))</f>
        <v>402.5435069258703</v>
      </c>
      <c r="BJ83" s="59">
        <f t="shared" si="92"/>
        <v>163.60655195816349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77.977230287567977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77.977230287567977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7.6022222222222204</v>
      </c>
      <c r="BY83" s="12">
        <f>IF('Données projet'!$A$114&gt;35,BY82+BX83-CG82,IF(A83&lt;'Données projet'!$A$114,$BV$205^A83,IF(A83='Données projet'!$A$114,'Données projet'!$B$114,BY82+BX83-CG82)))</f>
        <v>253.361111111111</v>
      </c>
      <c r="BZ83" s="13">
        <f>BY83*VLOOKUP('Données projet'!$B$12,Paramètres!$A$1:$I$89,3,0)*VLOOKUP('Données projet'!$B$12,Paramètres!$A$1:$I$89,5,0)</f>
        <v>229.24113333333321</v>
      </c>
      <c r="CA83" s="13">
        <f t="shared" si="93"/>
        <v>56.118565268172851</v>
      </c>
      <c r="CB83" s="20">
        <f t="shared" si="64"/>
        <v>497.00147506428971</v>
      </c>
      <c r="CC83" s="59">
        <f t="shared" si="65"/>
        <v>790.33480839762296</v>
      </c>
      <c r="CD83" s="59">
        <f ca="1">AVERAGE(OFFSET($CC$3,0,0,'Données projet'!$E$12+1,1))-AVERAGE(OFFSET($H$3,0,0,'Données projet'!$E$12+1,1))</f>
        <v>350.91577977538822</v>
      </c>
      <c r="CE83" s="59">
        <f t="shared" si="94"/>
        <v>142.87103313412547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69.579682410445258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69.579682410445258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275</v>
      </c>
      <c r="CR83" s="12">
        <f>VLOOKUP(A83,'Données projet'!$A$139:$I$159,9,0)</f>
        <v>2.8</v>
      </c>
      <c r="CS83" s="12">
        <f t="array" ref="CS83">INDEX(CR:CR,MIN(IF(ISNUMBER(CR83:CR279),ROW(CR83:CR279),"")))</f>
        <v>2.8</v>
      </c>
      <c r="CT83" s="12">
        <f>IF('Données projet'!$A$140&gt;35,CT82+CS83-DB82,IF(A83&lt;'Données projet'!$A$140,$CQ$205^A83,IF(A83='Données projet'!$A$140,'Données projet'!$B$140,CT82+CS83-DB82)))</f>
        <v>274.99999999999983</v>
      </c>
      <c r="CU83" s="17">
        <f>CT83*VLOOKUP('Données projet'!$B$13,Paramètres!$A$1:$I$89,3,0)*VLOOKUP('Données projet'!$B$13,Paramètres!$A$1:$I$89,5,0)</f>
        <v>223.07999999999987</v>
      </c>
      <c r="CV83" s="13">
        <f t="shared" si="95"/>
        <v>54.783765878062617</v>
      </c>
      <c r="CW83" s="20">
        <f t="shared" si="67"/>
        <v>483.94605890429216</v>
      </c>
      <c r="CX83" s="59">
        <f t="shared" si="68"/>
        <v>777.27939223762542</v>
      </c>
      <c r="CY83" s="59">
        <f ca="1">AVERAGE(OFFSET($CX$3,0,0,'Données projet'!$E$13+1,1))-AVERAGE(OFFSET($H$3,0,0,'Données projet'!$E$13+1,1))</f>
        <v>230.38929580146208</v>
      </c>
      <c r="CZ83" s="59">
        <f t="shared" si="96"/>
        <v>227.1847788696258</v>
      </c>
      <c r="DA83" s="15">
        <f>IF(ISNA(VLOOKUP(A83,'Données projet'!$A$139:$I$159,3,0)),0,VLOOKUP(A83,'Données projet'!$A$139:$I$159,3,0))</f>
        <v>14</v>
      </c>
      <c r="DB83" s="15">
        <f>IF(ISNA(VLOOKUP(A83,'Données projet'!$A$139:$I$159,4,0)),0,VLOOKUP(A83,'Données projet'!$A$139:$I$159,4,0))</f>
        <v>8</v>
      </c>
      <c r="DC83" s="16">
        <f>IF(ISNA(VLOOKUP(A83,'Données projet'!$A$139:$I$159,5,0)),0%,VLOOKUP(A83,'Données projet'!$A$139:$I$159,5,0)*VLOOKUP('Données projet'!$B$13,Paramètres!$A$1:$I$89,7,0))</f>
        <v>0.53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44.237498017611948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44.237498017611948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231.06</v>
      </c>
      <c r="DM83" s="12">
        <f>VLOOKUP(A83,'Données projet'!$A$165:$I$185,9,0)</f>
        <v>6.3200000000000047</v>
      </c>
      <c r="DN83" s="12">
        <f t="array" ref="DN83">INDEX(DM:DM,MIN(IF(ISNUMBER(DM83:DM279),ROW(DM83:DM279),"")))</f>
        <v>6.3200000000000047</v>
      </c>
      <c r="DO83" s="12">
        <f>IF('Données projet'!$A$166&gt;35,DO82+DN83-DW82,IF(A83&lt;'Données projet'!$A$166,$DL$205^A83,IF(A83='Données projet'!$A$166,'Données projet'!$B$166,DO82+DN83-DW82)))</f>
        <v>231.05999999999989</v>
      </c>
      <c r="DP83" s="17">
        <f>DO83*VLOOKUP('Données projet'!$B$14,Paramètres!$A$1:$I$89,3,0)*VLOOKUP('Données projet'!$B$14,Paramètres!$A$1:$I$89,5,0)</f>
        <v>138.17387999999994</v>
      </c>
      <c r="DQ83" s="13">
        <f t="shared" si="97"/>
        <v>35.878347914776988</v>
      </c>
      <c r="DR83" s="20">
        <f t="shared" si="70"/>
        <v>303.14096361823647</v>
      </c>
      <c r="DS83" s="59">
        <f t="shared" si="71"/>
        <v>596.47429695156984</v>
      </c>
      <c r="DT83" s="59">
        <f ca="1">AVERAGE(OFFSET($DS$3,0,0,'Données projet'!$E$14+1,1))-AVERAGE(OFFSET($H$3,0,0,'Données projet'!$E$14+1,1))</f>
        <v>145.97103392561058</v>
      </c>
      <c r="DU83" s="59">
        <f t="shared" si="98"/>
        <v>62.920713953681172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54.700338784554816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54.700338784554816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0.8600000000003547</v>
      </c>
      <c r="O84" s="13">
        <f>N84*VLOOKUP('Données projet'!$B$9,Paramètres!$A$1:$I$89,3,0)*VLOOKUP('Données projet'!$B$9,Paramètres!$A$1:$I$89,5,0)</f>
        <v>0.48074000000019829</v>
      </c>
      <c r="P84" s="13">
        <f t="shared" si="87"/>
        <v>0.24126147010950588</v>
      </c>
      <c r="Q84" s="20">
        <f t="shared" si="54"/>
        <v>1.2574858937744013</v>
      </c>
      <c r="R84" s="59">
        <f t="shared" si="55"/>
        <v>294.59081922710772</v>
      </c>
      <c r="S84" s="59">
        <f ca="1">AVERAGE(OFFSET($R$3,0,0,'Données projet'!$E$9+1,1))-AVERAGE(OFFSET($H$3,0,0,'Données projet'!$E$9+1,1))</f>
        <v>350.01600895263641</v>
      </c>
      <c r="T84" s="59">
        <f t="shared" si="88"/>
        <v>464.08921044376882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222.164789162641</v>
      </c>
      <c r="AA84" s="21">
        <f>EXP(-LN(2)/25)*AA83+(1-EXP(-LN(2)/25))/(LN(2)/25)*Calculateur!V84*Calculateur!X84*VLOOKUP('Données projet'!$B$9,Paramètres!$A$1:$I$89,3,0)*0.475*44/12</f>
        <v>12.297099365114763</v>
      </c>
      <c r="AB84" s="21">
        <f>EXP(-LN(2)/2)*AB83+(1-EXP(-LN(2)/2))/(LN(2)/2)*V84*Y84*VLOOKUP('Données projet'!$B$9,Paramètres!$A$1:$I$89,3,0)*0.475*44/12</f>
        <v>1.5592659224255453E-8</v>
      </c>
      <c r="AC84" s="22">
        <f t="shared" si="57"/>
        <v>234.46188854334844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3.2</v>
      </c>
      <c r="AI84" s="13">
        <f>IF('Données projet'!$A$62&gt;35,AI83+AH84-AQ83,IF(A84&lt;'Données projet'!$A$62,$AF$205^A84,IF(A84='Données projet'!$A$62,'Données projet'!$B$62,AI83+AH84-AQ83)))</f>
        <v>217.19999999999993</v>
      </c>
      <c r="AJ84" s="13">
        <f>AI84*VLOOKUP('Données projet'!$B$10,Paramètres!$A$1:$I$89,3,0)*VLOOKUP('Données projet'!$B$10,Paramètres!$A$1:$I$89,5,0)</f>
        <v>189.74591999999998</v>
      </c>
      <c r="AK84" s="13">
        <f t="shared" si="89"/>
        <v>47.483774996623204</v>
      </c>
      <c r="AL84" s="20">
        <f t="shared" si="58"/>
        <v>413.17505211911867</v>
      </c>
      <c r="AM84" s="59">
        <f t="shared" si="59"/>
        <v>706.50838545245199</v>
      </c>
      <c r="AN84" s="59">
        <f ca="1">AVERAGE(OFFSET($AM$3,0,0,'Données projet'!$E$10+1,1))-AVERAGE(OFFSET($H$3,0,0,'Données projet'!$E$10+1,1))</f>
        <v>242.48830542479988</v>
      </c>
      <c r="AO84" s="59">
        <f t="shared" si="90"/>
        <v>226.11219631227061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48.281911972164032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48.281911972164032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7.6022222222222204</v>
      </c>
      <c r="BD84" s="12">
        <f>IF('Données projet'!$A$88&gt;35,BD83+BC84-BL83,IF(A84&lt;'Données projet'!$A$88,$BA$205^A84,IF(A84='Données projet'!$A$88,'Données projet'!$B$88,BD83+BC84-BL83)))</f>
        <v>260.9633333333332</v>
      </c>
      <c r="BE84" s="13">
        <f>BD84*VLOOKUP('Données projet'!$B$11,Paramètres!$A$1:$I$89,3,0)*VLOOKUP('Données projet'!$B$11,Paramètres!$A$1:$I$89,5,0)</f>
        <v>264.6168199999999</v>
      </c>
      <c r="BF84" s="13">
        <f t="shared" si="91"/>
        <v>63.705487022865903</v>
      </c>
      <c r="BG84" s="20">
        <f t="shared" si="61"/>
        <v>571.82801806482451</v>
      </c>
      <c r="BH84" s="59">
        <f t="shared" si="62"/>
        <v>865.16135139815788</v>
      </c>
      <c r="BI84" s="59">
        <f ca="1">AVERAGE(OFFSET($BH$3,0,0,'Données projet'!$E$11+1,1))-AVERAGE(OFFSET($H$3,0,0,'Données projet'!$E$11+1,1))</f>
        <v>402.5435069258703</v>
      </c>
      <c r="BJ84" s="59">
        <f t="shared" si="92"/>
        <v>163.60655195816349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76.448144363042942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76.448144363042942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7.6022222222222204</v>
      </c>
      <c r="BY84" s="12">
        <f>IF('Données projet'!$A$114&gt;35,BY83+BX84-CG83,IF(A84&lt;'Données projet'!$A$114,$BV$205^A84,IF(A84='Données projet'!$A$114,'Données projet'!$B$114,BY83+BX84-CG83)))</f>
        <v>260.9633333333332</v>
      </c>
      <c r="BZ84" s="13">
        <f>BY84*VLOOKUP('Données projet'!$B$12,Paramètres!$A$1:$I$89,3,0)*VLOOKUP('Données projet'!$B$12,Paramètres!$A$1:$I$89,5,0)</f>
        <v>236.11962399999987</v>
      </c>
      <c r="CA84" s="13">
        <f t="shared" si="93"/>
        <v>57.60385829887543</v>
      </c>
      <c r="CB84" s="20">
        <f t="shared" si="64"/>
        <v>511.56839833720784</v>
      </c>
      <c r="CC84" s="59">
        <f t="shared" si="65"/>
        <v>804.90173167054115</v>
      </c>
      <c r="CD84" s="59">
        <f ca="1">AVERAGE(OFFSET($CC$3,0,0,'Données projet'!$E$12+1,1))-AVERAGE(OFFSET($H$3,0,0,'Données projet'!$E$12+1,1))</f>
        <v>350.91577977538822</v>
      </c>
      <c r="CE84" s="59">
        <f t="shared" si="94"/>
        <v>142.87103313412547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68.215267277792151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68.215267277792151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266.99999999999983</v>
      </c>
      <c r="CU84" s="17">
        <f>CT84*VLOOKUP('Données projet'!$B$13,Paramètres!$A$1:$I$89,3,0)*VLOOKUP('Données projet'!$B$13,Paramètres!$A$1:$I$89,5,0)</f>
        <v>216.59039999999987</v>
      </c>
      <c r="CV84" s="13">
        <f t="shared" si="95"/>
        <v>53.373153688190904</v>
      </c>
      <c r="CW84" s="20">
        <f t="shared" si="67"/>
        <v>470.18652267359886</v>
      </c>
      <c r="CX84" s="59">
        <f t="shared" si="68"/>
        <v>763.51985600693217</v>
      </c>
      <c r="CY84" s="59">
        <f ca="1">AVERAGE(OFFSET($CX$3,0,0,'Données projet'!$E$13+1,1))-AVERAGE(OFFSET($H$3,0,0,'Données projet'!$E$13+1,1))</f>
        <v>230.38929580146208</v>
      </c>
      <c r="CZ84" s="59">
        <f t="shared" si="96"/>
        <v>227.1847788696258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43.370027663696099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43.370027663696099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6.2240000000000011</v>
      </c>
      <c r="DO84" s="12">
        <f>IF('Données projet'!$A$166&gt;35,DO83+DN84-DW83,IF(A84&lt;'Données projet'!$A$166,$DL$205^A84,IF(A84='Données projet'!$A$166,'Données projet'!$B$166,DO83+DN84-DW83)))</f>
        <v>237.28399999999988</v>
      </c>
      <c r="DP84" s="17">
        <f>DO84*VLOOKUP('Données projet'!$B$14,Paramètres!$A$1:$I$89,3,0)*VLOOKUP('Données projet'!$B$14,Paramètres!$A$1:$I$89,5,0)</f>
        <v>141.89583199999996</v>
      </c>
      <c r="DQ84" s="13">
        <f t="shared" si="97"/>
        <v>36.730973407565884</v>
      </c>
      <c r="DR84" s="20">
        <f t="shared" si="70"/>
        <v>311.10835275151049</v>
      </c>
      <c r="DS84" s="59">
        <f t="shared" si="71"/>
        <v>604.44168608484381</v>
      </c>
      <c r="DT84" s="59">
        <f ca="1">AVERAGE(OFFSET($DS$3,0,0,'Données projet'!$E$14+1,1))-AVERAGE(OFFSET($H$3,0,0,'Données projet'!$E$14+1,1))</f>
        <v>145.97103392561058</v>
      </c>
      <c r="DU84" s="59">
        <f t="shared" si="98"/>
        <v>62.920713953681172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53.627698504901943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53.627698504901943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0.8600000000003547</v>
      </c>
      <c r="O85" s="13">
        <f>N85*VLOOKUP('Données projet'!$B$9,Paramètres!$A$1:$I$89,3,0)*VLOOKUP('Données projet'!$B$9,Paramètres!$A$1:$I$89,5,0)</f>
        <v>0.48074000000019829</v>
      </c>
      <c r="P85" s="13">
        <f t="shared" si="87"/>
        <v>0.24126147010950588</v>
      </c>
      <c r="Q85" s="20">
        <f t="shared" si="54"/>
        <v>1.2574858937744013</v>
      </c>
      <c r="R85" s="59">
        <f t="shared" si="55"/>
        <v>294.59081922710772</v>
      </c>
      <c r="S85" s="59">
        <f ca="1">AVERAGE(OFFSET($R$3,0,0,'Données projet'!$E$9+1,1))-AVERAGE(OFFSET($H$3,0,0,'Données projet'!$E$9+1,1))</f>
        <v>350.01600895263641</v>
      </c>
      <c r="T85" s="59">
        <f t="shared" si="88"/>
        <v>464.08921044376882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217.80827315430278</v>
      </c>
      <c r="AA85" s="21">
        <f>EXP(-LN(2)/25)*AA84+(1-EXP(-LN(2)/25))/(LN(2)/25)*Calculateur!V85*Calculateur!X85*VLOOKUP('Données projet'!$B$9,Paramètres!$A$1:$I$89,3,0)*0.475*44/12</f>
        <v>11.96083453629935</v>
      </c>
      <c r="AB85" s="21">
        <f>EXP(-LN(2)/2)*AB84+(1-EXP(-LN(2)/2))/(LN(2)/2)*V85*Y85*VLOOKUP('Données projet'!$B$9,Paramètres!$A$1:$I$89,3,0)*0.475*44/12</f>
        <v>1.1025675074202003E-8</v>
      </c>
      <c r="AC85" s="22">
        <f t="shared" si="57"/>
        <v>229.7691077016278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3.2</v>
      </c>
      <c r="AI85" s="13">
        <f>IF('Données projet'!$A$62&gt;35,AI84+AH85-AQ84,IF(A85&lt;'Données projet'!$A$62,$AF$205^A85,IF(A85='Données projet'!$A$62,'Données projet'!$B$62,AI84+AH85-AQ84)))</f>
        <v>220.39999999999992</v>
      </c>
      <c r="AJ85" s="13">
        <f>AI85*VLOOKUP('Données projet'!$B$10,Paramètres!$A$1:$I$89,3,0)*VLOOKUP('Données projet'!$B$10,Paramètres!$A$1:$I$89,5,0)</f>
        <v>192.54143999999994</v>
      </c>
      <c r="AK85" s="13">
        <f t="shared" si="89"/>
        <v>48.101393902059698</v>
      </c>
      <c r="AL85" s="20">
        <f t="shared" si="58"/>
        <v>419.11960237942054</v>
      </c>
      <c r="AM85" s="59">
        <f t="shared" si="59"/>
        <v>712.45293571275386</v>
      </c>
      <c r="AN85" s="59">
        <f ca="1">AVERAGE(OFFSET($AM$3,0,0,'Données projet'!$E$10+1,1))-AVERAGE(OFFSET($H$3,0,0,'Données projet'!$E$10+1,1))</f>
        <v>242.48830542479988</v>
      </c>
      <c r="AO85" s="59">
        <f t="shared" si="90"/>
        <v>226.11219631227061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47.335133127448344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47.335133127448344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7.6022222222222204</v>
      </c>
      <c r="BD85" s="12">
        <f>IF('Données projet'!$A$88&gt;35,BD84+BC85-BL84,IF(A85&lt;'Données projet'!$A$88,$BA$205^A85,IF(A85='Données projet'!$A$88,'Données projet'!$B$88,BD84+BC85-BL84)))</f>
        <v>268.56555555555542</v>
      </c>
      <c r="BE85" s="13">
        <f>BD85*VLOOKUP('Données projet'!$B$11,Paramètres!$A$1:$I$89,3,0)*VLOOKUP('Données projet'!$B$11,Paramètres!$A$1:$I$89,5,0)</f>
        <v>272.32547333333321</v>
      </c>
      <c r="BF85" s="13">
        <f t="shared" si="91"/>
        <v>65.342546821300431</v>
      </c>
      <c r="BG85" s="20">
        <f t="shared" si="61"/>
        <v>588.10513510265343</v>
      </c>
      <c r="BH85" s="59">
        <f t="shared" si="62"/>
        <v>881.43846843598681</v>
      </c>
      <c r="BI85" s="59">
        <f ca="1">AVERAGE(OFFSET($BH$3,0,0,'Données projet'!$E$11+1,1))-AVERAGE(OFFSET($H$3,0,0,'Données projet'!$E$11+1,1))</f>
        <v>402.5435069258703</v>
      </c>
      <c r="BJ85" s="59">
        <f t="shared" si="92"/>
        <v>163.60655195816349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74.949042880847529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74.949042880847529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7.6022222222222204</v>
      </c>
      <c r="BY85" s="12">
        <f>IF('Données projet'!$A$114&gt;35,BY84+BX85-CG84,IF(A85&lt;'Données projet'!$A$114,$BV$205^A85,IF(A85='Données projet'!$A$114,'Données projet'!$B$114,BY84+BX85-CG84)))</f>
        <v>268.56555555555542</v>
      </c>
      <c r="BZ85" s="13">
        <f>BY85*VLOOKUP('Données projet'!$B$12,Paramètres!$A$1:$I$89,3,0)*VLOOKUP('Données projet'!$B$12,Paramètres!$A$1:$I$89,5,0)</f>
        <v>242.99811466666654</v>
      </c>
      <c r="CA85" s="13">
        <f t="shared" si="93"/>
        <v>59.084122638145885</v>
      </c>
      <c r="CB85" s="20">
        <f t="shared" si="64"/>
        <v>526.12656330588163</v>
      </c>
      <c r="CC85" s="59">
        <f t="shared" si="65"/>
        <v>819.459896639215</v>
      </c>
      <c r="CD85" s="59">
        <f ca="1">AVERAGE(OFFSET($CC$3,0,0,'Données projet'!$E$12+1,1))-AVERAGE(OFFSET($H$3,0,0,'Données projet'!$E$12+1,1))</f>
        <v>350.91577977538822</v>
      </c>
      <c r="CE85" s="59">
        <f t="shared" si="94"/>
        <v>142.87103313412547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66.877607493679321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66.877607493679321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266.99999999999983</v>
      </c>
      <c r="CU85" s="17">
        <f>CT85*VLOOKUP('Données projet'!$B$13,Paramètres!$A$1:$I$89,3,0)*VLOOKUP('Données projet'!$B$13,Paramètres!$A$1:$I$89,5,0)</f>
        <v>216.59039999999987</v>
      </c>
      <c r="CV85" s="13">
        <f t="shared" si="95"/>
        <v>53.373153688190904</v>
      </c>
      <c r="CW85" s="20">
        <f t="shared" si="67"/>
        <v>470.18652267359886</v>
      </c>
      <c r="CX85" s="59">
        <f t="shared" si="68"/>
        <v>763.51985600693217</v>
      </c>
      <c r="CY85" s="59">
        <f ca="1">AVERAGE(OFFSET($CX$3,0,0,'Données projet'!$E$13+1,1))-AVERAGE(OFFSET($H$3,0,0,'Données projet'!$E$13+1,1))</f>
        <v>230.38929580146208</v>
      </c>
      <c r="CZ85" s="59">
        <f t="shared" si="96"/>
        <v>227.1847788696258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42.519567874315868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42.519567874315868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6.2240000000000011</v>
      </c>
      <c r="DO85" s="12">
        <f>IF('Données projet'!$A$166&gt;35,DO84+DN85-DW84,IF(A85&lt;'Données projet'!$A$166,$DL$205^A85,IF(A85='Données projet'!$A$166,'Données projet'!$B$166,DO84+DN85-DW84)))</f>
        <v>243.50799999999987</v>
      </c>
      <c r="DP85" s="17">
        <f>DO85*VLOOKUP('Données projet'!$B$14,Paramètres!$A$1:$I$89,3,0)*VLOOKUP('Données projet'!$B$14,Paramètres!$A$1:$I$89,5,0)</f>
        <v>145.61778399999994</v>
      </c>
      <c r="DQ85" s="13">
        <f t="shared" si="97"/>
        <v>37.580999326082619</v>
      </c>
      <c r="DR85" s="20">
        <f t="shared" si="70"/>
        <v>319.0712142929271</v>
      </c>
      <c r="DS85" s="59">
        <f t="shared" si="71"/>
        <v>612.40454762626041</v>
      </c>
      <c r="DT85" s="59">
        <f ca="1">AVERAGE(OFFSET($DS$3,0,0,'Données projet'!$E$14+1,1))-AVERAGE(OFFSET($H$3,0,0,'Données projet'!$E$14+1,1))</f>
        <v>145.97103392561058</v>
      </c>
      <c r="DU85" s="59">
        <f t="shared" si="98"/>
        <v>62.920713953681172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52.576092046887091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52.576092046887091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0.8600000000003547</v>
      </c>
      <c r="O86" s="13">
        <f>N86*VLOOKUP('Données projet'!$B$9,Paramètres!$A$1:$I$89,3,0)*VLOOKUP('Données projet'!$B$9,Paramètres!$A$1:$I$89,5,0)</f>
        <v>0.48074000000019829</v>
      </c>
      <c r="P86" s="13">
        <f t="shared" si="87"/>
        <v>0.24126147010950588</v>
      </c>
      <c r="Q86" s="20">
        <f t="shared" si="54"/>
        <v>1.2574858937744013</v>
      </c>
      <c r="R86" s="59">
        <f t="shared" si="55"/>
        <v>294.59081922710772</v>
      </c>
      <c r="S86" s="59">
        <f ca="1">AVERAGE(OFFSET($R$3,0,0,'Données projet'!$E$9+1,1))-AVERAGE(OFFSET($H$3,0,0,'Données projet'!$E$9+1,1))</f>
        <v>350.01600895263641</v>
      </c>
      <c r="T86" s="59">
        <f t="shared" si="88"/>
        <v>464.08921044376882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213.53718576767568</v>
      </c>
      <c r="AA86" s="21">
        <f>EXP(-LN(2)/25)*AA85+(1-EXP(-LN(2)/25))/(LN(2)/25)*Calculateur!V86*Calculateur!X86*VLOOKUP('Données projet'!$B$9,Paramètres!$A$1:$I$89,3,0)*0.475*44/12</f>
        <v>11.633764886911292</v>
      </c>
      <c r="AB86" s="21">
        <f>EXP(-LN(2)/2)*AB85+(1-EXP(-LN(2)/2))/(LN(2)/2)*V86*Y86*VLOOKUP('Données projet'!$B$9,Paramètres!$A$1:$I$89,3,0)*0.475*44/12</f>
        <v>7.7963296121277267E-9</v>
      </c>
      <c r="AC86" s="22">
        <f t="shared" si="57"/>
        <v>225.17095066238329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3.2</v>
      </c>
      <c r="AI86" s="13">
        <f>IF('Données projet'!$A$62&gt;35,AI85+AH86-AQ85,IF(A86&lt;'Données projet'!$A$62,$AF$205^A86,IF(A86='Données projet'!$A$62,'Données projet'!$B$62,AI85+AH86-AQ85)))</f>
        <v>223.59999999999991</v>
      </c>
      <c r="AJ86" s="13">
        <f>AI86*VLOOKUP('Données projet'!$B$10,Paramètres!$A$1:$I$89,3,0)*VLOOKUP('Données projet'!$B$10,Paramètres!$A$1:$I$89,5,0)</f>
        <v>195.33695999999995</v>
      </c>
      <c r="AK86" s="13">
        <f t="shared" si="89"/>
        <v>48.717969863105445</v>
      </c>
      <c r="AL86" s="20">
        <f t="shared" si="58"/>
        <v>425.06233617824188</v>
      </c>
      <c r="AM86" s="59">
        <f t="shared" si="59"/>
        <v>718.39566951157519</v>
      </c>
      <c r="AN86" s="59">
        <f ca="1">AVERAGE(OFFSET($AM$3,0,0,'Données projet'!$E$10+1,1))-AVERAGE(OFFSET($H$3,0,0,'Données projet'!$E$10+1,1))</f>
        <v>242.48830542479988</v>
      </c>
      <c r="AO86" s="59">
        <f t="shared" si="90"/>
        <v>226.11219631227061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46.406920038399456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46.406920038399456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7.6022222222222204</v>
      </c>
      <c r="BD86" s="12">
        <f>IF('Données projet'!$A$88&gt;35,BD85+BC86-BL85,IF(A86&lt;'Données projet'!$A$88,$BA$205^A86,IF(A86='Données projet'!$A$88,'Données projet'!$B$88,BD85+BC86-BL85)))</f>
        <v>276.16777777777764</v>
      </c>
      <c r="BE86" s="13">
        <f>BD86*VLOOKUP('Données projet'!$B$11,Paramètres!$A$1:$I$89,3,0)*VLOOKUP('Données projet'!$B$11,Paramètres!$A$1:$I$89,5,0)</f>
        <v>280.03412666666657</v>
      </c>
      <c r="BF86" s="13">
        <f t="shared" si="91"/>
        <v>66.974220775644753</v>
      </c>
      <c r="BG86" s="20">
        <f t="shared" si="61"/>
        <v>604.37287179535883</v>
      </c>
      <c r="BH86" s="59">
        <f t="shared" si="62"/>
        <v>897.70620512869209</v>
      </c>
      <c r="BI86" s="59">
        <f ca="1">AVERAGE(OFFSET($BH$3,0,0,'Données projet'!$E$11+1,1))-AVERAGE(OFFSET($H$3,0,0,'Données projet'!$E$11+1,1))</f>
        <v>402.5435069258703</v>
      </c>
      <c r="BJ86" s="59">
        <f t="shared" si="92"/>
        <v>163.60655195816349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73.479337864356339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73.479337864356339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7.6022222222222204</v>
      </c>
      <c r="BY86" s="12">
        <f>IF('Données projet'!$A$114&gt;35,BY85+BX86-CG85,IF(A86&lt;'Données projet'!$A$114,$BV$205^A86,IF(A86='Données projet'!$A$114,'Données projet'!$B$114,BY85+BX86-CG85)))</f>
        <v>276.16777777777764</v>
      </c>
      <c r="BZ86" s="13">
        <f>BY86*VLOOKUP('Données projet'!$B$12,Paramètres!$A$1:$I$89,3,0)*VLOOKUP('Données projet'!$B$12,Paramètres!$A$1:$I$89,5,0)</f>
        <v>249.87660533333317</v>
      </c>
      <c r="CA86" s="13">
        <f t="shared" si="93"/>
        <v>60.559516982471088</v>
      </c>
      <c r="CB86" s="20">
        <f t="shared" si="64"/>
        <v>540.67624636669234</v>
      </c>
      <c r="CC86" s="59">
        <f t="shared" si="65"/>
        <v>834.0095797000256</v>
      </c>
      <c r="CD86" s="59">
        <f ca="1">AVERAGE(OFFSET($CC$3,0,0,'Données projet'!$E$12+1,1))-AVERAGE(OFFSET($H$3,0,0,'Données projet'!$E$12+1,1))</f>
        <v>350.91577977538822</v>
      </c>
      <c r="CE86" s="59">
        <f t="shared" si="94"/>
        <v>142.87103313412547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65.566178402041032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65.566178402041032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266.99999999999983</v>
      </c>
      <c r="CU86" s="17">
        <f>CT86*VLOOKUP('Données projet'!$B$13,Paramètres!$A$1:$I$89,3,0)*VLOOKUP('Données projet'!$B$13,Paramètres!$A$1:$I$89,5,0)</f>
        <v>216.59039999999987</v>
      </c>
      <c r="CV86" s="13">
        <f t="shared" si="95"/>
        <v>53.373153688190904</v>
      </c>
      <c r="CW86" s="20">
        <f t="shared" si="67"/>
        <v>470.18652267359886</v>
      </c>
      <c r="CX86" s="59">
        <f t="shared" si="68"/>
        <v>763.51985600693217</v>
      </c>
      <c r="CY86" s="59">
        <f ca="1">AVERAGE(OFFSET($CX$3,0,0,'Données projet'!$E$13+1,1))-AVERAGE(OFFSET($H$3,0,0,'Données projet'!$E$13+1,1))</f>
        <v>230.38929580146208</v>
      </c>
      <c r="CZ86" s="59">
        <f t="shared" si="96"/>
        <v>227.1847788696258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41.685785082676134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41.685785082676134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6.2240000000000011</v>
      </c>
      <c r="DO86" s="12">
        <f>IF('Données projet'!$A$166&gt;35,DO85+DN86-DW85,IF(A86&lt;'Données projet'!$A$166,$DL$205^A86,IF(A86='Données projet'!$A$166,'Données projet'!$B$166,DO85+DN86-DW85)))</f>
        <v>249.73199999999986</v>
      </c>
      <c r="DP86" s="17">
        <f>DO86*VLOOKUP('Données projet'!$B$14,Paramètres!$A$1:$I$89,3,0)*VLOOKUP('Données projet'!$B$14,Paramètres!$A$1:$I$89,5,0)</f>
        <v>149.33973599999993</v>
      </c>
      <c r="DQ86" s="13">
        <f t="shared" si="97"/>
        <v>38.428499754975164</v>
      </c>
      <c r="DR86" s="20">
        <f t="shared" si="70"/>
        <v>327.02967727324824</v>
      </c>
      <c r="DS86" s="59">
        <f t="shared" si="71"/>
        <v>620.36301060658161</v>
      </c>
      <c r="DT86" s="59">
        <f ca="1">AVERAGE(OFFSET($DS$3,0,0,'Données projet'!$E$14+1,1))-AVERAGE(OFFSET($H$3,0,0,'Données projet'!$E$14+1,1))</f>
        <v>145.97103392561058</v>
      </c>
      <c r="DU86" s="59">
        <f t="shared" si="98"/>
        <v>62.920713953681172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51.545106950097306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51.545106950097306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0.8600000000003547</v>
      </c>
      <c r="O87" s="13">
        <f>N87*VLOOKUP('Données projet'!$B$9,Paramètres!$A$1:$I$89,3,0)*VLOOKUP('Données projet'!$B$9,Paramètres!$A$1:$I$89,5,0)</f>
        <v>0.48074000000019829</v>
      </c>
      <c r="P87" s="13">
        <f t="shared" si="87"/>
        <v>0.24126147010950588</v>
      </c>
      <c r="Q87" s="20">
        <f t="shared" si="54"/>
        <v>1.2574858937744013</v>
      </c>
      <c r="R87" s="59">
        <f t="shared" si="55"/>
        <v>294.59081922710772</v>
      </c>
      <c r="S87" s="59">
        <f ca="1">AVERAGE(OFFSET($R$3,0,0,'Données projet'!$E$9+1,1))-AVERAGE(OFFSET($H$3,0,0,'Données projet'!$E$9+1,1))</f>
        <v>350.01600895263641</v>
      </c>
      <c r="T87" s="59">
        <f t="shared" si="88"/>
        <v>464.08921044376882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209.34985179959426</v>
      </c>
      <c r="AA87" s="21">
        <f>EXP(-LN(2)/25)*AA86+(1-EXP(-LN(2)/25))/(LN(2)/25)*Calculateur!V87*Calculateur!X87*VLOOKUP('Données projet'!$B$9,Paramètres!$A$1:$I$89,3,0)*0.475*44/12</f>
        <v>11.315638974285596</v>
      </c>
      <c r="AB87" s="21">
        <f>EXP(-LN(2)/2)*AB86+(1-EXP(-LN(2)/2))/(LN(2)/2)*V87*Y87*VLOOKUP('Données projet'!$B$9,Paramètres!$A$1:$I$89,3,0)*0.475*44/12</f>
        <v>5.5128375371010016E-9</v>
      </c>
      <c r="AC87" s="22">
        <f t="shared" si="57"/>
        <v>220.66549077939271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3.2</v>
      </c>
      <c r="AI87" s="13">
        <f>IF('Données projet'!$A$62&gt;35,AI86+AH87-AQ86,IF(A87&lt;'Données projet'!$A$62,$AF$205^A87,IF(A87='Données projet'!$A$62,'Données projet'!$B$62,AI86+AH87-AQ86)))</f>
        <v>226.7999999999999</v>
      </c>
      <c r="AJ87" s="13">
        <f>AI87*VLOOKUP('Données projet'!$B$10,Paramètres!$A$1:$I$89,3,0)*VLOOKUP('Données projet'!$B$10,Paramètres!$A$1:$I$89,5,0)</f>
        <v>198.13247999999993</v>
      </c>
      <c r="AK87" s="13">
        <f t="shared" si="89"/>
        <v>49.333519530262095</v>
      </c>
      <c r="AL87" s="20">
        <f t="shared" si="58"/>
        <v>431.00328251520631</v>
      </c>
      <c r="AM87" s="59">
        <f t="shared" si="59"/>
        <v>724.33661584853962</v>
      </c>
      <c r="AN87" s="59">
        <f ca="1">AVERAGE(OFFSET($AM$3,0,0,'Données projet'!$E$10+1,1))-AVERAGE(OFFSET($H$3,0,0,'Données projet'!$E$10+1,1))</f>
        <v>242.48830542479988</v>
      </c>
      <c r="AO87" s="59">
        <f t="shared" si="90"/>
        <v>226.11219631227061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45.496908641872736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45.496908641872736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283.77</v>
      </c>
      <c r="BB87" s="12">
        <f>VLOOKUP(A87,'Données projet'!$A$87:$I$107,9,0)</f>
        <v>7.6022222222222204</v>
      </c>
      <c r="BC87" s="12">
        <f t="array" ref="BC87">INDEX(BB:BB,MIN(IF(ISNUMBER(BB87:BB283),ROW(BB87:BB283),"")))</f>
        <v>7.6022222222222204</v>
      </c>
      <c r="BD87" s="12">
        <f>IF('Données projet'!$A$88&gt;35,BD86+BC87-BL86,IF(A87&lt;'Données projet'!$A$88,$BA$205^A87,IF(A87='Données projet'!$A$88,'Données projet'!$B$88,BD86+BC87-BL86)))</f>
        <v>283.76999999999987</v>
      </c>
      <c r="BE87" s="13">
        <f>BD87*VLOOKUP('Données projet'!$B$11,Paramètres!$A$1:$I$89,3,0)*VLOOKUP('Données projet'!$B$11,Paramètres!$A$1:$I$89,5,0)</f>
        <v>287.74277999999987</v>
      </c>
      <c r="BF87" s="13">
        <f t="shared" si="91"/>
        <v>68.6006741797394</v>
      </c>
      <c r="BG87" s="20">
        <f t="shared" si="61"/>
        <v>620.63151602971266</v>
      </c>
      <c r="BH87" s="59">
        <f t="shared" si="62"/>
        <v>913.96484936304591</v>
      </c>
      <c r="BI87" s="59">
        <f ca="1">AVERAGE(OFFSET($BH$3,0,0,'Données projet'!$E$11+1,1))-AVERAGE(OFFSET($H$3,0,0,'Données projet'!$E$11+1,1))</f>
        <v>402.5435069258703</v>
      </c>
      <c r="BJ87" s="59">
        <f t="shared" si="92"/>
        <v>163.60655195816349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44.89</v>
      </c>
      <c r="BM87" s="16">
        <f>IF(ISNA(VLOOKUP(A87,'Données projet'!$A$87:$I$107,5,0)),0%,VLOOKUP(A87,'Données projet'!$A$87:$I$107,5,0)*VLOOKUP('Données projet'!$B$11,Paramètres!$A$1:$I$89,7,0))</f>
        <v>0.43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93.675755845147833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93.675755845147833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283.77</v>
      </c>
      <c r="BW87" s="12">
        <f>VLOOKUP(A87,'Données projet'!$A$113:$I$133,9,0)</f>
        <v>7.6022222222222204</v>
      </c>
      <c r="BX87" s="12">
        <f t="array" ref="BX87">INDEX(BW:BW,MIN(IF(ISNUMBER(BW87:BW283),ROW(BW87:BW283),"")))</f>
        <v>7.6022222222222204</v>
      </c>
      <c r="BY87" s="12">
        <f>IF('Données projet'!$A$114&gt;35,BY86+BX87-CG86,IF(A87&lt;'Données projet'!$A$114,$BV$205^A87,IF(A87='Données projet'!$A$114,'Données projet'!$B$114,BY86+BX87-CG86)))</f>
        <v>283.76999999999987</v>
      </c>
      <c r="BZ87" s="13">
        <f>BY87*VLOOKUP('Données projet'!$B$12,Paramètres!$A$1:$I$89,3,0)*VLOOKUP('Données projet'!$B$12,Paramètres!$A$1:$I$89,5,0)</f>
        <v>256.75509599999987</v>
      </c>
      <c r="CA87" s="13">
        <f t="shared" si="93"/>
        <v>62.030190794062293</v>
      </c>
      <c r="CB87" s="20">
        <f t="shared" si="64"/>
        <v>555.21770783299155</v>
      </c>
      <c r="CC87" s="59">
        <f t="shared" si="65"/>
        <v>848.55104116632492</v>
      </c>
      <c r="CD87" s="59">
        <f ca="1">AVERAGE(OFFSET($CC$3,0,0,'Données projet'!$E$12+1,1))-AVERAGE(OFFSET($H$3,0,0,'Données projet'!$E$12+1,1))</f>
        <v>350.91577977538822</v>
      </c>
      <c r="CE87" s="59">
        <f t="shared" si="94"/>
        <v>142.87103313412547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44.89</v>
      </c>
      <c r="CH87" s="16">
        <f>IF(ISNA(VLOOKUP(A87,'Données projet'!$A$113:$I$133,5,0)),0%,VLOOKUP(A87,'Données projet'!$A$113:$I$133,5,0)*VLOOKUP('Données projet'!$B$12,Paramètres!$A$1:$I$89,7,0))</f>
        <v>0.43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83.587597523362675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83.587597523362675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266.99999999999983</v>
      </c>
      <c r="CU87" s="17">
        <f>CT87*VLOOKUP('Données projet'!$B$13,Paramètres!$A$1:$I$89,3,0)*VLOOKUP('Données projet'!$B$13,Paramètres!$A$1:$I$89,5,0)</f>
        <v>216.59039999999987</v>
      </c>
      <c r="CV87" s="13">
        <f t="shared" si="95"/>
        <v>53.373153688190904</v>
      </c>
      <c r="CW87" s="20">
        <f t="shared" si="67"/>
        <v>470.18652267359886</v>
      </c>
      <c r="CX87" s="59">
        <f t="shared" si="68"/>
        <v>763.51985600693217</v>
      </c>
      <c r="CY87" s="59">
        <f ca="1">AVERAGE(OFFSET($CX$3,0,0,'Données projet'!$E$13+1,1))-AVERAGE(OFFSET($H$3,0,0,'Données projet'!$E$13+1,1))</f>
        <v>230.38929580146208</v>
      </c>
      <c r="CZ87" s="59">
        <f t="shared" si="96"/>
        <v>227.1847788696258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40.868352263023162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40.868352263023162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6.2240000000000011</v>
      </c>
      <c r="DO87" s="12">
        <f>IF('Données projet'!$A$166&gt;35,DO86+DN87-DW86,IF(A87&lt;'Données projet'!$A$166,$DL$205^A87,IF(A87='Données projet'!$A$166,'Données projet'!$B$166,DO86+DN87-DW86)))</f>
        <v>255.95599999999985</v>
      </c>
      <c r="DP87" s="17">
        <f>DO87*VLOOKUP('Données projet'!$B$14,Paramètres!$A$1:$I$89,3,0)*VLOOKUP('Données projet'!$B$14,Paramètres!$A$1:$I$89,5,0)</f>
        <v>153.06168799999992</v>
      </c>
      <c r="DQ87" s="13">
        <f t="shared" si="97"/>
        <v>39.273544875634713</v>
      </c>
      <c r="DR87" s="20">
        <f t="shared" si="70"/>
        <v>334.98386392506364</v>
      </c>
      <c r="DS87" s="59">
        <f t="shared" si="71"/>
        <v>628.31719725839696</v>
      </c>
      <c r="DT87" s="59">
        <f ca="1">AVERAGE(OFFSET($DS$3,0,0,'Données projet'!$E$14+1,1))-AVERAGE(OFFSET($H$3,0,0,'Données projet'!$E$14+1,1))</f>
        <v>145.97103392561058</v>
      </c>
      <c r="DU87" s="59">
        <f t="shared" si="98"/>
        <v>62.920713953681172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50.534338842216755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50.534338842216755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0.8600000000003547</v>
      </c>
      <c r="O88" s="13">
        <f>N88*VLOOKUP('Données projet'!$B$9,Paramètres!$A$1:$I$89,3,0)*VLOOKUP('Données projet'!$B$9,Paramètres!$A$1:$I$89,5,0)</f>
        <v>0.48074000000019829</v>
      </c>
      <c r="P88" s="13">
        <f t="shared" si="87"/>
        <v>0.24126147010950588</v>
      </c>
      <c r="Q88" s="20">
        <f t="shared" si="54"/>
        <v>1.2574858937744013</v>
      </c>
      <c r="R88" s="59">
        <f t="shared" si="55"/>
        <v>294.59081922710772</v>
      </c>
      <c r="S88" s="59">
        <f ca="1">AVERAGE(OFFSET($R$3,0,0,'Données projet'!$E$9+1,1))-AVERAGE(OFFSET($H$3,0,0,'Données projet'!$E$9+1,1))</f>
        <v>350.01600895263641</v>
      </c>
      <c r="T88" s="59">
        <f t="shared" si="88"/>
        <v>464.08921044376882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205.24462889660541</v>
      </c>
      <c r="AA88" s="21">
        <f>EXP(-LN(2)/25)*AA87+(1-EXP(-LN(2)/25))/(LN(2)/25)*Calculateur!V88*Calculateur!X88*VLOOKUP('Données projet'!$B$9,Paramètres!$A$1:$I$89,3,0)*0.475*44/12</f>
        <v>11.006212231470165</v>
      </c>
      <c r="AB88" s="21">
        <f>EXP(-LN(2)/2)*AB87+(1-EXP(-LN(2)/2))/(LN(2)/2)*V88*Y88*VLOOKUP('Données projet'!$B$9,Paramètres!$A$1:$I$89,3,0)*0.475*44/12</f>
        <v>3.8981648060638634E-9</v>
      </c>
      <c r="AC88" s="22">
        <f t="shared" si="57"/>
        <v>216.25084113197371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230</v>
      </c>
      <c r="AG88" s="12">
        <f>VLOOKUP(A88,'Données projet'!$A$61:$I$81,9,0)</f>
        <v>3.2</v>
      </c>
      <c r="AH88" s="12">
        <f t="array" ref="AH88">INDEX(AG:AG,MIN(IF(ISNUMBER(AG88:AG284),ROW(AG88:AG284),"")))</f>
        <v>3.2</v>
      </c>
      <c r="AI88" s="13">
        <f>IF('Données projet'!$A$62&gt;35,AI87+AH88-AQ87,IF(A88&lt;'Données projet'!$A$62,$AF$205^A88,IF(A88='Données projet'!$A$62,'Données projet'!$B$62,AI87+AH88-AQ87)))</f>
        <v>229.99999999999989</v>
      </c>
      <c r="AJ88" s="13">
        <f>AI88*VLOOKUP('Données projet'!$B$10,Paramètres!$A$1:$I$89,3,0)*VLOOKUP('Données projet'!$B$10,Paramètres!$A$1:$I$89,5,0)</f>
        <v>200.92799999999994</v>
      </c>
      <c r="AK88" s="13">
        <f t="shared" si="89"/>
        <v>49.948059057189042</v>
      </c>
      <c r="AL88" s="20">
        <f t="shared" si="58"/>
        <v>436.94246952460412</v>
      </c>
      <c r="AM88" s="59">
        <f t="shared" si="59"/>
        <v>730.27580285793738</v>
      </c>
      <c r="AN88" s="59">
        <f ca="1">AVERAGE(OFFSET($AM$3,0,0,'Données projet'!$E$10+1,1))-AVERAGE(OFFSET($H$3,0,0,'Données projet'!$E$10+1,1))</f>
        <v>242.48830542479988</v>
      </c>
      <c r="AO88" s="59">
        <f t="shared" si="90"/>
        <v>226.11219631227061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12</v>
      </c>
      <c r="AR88" s="16">
        <f>IF(ISNA(VLOOKUP(A88,'Données projet'!$A$61:$I$81,5,0)),0%,VLOOKUP(A88,'Données projet'!$A$61:$I$81,5,0)*VLOOKUP('Données projet'!$B$10,Paramètres!$A$1:$I$89,7,0))</f>
        <v>0.43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49.587954859349288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49.587954859349288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7.1655555555555566</v>
      </c>
      <c r="BD88" s="12">
        <f>IF('Données projet'!$A$88&gt;35,BD87+BC88-BL87,IF(A88&lt;'Données projet'!$A$88,$BA$205^A88,IF(A88='Données projet'!$A$88,'Données projet'!$B$88,BD87+BC88-BL87)))</f>
        <v>246.04555555555544</v>
      </c>
      <c r="BE88" s="13">
        <f>BD88*VLOOKUP('Données projet'!$B$11,Paramètres!$A$1:$I$89,3,0)*VLOOKUP('Données projet'!$B$11,Paramètres!$A$1:$I$89,5,0)</f>
        <v>249.49019333333322</v>
      </c>
      <c r="BF88" s="13">
        <f t="shared" si="91"/>
        <v>60.476760461441259</v>
      </c>
      <c r="BG88" s="20">
        <f t="shared" si="61"/>
        <v>539.85911119256559</v>
      </c>
      <c r="BH88" s="59">
        <f t="shared" si="62"/>
        <v>833.19244452589896</v>
      </c>
      <c r="BI88" s="59">
        <f ca="1">AVERAGE(OFFSET($BH$3,0,0,'Données projet'!$E$11+1,1))-AVERAGE(OFFSET($H$3,0,0,'Données projet'!$E$11+1,1))</f>
        <v>402.5435069258703</v>
      </c>
      <c r="BJ88" s="59">
        <f t="shared" si="92"/>
        <v>163.60655195816349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91.83883140959378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91.83883140959378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7.1655555555555566</v>
      </c>
      <c r="BY88" s="12">
        <f>IF('Données projet'!$A$114&gt;35,BY87+BX88-CG87,IF(A88&lt;'Données projet'!$A$114,$BV$205^A88,IF(A88='Données projet'!$A$114,'Données projet'!$B$114,BY87+BX88-CG87)))</f>
        <v>246.04555555555544</v>
      </c>
      <c r="BZ88" s="13">
        <f>BY88*VLOOKUP('Données projet'!$B$12,Paramètres!$A$1:$I$89,3,0)*VLOOKUP('Données projet'!$B$12,Paramètres!$A$1:$I$89,5,0)</f>
        <v>222.62201866666652</v>
      </c>
      <c r="CA88" s="13">
        <f t="shared" si="93"/>
        <v>54.684374969859093</v>
      </c>
      <c r="CB88" s="20">
        <f t="shared" si="64"/>
        <v>482.97530225028208</v>
      </c>
      <c r="CC88" s="59">
        <f t="shared" si="65"/>
        <v>776.30863558361534</v>
      </c>
      <c r="CD88" s="59">
        <f ca="1">AVERAGE(OFFSET($CC$3,0,0,'Données projet'!$E$12+1,1))-AVERAGE(OFFSET($H$3,0,0,'Données projet'!$E$12+1,1))</f>
        <v>350.91577977538822</v>
      </c>
      <c r="CE88" s="59">
        <f t="shared" si="94"/>
        <v>142.87103313412547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81.948495719329827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81.948495719329827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266.99999999999983</v>
      </c>
      <c r="CU88" s="17">
        <f>CT88*VLOOKUP('Données projet'!$B$13,Paramètres!$A$1:$I$89,3,0)*VLOOKUP('Données projet'!$B$13,Paramètres!$A$1:$I$89,5,0)</f>
        <v>216.59039999999987</v>
      </c>
      <c r="CV88" s="13">
        <f t="shared" si="95"/>
        <v>53.373153688190904</v>
      </c>
      <c r="CW88" s="20">
        <f t="shared" si="67"/>
        <v>470.18652267359886</v>
      </c>
      <c r="CX88" s="59">
        <f t="shared" si="68"/>
        <v>763.51985600693217</v>
      </c>
      <c r="CY88" s="59">
        <f ca="1">AVERAGE(OFFSET($CX$3,0,0,'Données projet'!$E$13+1,1))-AVERAGE(OFFSET($H$3,0,0,'Données projet'!$E$13+1,1))</f>
        <v>230.38929580146208</v>
      </c>
      <c r="CZ88" s="59">
        <f t="shared" si="96"/>
        <v>227.1847788696258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40.066948802378796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40.066948802378796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262.18</v>
      </c>
      <c r="DM88" s="12">
        <f>VLOOKUP(A88,'Données projet'!$A$165:$I$185,9,0)</f>
        <v>6.2240000000000011</v>
      </c>
      <c r="DN88" s="12">
        <f t="array" ref="DN88">INDEX(DM:DM,MIN(IF(ISNUMBER(DM88:DM284),ROW(DM88:DM284),"")))</f>
        <v>6.2240000000000011</v>
      </c>
      <c r="DO88" s="12">
        <f>IF('Données projet'!$A$166&gt;35,DO87+DN88-DW87,IF(A88&lt;'Données projet'!$A$166,$DL$205^A88,IF(A88='Données projet'!$A$166,'Données projet'!$B$166,DO87+DN88-DW87)))</f>
        <v>262.17999999999984</v>
      </c>
      <c r="DP88" s="17">
        <f>DO88*VLOOKUP('Données projet'!$B$14,Paramètres!$A$1:$I$89,3,0)*VLOOKUP('Données projet'!$B$14,Paramètres!$A$1:$I$89,5,0)</f>
        <v>156.78363999999991</v>
      </c>
      <c r="DQ88" s="13">
        <f t="shared" si="97"/>
        <v>40.116201261685539</v>
      </c>
      <c r="DR88" s="20">
        <f t="shared" si="70"/>
        <v>342.93389019743546</v>
      </c>
      <c r="DS88" s="59">
        <f t="shared" si="71"/>
        <v>636.26722353076877</v>
      </c>
      <c r="DT88" s="59">
        <f ca="1">AVERAGE(OFFSET($DS$3,0,0,'Données projet'!$E$14+1,1))-AVERAGE(OFFSET($H$3,0,0,'Données projet'!$E$14+1,1))</f>
        <v>145.97103392561058</v>
      </c>
      <c r="DU88" s="59">
        <f t="shared" si="98"/>
        <v>62.920713953681172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49.543391280424068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49.543391280424068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0.8600000000003547</v>
      </c>
      <c r="O89" s="13">
        <f>N89*VLOOKUP('Données projet'!$B$9,Paramètres!$A$1:$I$89,3,0)*VLOOKUP('Données projet'!$B$9,Paramètres!$A$1:$I$89,5,0)</f>
        <v>0.48074000000019829</v>
      </c>
      <c r="P89" s="13">
        <f t="shared" si="87"/>
        <v>0.24126147010950588</v>
      </c>
      <c r="Q89" s="20">
        <f t="shared" si="54"/>
        <v>1.2574858937744013</v>
      </c>
      <c r="R89" s="59">
        <f t="shared" si="55"/>
        <v>294.59081922710772</v>
      </c>
      <c r="S89" s="59">
        <f ca="1">AVERAGE(OFFSET($R$3,0,0,'Données projet'!$E$9+1,1))-AVERAGE(OFFSET($H$3,0,0,'Données projet'!$E$9+1,1))</f>
        <v>350.01600895263641</v>
      </c>
      <c r="T89" s="59">
        <f t="shared" si="88"/>
        <v>464.08921044376882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201.21990691080543</v>
      </c>
      <c r="AA89" s="21">
        <f>EXP(-LN(2)/25)*AA88+(1-EXP(-LN(2)/25))/(LN(2)/25)*Calculateur!V89*Calculateur!X89*VLOOKUP('Données projet'!$B$9,Paramètres!$A$1:$I$89,3,0)*0.475*44/12</f>
        <v>10.705246779209068</v>
      </c>
      <c r="AB89" s="21">
        <f>EXP(-LN(2)/2)*AB88+(1-EXP(-LN(2)/2))/(LN(2)/2)*V89*Y89*VLOOKUP('Données projet'!$B$9,Paramètres!$A$1:$I$89,3,0)*0.475*44/12</f>
        <v>2.7564187685505008E-9</v>
      </c>
      <c r="AC89" s="22">
        <f t="shared" si="57"/>
        <v>211.92515369277092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3</v>
      </c>
      <c r="AI89" s="13">
        <f>IF('Données projet'!$A$62&gt;35,AI88+AH89-AQ88,IF(A89&lt;'Données projet'!$A$62,$AF$205^A89,IF(A89='Données projet'!$A$62,'Données projet'!$B$62,AI88+AH89-AQ88)))</f>
        <v>220.99999999999989</v>
      </c>
      <c r="AJ89" s="13">
        <f>AI89*VLOOKUP('Données projet'!$B$10,Paramètres!$A$1:$I$89,3,0)*VLOOKUP('Données projet'!$B$10,Paramètres!$A$1:$I$89,5,0)</f>
        <v>193.06559999999993</v>
      </c>
      <c r="AK89" s="13">
        <f t="shared" si="89"/>
        <v>48.217080828790415</v>
      </c>
      <c r="AL89" s="20">
        <f t="shared" si="58"/>
        <v>420.23400244347653</v>
      </c>
      <c r="AM89" s="59">
        <f t="shared" si="59"/>
        <v>713.56733577680984</v>
      </c>
      <c r="AN89" s="59">
        <f ca="1">AVERAGE(OFFSET($AM$3,0,0,'Données projet'!$E$10+1,1))-AVERAGE(OFFSET($H$3,0,0,'Données projet'!$E$10+1,1))</f>
        <v>242.48830542479988</v>
      </c>
      <c r="AO89" s="59">
        <f t="shared" si="90"/>
        <v>226.11219631227061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48.615565310223403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48.615565310223403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7.1655555555555566</v>
      </c>
      <c r="BD89" s="12">
        <f>IF('Données projet'!$A$88&gt;35,BD88+BC89-BL88,IF(A89&lt;'Données projet'!$A$88,$BA$205^A89,IF(A89='Données projet'!$A$88,'Données projet'!$B$88,BD88+BC89-BL88)))</f>
        <v>253.21111111111099</v>
      </c>
      <c r="BE89" s="13">
        <f>BD89*VLOOKUP('Données projet'!$B$11,Paramètres!$A$1:$I$89,3,0)*VLOOKUP('Données projet'!$B$11,Paramètres!$A$1:$I$89,5,0)</f>
        <v>256.75606666666658</v>
      </c>
      <c r="BF89" s="13">
        <f t="shared" si="91"/>
        <v>62.030398003614579</v>
      </c>
      <c r="BG89" s="20">
        <f t="shared" si="61"/>
        <v>555.21975930073961</v>
      </c>
      <c r="BH89" s="59">
        <f t="shared" si="62"/>
        <v>848.55309263407298</v>
      </c>
      <c r="BI89" s="59">
        <f ca="1">AVERAGE(OFFSET($BH$3,0,0,'Données projet'!$E$11+1,1))-AVERAGE(OFFSET($H$3,0,0,'Données projet'!$E$11+1,1))</f>
        <v>402.5435069258703</v>
      </c>
      <c r="BJ89" s="59">
        <f t="shared" si="92"/>
        <v>163.60655195816349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90.037927941807666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90.037927941807666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7.1655555555555566</v>
      </c>
      <c r="BY89" s="12">
        <f>IF('Données projet'!$A$114&gt;35,BY88+BX89-CG88,IF(A89&lt;'Données projet'!$A$114,$BV$205^A89,IF(A89='Données projet'!$A$114,'Données projet'!$B$114,BY88+BX89-CG88)))</f>
        <v>253.21111111111099</v>
      </c>
      <c r="BZ89" s="13">
        <f>BY89*VLOOKUP('Données projet'!$B$12,Paramètres!$A$1:$I$89,3,0)*VLOOKUP('Données projet'!$B$12,Paramètres!$A$1:$I$89,5,0)</f>
        <v>229.10541333333325</v>
      </c>
      <c r="CA89" s="13">
        <f t="shared" si="93"/>
        <v>56.089207128116442</v>
      </c>
      <c r="CB89" s="20">
        <f t="shared" si="64"/>
        <v>496.71396397035818</v>
      </c>
      <c r="CC89" s="59">
        <f t="shared" si="65"/>
        <v>790.04729730369149</v>
      </c>
      <c r="CD89" s="59">
        <f ca="1">AVERAGE(OFFSET($CC$3,0,0,'Données projet'!$E$12+1,1))-AVERAGE(OFFSET($H$3,0,0,'Données projet'!$E$12+1,1))</f>
        <v>350.91577977538822</v>
      </c>
      <c r="CE89" s="59">
        <f t="shared" si="94"/>
        <v>142.87103313412547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80.341535701920677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80.341535701920677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266.99999999999983</v>
      </c>
      <c r="CU89" s="17">
        <f>CT89*VLOOKUP('Données projet'!$B$13,Paramètres!$A$1:$I$89,3,0)*VLOOKUP('Données projet'!$B$13,Paramètres!$A$1:$I$89,5,0)</f>
        <v>216.59039999999987</v>
      </c>
      <c r="CV89" s="13">
        <f t="shared" si="95"/>
        <v>53.373153688190904</v>
      </c>
      <c r="CW89" s="20">
        <f t="shared" si="67"/>
        <v>470.18652267359886</v>
      </c>
      <c r="CX89" s="59">
        <f t="shared" si="68"/>
        <v>763.51985600693217</v>
      </c>
      <c r="CY89" s="59">
        <f ca="1">AVERAGE(OFFSET($CX$3,0,0,'Données projet'!$E$13+1,1))-AVERAGE(OFFSET($H$3,0,0,'Données projet'!$E$13+1,1))</f>
        <v>230.38929580146208</v>
      </c>
      <c r="CZ89" s="59">
        <f t="shared" si="96"/>
        <v>227.1847788696258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39.281260374789824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39.281260374789824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6.4259999999999993</v>
      </c>
      <c r="DO89" s="12">
        <f>IF('Données projet'!$A$166&gt;35,DO88+DN89-DW88,IF(A89&lt;'Données projet'!$A$166,$DL$205^A89,IF(A89='Données projet'!$A$166,'Données projet'!$B$166,DO88+DN89-DW88)))</f>
        <v>268.60599999999982</v>
      </c>
      <c r="DP89" s="17">
        <f>DO89*VLOOKUP('Données projet'!$B$14,Paramètres!$A$1:$I$89,3,0)*VLOOKUP('Données projet'!$B$14,Paramètres!$A$1:$I$89,5,0)</f>
        <v>160.62638799999991</v>
      </c>
      <c r="DQ89" s="13">
        <f t="shared" si="97"/>
        <v>40.983766824088583</v>
      </c>
      <c r="DR89" s="20">
        <f t="shared" si="70"/>
        <v>351.13768631862075</v>
      </c>
      <c r="DS89" s="59">
        <f t="shared" si="71"/>
        <v>644.47101965195407</v>
      </c>
      <c r="DT89" s="59">
        <f ca="1">AVERAGE(OFFSET($DS$3,0,0,'Données projet'!$E$14+1,1))-AVERAGE(OFFSET($H$3,0,0,'Données projet'!$E$14+1,1))</f>
        <v>145.97103392561058</v>
      </c>
      <c r="DU89" s="59">
        <f t="shared" si="98"/>
        <v>62.920713953681172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48.571875595899805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48.571875595899805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0.8600000000003547</v>
      </c>
      <c r="O90" s="13">
        <f>N90*VLOOKUP('Données projet'!$B$9,Paramètres!$A$1:$I$89,3,0)*VLOOKUP('Données projet'!$B$9,Paramètres!$A$1:$I$89,5,0)</f>
        <v>0.48074000000019829</v>
      </c>
      <c r="P90" s="13">
        <f t="shared" si="87"/>
        <v>0.24126147010950588</v>
      </c>
      <c r="Q90" s="20">
        <f t="shared" si="54"/>
        <v>1.2574858937744013</v>
      </c>
      <c r="R90" s="59">
        <f t="shared" si="55"/>
        <v>294.59081922710772</v>
      </c>
      <c r="S90" s="59">
        <f ca="1">AVERAGE(OFFSET($R$3,0,0,'Données projet'!$E$9+1,1))-AVERAGE(OFFSET($H$3,0,0,'Données projet'!$E$9+1,1))</f>
        <v>350.01600895263641</v>
      </c>
      <c r="T90" s="59">
        <f t="shared" si="88"/>
        <v>464.08921044376882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197.27410726830897</v>
      </c>
      <c r="AA90" s="21">
        <f>EXP(-LN(2)/25)*AA89+(1-EXP(-LN(2)/25))/(LN(2)/25)*Calculateur!V90*Calculateur!X90*VLOOKUP('Données projet'!$B$9,Paramètres!$A$1:$I$89,3,0)*0.475*44/12</f>
        <v>10.412511243067135</v>
      </c>
      <c r="AB90" s="21">
        <f>EXP(-LN(2)/2)*AB89+(1-EXP(-LN(2)/2))/(LN(2)/2)*V90*Y90*VLOOKUP('Données projet'!$B$9,Paramètres!$A$1:$I$89,3,0)*0.475*44/12</f>
        <v>1.9490824030319317E-9</v>
      </c>
      <c r="AC90" s="22">
        <f t="shared" si="57"/>
        <v>207.68661851332519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3</v>
      </c>
      <c r="AI90" s="13">
        <f>IF('Données projet'!$A$62&gt;35,AI89+AH90-AQ89,IF(A90&lt;'Données projet'!$A$62,$AF$205^A90,IF(A90='Données projet'!$A$62,'Données projet'!$B$62,AI89+AH90-AQ89)))</f>
        <v>223.99999999999989</v>
      </c>
      <c r="AJ90" s="13">
        <f>AI90*VLOOKUP('Données projet'!$B$10,Paramètres!$A$1:$I$89,3,0)*VLOOKUP('Données projet'!$B$10,Paramètres!$A$1:$I$89,5,0)</f>
        <v>195.68639999999994</v>
      </c>
      <c r="AK90" s="13">
        <f t="shared" si="89"/>
        <v>48.794969360985114</v>
      </c>
      <c r="AL90" s="20">
        <f t="shared" si="58"/>
        <v>425.80505163704896</v>
      </c>
      <c r="AM90" s="59">
        <f t="shared" si="59"/>
        <v>719.13838497038228</v>
      </c>
      <c r="AN90" s="59">
        <f ca="1">AVERAGE(OFFSET($AM$3,0,0,'Données projet'!$E$10+1,1))-AVERAGE(OFFSET($H$3,0,0,'Données projet'!$E$10+1,1))</f>
        <v>242.48830542479988</v>
      </c>
      <c r="AO90" s="59">
        <f t="shared" si="90"/>
        <v>226.11219631227061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47.662243727056811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47.662243727056811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7.1655555555555566</v>
      </c>
      <c r="BD90" s="12">
        <f>IF('Données projet'!$A$88&gt;35,BD89+BC90-BL89,IF(A90&lt;'Données projet'!$A$88,$BA$205^A90,IF(A90='Données projet'!$A$88,'Données projet'!$B$88,BD89+BC90-BL89)))</f>
        <v>260.37666666666655</v>
      </c>
      <c r="BE90" s="13">
        <f>BD90*VLOOKUP('Données projet'!$B$11,Paramètres!$A$1:$I$89,3,0)*VLOOKUP('Données projet'!$B$11,Paramètres!$A$1:$I$89,5,0)</f>
        <v>264.02193999999992</v>
      </c>
      <c r="BF90" s="13">
        <f t="shared" si="91"/>
        <v>63.578925603808834</v>
      </c>
      <c r="BG90" s="20">
        <f t="shared" si="61"/>
        <v>570.57150759330023</v>
      </c>
      <c r="BH90" s="59">
        <f t="shared" si="62"/>
        <v>863.9048409266336</v>
      </c>
      <c r="BI90" s="59">
        <f ca="1">AVERAGE(OFFSET($BH$3,0,0,'Données projet'!$E$11+1,1))-AVERAGE(OFFSET($H$3,0,0,'Données projet'!$E$11+1,1))</f>
        <v>402.5435069258703</v>
      </c>
      <c r="BJ90" s="59">
        <f t="shared" si="92"/>
        <v>163.60655195816349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88.272339092582186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88.272339092582186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7.1655555555555566</v>
      </c>
      <c r="BY90" s="12">
        <f>IF('Données projet'!$A$114&gt;35,BY89+BX90-CG89,IF(A90&lt;'Données projet'!$A$114,$BV$205^A90,IF(A90='Données projet'!$A$114,'Données projet'!$B$114,BY89+BX90-CG89)))</f>
        <v>260.37666666666655</v>
      </c>
      <c r="BZ90" s="13">
        <f>BY90*VLOOKUP('Données projet'!$B$12,Paramètres!$A$1:$I$89,3,0)*VLOOKUP('Données projet'!$B$12,Paramètres!$A$1:$I$89,5,0)</f>
        <v>235.58880799999989</v>
      </c>
      <c r="CA90" s="13">
        <f t="shared" si="93"/>
        <v>57.489418767993982</v>
      </c>
      <c r="CB90" s="20">
        <f t="shared" si="64"/>
        <v>510.44457828758931</v>
      </c>
      <c r="CC90" s="59">
        <f t="shared" si="65"/>
        <v>803.77791162092262</v>
      </c>
      <c r="CD90" s="59">
        <f ca="1">AVERAGE(OFFSET($CC$3,0,0,'Données projet'!$E$12+1,1))-AVERAGE(OFFSET($H$3,0,0,'Données projet'!$E$12+1,1))</f>
        <v>350.91577977538822</v>
      </c>
      <c r="CE90" s="59">
        <f t="shared" si="94"/>
        <v>142.87103313412547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78.766087190304091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78.766087190304091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266.99999999999983</v>
      </c>
      <c r="CU90" s="17">
        <f>CT90*VLOOKUP('Données projet'!$B$13,Paramètres!$A$1:$I$89,3,0)*VLOOKUP('Données projet'!$B$13,Paramètres!$A$1:$I$89,5,0)</f>
        <v>216.59039999999987</v>
      </c>
      <c r="CV90" s="13">
        <f t="shared" si="95"/>
        <v>53.373153688190904</v>
      </c>
      <c r="CW90" s="20">
        <f t="shared" si="67"/>
        <v>470.18652267359886</v>
      </c>
      <c r="CX90" s="59">
        <f t="shared" si="68"/>
        <v>763.51985600693217</v>
      </c>
      <c r="CY90" s="59">
        <f ca="1">AVERAGE(OFFSET($CX$3,0,0,'Données projet'!$E$13+1,1))-AVERAGE(OFFSET($H$3,0,0,'Données projet'!$E$13+1,1))</f>
        <v>230.38929580146208</v>
      </c>
      <c r="CZ90" s="59">
        <f t="shared" si="96"/>
        <v>227.1847788696258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38.510978818043249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38.510978818043249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6.4259999999999993</v>
      </c>
      <c r="DO90" s="12">
        <f>IF('Données projet'!$A$166&gt;35,DO89+DN90-DW89,IF(A90&lt;'Données projet'!$A$166,$DL$205^A90,IF(A90='Données projet'!$A$166,'Données projet'!$B$166,DO89+DN90-DW89)))</f>
        <v>275.03199999999981</v>
      </c>
      <c r="DP90" s="17">
        <f>DO90*VLOOKUP('Données projet'!$B$14,Paramètres!$A$1:$I$89,3,0)*VLOOKUP('Données projet'!$B$14,Paramètres!$A$1:$I$89,5,0)</f>
        <v>164.46913599999991</v>
      </c>
      <c r="DQ90" s="13">
        <f t="shared" si="97"/>
        <v>41.848919596443707</v>
      </c>
      <c r="DR90" s="20">
        <f t="shared" si="70"/>
        <v>359.33728016380593</v>
      </c>
      <c r="DS90" s="59">
        <f t="shared" si="71"/>
        <v>652.67061349713924</v>
      </c>
      <c r="DT90" s="59">
        <f ca="1">AVERAGE(OFFSET($DS$3,0,0,'Données projet'!$E$14+1,1))-AVERAGE(OFFSET($H$3,0,0,'Données projet'!$E$14+1,1))</f>
        <v>145.97103392561058</v>
      </c>
      <c r="DU90" s="59">
        <f t="shared" si="98"/>
        <v>62.920713953681172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47.619410741383007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47.619410741383007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0.8600000000003547</v>
      </c>
      <c r="O91" s="13">
        <f>N91*VLOOKUP('Données projet'!$B$9,Paramètres!$A$1:$I$89,3,0)*VLOOKUP('Données projet'!$B$9,Paramètres!$A$1:$I$89,5,0)</f>
        <v>0.48074000000019829</v>
      </c>
      <c r="P91" s="13">
        <f t="shared" si="87"/>
        <v>0.24126147010950588</v>
      </c>
      <c r="Q91" s="20">
        <f t="shared" si="54"/>
        <v>1.2574858937744013</v>
      </c>
      <c r="R91" s="59">
        <f t="shared" si="55"/>
        <v>294.59081922710772</v>
      </c>
      <c r="S91" s="59">
        <f ca="1">AVERAGE(OFFSET($R$3,0,0,'Données projet'!$E$9+1,1))-AVERAGE(OFFSET($H$3,0,0,'Données projet'!$E$9+1,1))</f>
        <v>350.01600895263641</v>
      </c>
      <c r="T91" s="59">
        <f t="shared" si="88"/>
        <v>464.08921044376882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193.40568235010173</v>
      </c>
      <c r="AA91" s="21">
        <f>EXP(-LN(2)/25)*AA90+(1-EXP(-LN(2)/25))/(LN(2)/25)*Calculateur!V91*Calculateur!X91*VLOOKUP('Données projet'!$B$9,Paramètres!$A$1:$I$89,3,0)*0.475*44/12</f>
        <v>10.127780575555295</v>
      </c>
      <c r="AB91" s="21">
        <f>EXP(-LN(2)/2)*AB90+(1-EXP(-LN(2)/2))/(LN(2)/2)*V91*Y91*VLOOKUP('Données projet'!$B$9,Paramètres!$A$1:$I$89,3,0)*0.475*44/12</f>
        <v>1.3782093842752504E-9</v>
      </c>
      <c r="AC91" s="22">
        <f t="shared" si="57"/>
        <v>203.53346292703523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3</v>
      </c>
      <c r="AI91" s="13">
        <f>IF('Données projet'!$A$62&gt;35,AI90+AH91-AQ90,IF(A91&lt;'Données projet'!$A$62,$AF$205^A91,IF(A91='Données projet'!$A$62,'Données projet'!$B$62,AI90+AH91-AQ90)))</f>
        <v>226.99999999999989</v>
      </c>
      <c r="AJ91" s="13">
        <f>AI91*VLOOKUP('Données projet'!$B$10,Paramètres!$A$1:$I$89,3,0)*VLOOKUP('Données projet'!$B$10,Paramètres!$A$1:$I$89,5,0)</f>
        <v>198.30719999999994</v>
      </c>
      <c r="AK91" s="13">
        <f t="shared" si="89"/>
        <v>49.371957679623371</v>
      </c>
      <c r="AL91" s="20">
        <f t="shared" si="58"/>
        <v>431.37453295867726</v>
      </c>
      <c r="AM91" s="59">
        <f t="shared" si="59"/>
        <v>724.70786629201052</v>
      </c>
      <c r="AN91" s="59">
        <f ca="1">AVERAGE(OFFSET($AM$3,0,0,'Données projet'!$E$10+1,1))-AVERAGE(OFFSET($H$3,0,0,'Données projet'!$E$10+1,1))</f>
        <v>242.48830542479988</v>
      </c>
      <c r="AO91" s="59">
        <f t="shared" si="90"/>
        <v>226.11219631227061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46.72761619866737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46.72761619866737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7.1655555555555566</v>
      </c>
      <c r="BD91" s="12">
        <f>IF('Données projet'!$A$88&gt;35,BD90+BC91-BL90,IF(A91&lt;'Données projet'!$A$88,$BA$205^A91,IF(A91='Données projet'!$A$88,'Données projet'!$B$88,BD90+BC91-BL90)))</f>
        <v>267.54222222222211</v>
      </c>
      <c r="BE91" s="13">
        <f>BD91*VLOOKUP('Données projet'!$B$11,Paramètres!$A$1:$I$89,3,0)*VLOOKUP('Données projet'!$B$11,Paramètres!$A$1:$I$89,5,0)</f>
        <v>271.28781333333325</v>
      </c>
      <c r="BF91" s="13">
        <f t="shared" si="91"/>
        <v>65.12250004512164</v>
      </c>
      <c r="BG91" s="20">
        <f t="shared" si="61"/>
        <v>585.91462913414216</v>
      </c>
      <c r="BH91" s="59">
        <f t="shared" si="62"/>
        <v>879.24796246747542</v>
      </c>
      <c r="BI91" s="59">
        <f ca="1">AVERAGE(OFFSET($BH$3,0,0,'Données projet'!$E$11+1,1))-AVERAGE(OFFSET($H$3,0,0,'Données projet'!$E$11+1,1))</f>
        <v>402.5435069258703</v>
      </c>
      <c r="BJ91" s="59">
        <f t="shared" si="92"/>
        <v>163.60655195816349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86.541372363787161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86.541372363787161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7.1655555555555566</v>
      </c>
      <c r="BY91" s="12">
        <f>IF('Données projet'!$A$114&gt;35,BY90+BX91-CG90,IF(A91&lt;'Données projet'!$A$114,$BV$205^A91,IF(A91='Données projet'!$A$114,'Données projet'!$B$114,BY90+BX91-CG90)))</f>
        <v>267.54222222222211</v>
      </c>
      <c r="BZ91" s="13">
        <f>BY91*VLOOKUP('Données projet'!$B$12,Paramètres!$A$1:$I$89,3,0)*VLOOKUP('Données projet'!$B$12,Paramètres!$A$1:$I$89,5,0)</f>
        <v>242.07220266666656</v>
      </c>
      <c r="CA91" s="13">
        <f t="shared" si="93"/>
        <v>58.885151656108214</v>
      </c>
      <c r="CB91" s="20">
        <f t="shared" si="64"/>
        <v>524.16739211216611</v>
      </c>
      <c r="CC91" s="59">
        <f t="shared" si="65"/>
        <v>817.50072544549948</v>
      </c>
      <c r="CD91" s="59">
        <f ca="1">AVERAGE(OFFSET($CC$3,0,0,'Données projet'!$E$12+1,1))-AVERAGE(OFFSET($H$3,0,0,'Données projet'!$E$12+1,1))</f>
        <v>350.91577977538822</v>
      </c>
      <c r="CE91" s="59">
        <f t="shared" si="94"/>
        <v>142.87103313412547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77.221532263071609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77.221532263071609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266.99999999999983</v>
      </c>
      <c r="CU91" s="17">
        <f>CT91*VLOOKUP('Données projet'!$B$13,Paramètres!$A$1:$I$89,3,0)*VLOOKUP('Données projet'!$B$13,Paramètres!$A$1:$I$89,5,0)</f>
        <v>216.59039999999987</v>
      </c>
      <c r="CV91" s="13">
        <f t="shared" si="95"/>
        <v>53.373153688190904</v>
      </c>
      <c r="CW91" s="20">
        <f t="shared" si="67"/>
        <v>470.18652267359886</v>
      </c>
      <c r="CX91" s="59">
        <f t="shared" si="68"/>
        <v>763.51985600693217</v>
      </c>
      <c r="CY91" s="59">
        <f ca="1">AVERAGE(OFFSET($CX$3,0,0,'Données projet'!$E$13+1,1))-AVERAGE(OFFSET($H$3,0,0,'Données projet'!$E$13+1,1))</f>
        <v>230.38929580146208</v>
      </c>
      <c r="CZ91" s="59">
        <f t="shared" si="96"/>
        <v>227.1847788696258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37.755802012799116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37.755802012799116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6.4259999999999993</v>
      </c>
      <c r="DO91" s="12">
        <f>IF('Données projet'!$A$166&gt;35,DO90+DN91-DW90,IF(A91&lt;'Données projet'!$A$166,$DL$205^A91,IF(A91='Données projet'!$A$166,'Données projet'!$B$166,DO90+DN91-DW90)))</f>
        <v>281.4579999999998</v>
      </c>
      <c r="DP91" s="17">
        <f>DO91*VLOOKUP('Données projet'!$B$14,Paramètres!$A$1:$I$89,3,0)*VLOOKUP('Données projet'!$B$14,Paramètres!$A$1:$I$89,5,0)</f>
        <v>168.31188399999988</v>
      </c>
      <c r="DQ91" s="13">
        <f t="shared" si="97"/>
        <v>42.71172244047807</v>
      </c>
      <c r="DR91" s="20">
        <f t="shared" si="70"/>
        <v>367.53278121716579</v>
      </c>
      <c r="DS91" s="59">
        <f t="shared" si="71"/>
        <v>660.86611455049911</v>
      </c>
      <c r="DT91" s="59">
        <f ca="1">AVERAGE(OFFSET($DS$3,0,0,'Données projet'!$E$14+1,1))-AVERAGE(OFFSET($H$3,0,0,'Données projet'!$E$14+1,1))</f>
        <v>145.97103392561058</v>
      </c>
      <c r="DU91" s="59">
        <f t="shared" si="98"/>
        <v>62.920713953681172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46.685623141717087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46.685623141717087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0.8600000000003547</v>
      </c>
      <c r="O92" s="13">
        <f>N92*VLOOKUP('Données projet'!$B$9,Paramètres!$A$1:$I$89,3,0)*VLOOKUP('Données projet'!$B$9,Paramètres!$A$1:$I$89,5,0)</f>
        <v>0.48074000000019829</v>
      </c>
      <c r="P92" s="13">
        <f t="shared" si="87"/>
        <v>0.24126147010950588</v>
      </c>
      <c r="Q92" s="20">
        <f t="shared" si="54"/>
        <v>1.2574858937744013</v>
      </c>
      <c r="R92" s="59">
        <f t="shared" si="55"/>
        <v>294.59081922710772</v>
      </c>
      <c r="S92" s="59">
        <f ca="1">AVERAGE(OFFSET($R$3,0,0,'Données projet'!$E$9+1,1))-AVERAGE(OFFSET($H$3,0,0,'Données projet'!$E$9+1,1))</f>
        <v>350.01600895263641</v>
      </c>
      <c r="T92" s="59">
        <f t="shared" si="88"/>
        <v>464.08921044376882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189.61311488503432</v>
      </c>
      <c r="AA92" s="21">
        <f>EXP(-LN(2)/25)*AA91+(1-EXP(-LN(2)/25))/(LN(2)/25)*Calculateur!V92*Calculateur!X92*VLOOKUP('Données projet'!$B$9,Paramètres!$A$1:$I$89,3,0)*0.475*44/12</f>
        <v>9.8508358831199025</v>
      </c>
      <c r="AB92" s="21">
        <f>EXP(-LN(2)/2)*AB91+(1-EXP(-LN(2)/2))/(LN(2)/2)*V92*Y92*VLOOKUP('Données projet'!$B$9,Paramètres!$A$1:$I$89,3,0)*0.475*44/12</f>
        <v>9.7454120151596584E-10</v>
      </c>
      <c r="AC92" s="22">
        <f t="shared" si="57"/>
        <v>199.46395076912879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3</v>
      </c>
      <c r="AI92" s="13">
        <f>IF('Données projet'!$A$62&gt;35,AI91+AH92-AQ91,IF(A92&lt;'Données projet'!$A$62,$AF$205^A92,IF(A92='Données projet'!$A$62,'Données projet'!$B$62,AI91+AH92-AQ91)))</f>
        <v>229.99999999999989</v>
      </c>
      <c r="AJ92" s="13">
        <f>AI92*VLOOKUP('Données projet'!$B$10,Paramètres!$A$1:$I$89,3,0)*VLOOKUP('Données projet'!$B$10,Paramètres!$A$1:$I$89,5,0)</f>
        <v>200.92799999999994</v>
      </c>
      <c r="AK92" s="13">
        <f t="shared" si="89"/>
        <v>49.948059057189042</v>
      </c>
      <c r="AL92" s="20">
        <f t="shared" si="58"/>
        <v>436.94246952460412</v>
      </c>
      <c r="AM92" s="59">
        <f t="shared" si="59"/>
        <v>730.27580285793738</v>
      </c>
      <c r="AN92" s="59">
        <f ca="1">AVERAGE(OFFSET($AM$3,0,0,'Données projet'!$E$10+1,1))-AVERAGE(OFFSET($H$3,0,0,'Données projet'!$E$10+1,1))</f>
        <v>242.48830542479988</v>
      </c>
      <c r="AO92" s="59">
        <f t="shared" si="90"/>
        <v>226.11219631227061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45.81131614604314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45.81131614604314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7.1655555555555566</v>
      </c>
      <c r="BD92" s="12">
        <f>IF('Données projet'!$A$88&gt;35,BD91+BC92-BL91,IF(A92&lt;'Données projet'!$A$88,$BA$205^A92,IF(A92='Données projet'!$A$88,'Données projet'!$B$88,BD91+BC92-BL91)))</f>
        <v>274.70777777777766</v>
      </c>
      <c r="BE92" s="13">
        <f>BD92*VLOOKUP('Données projet'!$B$11,Paramètres!$A$1:$I$89,3,0)*VLOOKUP('Données projet'!$B$11,Paramètres!$A$1:$I$89,5,0)</f>
        <v>278.55368666666658</v>
      </c>
      <c r="BF92" s="13">
        <f t="shared" si="91"/>
        <v>66.661269234297379</v>
      </c>
      <c r="BG92" s="20">
        <f t="shared" si="61"/>
        <v>601.24938152751224</v>
      </c>
      <c r="BH92" s="59">
        <f t="shared" si="62"/>
        <v>894.5827148608455</v>
      </c>
      <c r="BI92" s="59">
        <f ca="1">AVERAGE(OFFSET($BH$3,0,0,'Données projet'!$E$11+1,1))-AVERAGE(OFFSET($H$3,0,0,'Données projet'!$E$11+1,1))</f>
        <v>402.5435069258703</v>
      </c>
      <c r="BJ92" s="59">
        <f t="shared" si="92"/>
        <v>163.60655195816349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84.844348836758343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84.844348836758343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7.1655555555555566</v>
      </c>
      <c r="BY92" s="12">
        <f>IF('Données projet'!$A$114&gt;35,BY91+BX92-CG91,IF(A92&lt;'Données projet'!$A$114,$BV$205^A92,IF(A92='Données projet'!$A$114,'Données projet'!$B$114,BY91+BX92-CG91)))</f>
        <v>274.70777777777766</v>
      </c>
      <c r="BZ92" s="13">
        <f>BY92*VLOOKUP('Données projet'!$B$12,Paramètres!$A$1:$I$89,3,0)*VLOOKUP('Données projet'!$B$12,Paramètres!$A$1:$I$89,5,0)</f>
        <v>248.55559733333322</v>
      </c>
      <c r="CA92" s="13">
        <f t="shared" si="93"/>
        <v>60.276539532887853</v>
      </c>
      <c r="CB92" s="20">
        <f t="shared" si="64"/>
        <v>537.88263837533498</v>
      </c>
      <c r="CC92" s="59">
        <f t="shared" si="65"/>
        <v>831.21597170866835</v>
      </c>
      <c r="CD92" s="59">
        <f ca="1">AVERAGE(OFFSET($CC$3,0,0,'Données projet'!$E$12+1,1))-AVERAGE(OFFSET($H$3,0,0,'Données projet'!$E$12+1,1))</f>
        <v>350.91577977538822</v>
      </c>
      <c r="CE92" s="59">
        <f t="shared" si="94"/>
        <v>142.87103313412547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75.707265115876666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75.707265115876666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266.99999999999983</v>
      </c>
      <c r="CU92" s="17">
        <f>CT92*VLOOKUP('Données projet'!$B$13,Paramètres!$A$1:$I$89,3,0)*VLOOKUP('Données projet'!$B$13,Paramètres!$A$1:$I$89,5,0)</f>
        <v>216.59039999999987</v>
      </c>
      <c r="CV92" s="13">
        <f t="shared" si="95"/>
        <v>53.373153688190904</v>
      </c>
      <c r="CW92" s="20">
        <f t="shared" si="67"/>
        <v>470.18652267359886</v>
      </c>
      <c r="CX92" s="59">
        <f t="shared" si="68"/>
        <v>763.51985600693217</v>
      </c>
      <c r="CY92" s="59">
        <f ca="1">AVERAGE(OFFSET($CX$3,0,0,'Données projet'!$E$13+1,1))-AVERAGE(OFFSET($H$3,0,0,'Données projet'!$E$13+1,1))</f>
        <v>230.38929580146208</v>
      </c>
      <c r="CZ92" s="59">
        <f t="shared" si="96"/>
        <v>227.1847788696258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37.015433764093451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37.015433764093451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6.4259999999999993</v>
      </c>
      <c r="DO92" s="12">
        <f>IF('Données projet'!$A$166&gt;35,DO91+DN92-DW91,IF(A92&lt;'Données projet'!$A$166,$DL$205^A92,IF(A92='Données projet'!$A$166,'Données projet'!$B$166,DO91+DN92-DW91)))</f>
        <v>287.88399999999979</v>
      </c>
      <c r="DP92" s="17">
        <f>DO92*VLOOKUP('Données projet'!$B$14,Paramètres!$A$1:$I$89,3,0)*VLOOKUP('Données projet'!$B$14,Paramètres!$A$1:$I$89,5,0)</f>
        <v>172.15463199999988</v>
      </c>
      <c r="DQ92" s="13">
        <f t="shared" si="97"/>
        <v>43.572235183694225</v>
      </c>
      <c r="DR92" s="20">
        <f t="shared" si="70"/>
        <v>375.72429367826726</v>
      </c>
      <c r="DS92" s="59">
        <f t="shared" si="71"/>
        <v>669.05762701160052</v>
      </c>
      <c r="DT92" s="59">
        <f ca="1">AVERAGE(OFFSET($DS$3,0,0,'Données projet'!$E$14+1,1))-AVERAGE(OFFSET($H$3,0,0,'Données projet'!$E$14+1,1))</f>
        <v>145.97103392561058</v>
      </c>
      <c r="DU92" s="59">
        <f t="shared" si="98"/>
        <v>62.920713953681172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45.770146547326419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45.770146547326419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0.8600000000003547</v>
      </c>
      <c r="O93" s="13">
        <f>N93*VLOOKUP('Données projet'!$B$9,Paramètres!$A$1:$I$89,3,0)*VLOOKUP('Données projet'!$B$9,Paramètres!$A$1:$I$89,5,0)</f>
        <v>0.48074000000019829</v>
      </c>
      <c r="P93" s="13">
        <f t="shared" si="87"/>
        <v>0.24126147010950588</v>
      </c>
      <c r="Q93" s="20">
        <f t="shared" si="54"/>
        <v>1.2574858937744013</v>
      </c>
      <c r="R93" s="59">
        <f t="shared" si="55"/>
        <v>294.59081922710772</v>
      </c>
      <c r="S93" s="59">
        <f ca="1">AVERAGE(OFFSET($R$3,0,0,'Données projet'!$E$9+1,1))-AVERAGE(OFFSET($H$3,0,0,'Données projet'!$E$9+1,1))</f>
        <v>350.01600895263641</v>
      </c>
      <c r="T93" s="59">
        <f t="shared" si="88"/>
        <v>464.08921044376882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185.89491735471913</v>
      </c>
      <c r="AA93" s="21">
        <f>EXP(-LN(2)/25)*AA92+(1-EXP(-LN(2)/25))/(LN(2)/25)*Calculateur!V93*Calculateur!X93*VLOOKUP('Données projet'!$B$9,Paramètres!$A$1:$I$89,3,0)*0.475*44/12</f>
        <v>9.5814642578630433</v>
      </c>
      <c r="AB93" s="21">
        <f>EXP(-LN(2)/2)*AB92+(1-EXP(-LN(2)/2))/(LN(2)/2)*V93*Y93*VLOOKUP('Données projet'!$B$9,Paramètres!$A$1:$I$89,3,0)*0.475*44/12</f>
        <v>6.891046921376252E-10</v>
      </c>
      <c r="AC93" s="22">
        <f t="shared" si="57"/>
        <v>195.47638161327129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233</v>
      </c>
      <c r="AG93" s="12">
        <f>VLOOKUP(A93,'Données projet'!$A$61:$I$81,9,0)</f>
        <v>3</v>
      </c>
      <c r="AH93" s="12">
        <f t="array" ref="AH93">INDEX(AG:AG,MIN(IF(ISNUMBER(AG93:AG289),ROW(AG93:AG289),"")))</f>
        <v>3</v>
      </c>
      <c r="AI93" s="13">
        <f>IF('Données projet'!$A$62&gt;35,AI92+AH93-AQ92,IF(A93&lt;'Données projet'!$A$62,$AF$205^A93,IF(A93='Données projet'!$A$62,'Données projet'!$B$62,AI92+AH93-AQ92)))</f>
        <v>232.99999999999989</v>
      </c>
      <c r="AJ93" s="13">
        <f>AI93*VLOOKUP('Données projet'!$B$10,Paramètres!$A$1:$I$89,3,0)*VLOOKUP('Données projet'!$B$10,Paramètres!$A$1:$I$89,5,0)</f>
        <v>203.54879999999994</v>
      </c>
      <c r="AK93" s="13">
        <f t="shared" si="89"/>
        <v>50.523286400023487</v>
      </c>
      <c r="AL93" s="20">
        <f t="shared" si="58"/>
        <v>442.5088838133741</v>
      </c>
      <c r="AM93" s="59">
        <f t="shared" si="59"/>
        <v>735.84221714670741</v>
      </c>
      <c r="AN93" s="59">
        <f ca="1">AVERAGE(OFFSET($AM$3,0,0,'Données projet'!$E$10+1,1))-AVERAGE(OFFSET($H$3,0,0,'Données projet'!$E$10+1,1))</f>
        <v>242.48830542479988</v>
      </c>
      <c r="AO93" s="59">
        <f t="shared" si="90"/>
        <v>226.11219631227061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11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49.480929287001757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49.480929287001757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7.1655555555555566</v>
      </c>
      <c r="BD93" s="12">
        <f>IF('Données projet'!$A$88&gt;35,BD92+BC93-BL92,IF(A93&lt;'Données projet'!$A$88,$BA$205^A93,IF(A93='Données projet'!$A$88,'Données projet'!$B$88,BD92+BC93-BL92)))</f>
        <v>281.87333333333322</v>
      </c>
      <c r="BE93" s="13">
        <f>BD93*VLOOKUP('Données projet'!$B$11,Paramètres!$A$1:$I$89,3,0)*VLOOKUP('Données projet'!$B$11,Paramètres!$A$1:$I$89,5,0)</f>
        <v>285.81955999999991</v>
      </c>
      <c r="BF93" s="13">
        <f t="shared" si="91"/>
        <v>68.195372922513513</v>
      </c>
      <c r="BG93" s="20">
        <f t="shared" si="61"/>
        <v>616.57600817337755</v>
      </c>
      <c r="BH93" s="59">
        <f t="shared" si="62"/>
        <v>909.90934150671092</v>
      </c>
      <c r="BI93" s="59">
        <f ca="1">AVERAGE(OFFSET($BH$3,0,0,'Données projet'!$E$11+1,1))-AVERAGE(OFFSET($H$3,0,0,'Données projet'!$E$11+1,1))</f>
        <v>402.5435069258703</v>
      </c>
      <c r="BJ93" s="59">
        <f t="shared" si="92"/>
        <v>163.60655195816349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83.180602906012425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83.180602906012425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7.1655555555555566</v>
      </c>
      <c r="BY93" s="12">
        <f>IF('Données projet'!$A$114&gt;35,BY92+BX93-CG92,IF(A93&lt;'Données projet'!$A$114,$BV$205^A93,IF(A93='Données projet'!$A$114,'Données projet'!$B$114,BY92+BX93-CG92)))</f>
        <v>281.87333333333322</v>
      </c>
      <c r="BZ93" s="13">
        <f>BY93*VLOOKUP('Données projet'!$B$12,Paramètres!$A$1:$I$89,3,0)*VLOOKUP('Données projet'!$B$12,Paramètres!$A$1:$I$89,5,0)</f>
        <v>255.03899199999989</v>
      </c>
      <c r="CA93" s="13">
        <f t="shared" si="93"/>
        <v>61.663708764324099</v>
      </c>
      <c r="CB93" s="20">
        <f t="shared" si="64"/>
        <v>551.59053716453093</v>
      </c>
      <c r="CC93" s="59">
        <f t="shared" si="65"/>
        <v>844.9238704978643</v>
      </c>
      <c r="CD93" s="59">
        <f ca="1">AVERAGE(OFFSET($CC$3,0,0,'Données projet'!$E$12+1,1))-AVERAGE(OFFSET($H$3,0,0,'Données projet'!$E$12+1,1))</f>
        <v>350.91577977538822</v>
      </c>
      <c r="CE93" s="59">
        <f t="shared" si="94"/>
        <v>142.87103313412547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74.222691823826452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74.222691823826452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266.99999999999983</v>
      </c>
      <c r="CU93" s="17">
        <f>CT93*VLOOKUP('Données projet'!$B$13,Paramètres!$A$1:$I$89,3,0)*VLOOKUP('Données projet'!$B$13,Paramètres!$A$1:$I$89,5,0)</f>
        <v>216.59039999999987</v>
      </c>
      <c r="CV93" s="13">
        <f t="shared" si="95"/>
        <v>53.373153688190904</v>
      </c>
      <c r="CW93" s="20">
        <f t="shared" si="67"/>
        <v>470.18652267359886</v>
      </c>
      <c r="CX93" s="59">
        <f t="shared" si="68"/>
        <v>763.51985600693217</v>
      </c>
      <c r="CY93" s="59">
        <f ca="1">AVERAGE(OFFSET($CX$3,0,0,'Données projet'!$E$13+1,1))-AVERAGE(OFFSET($H$3,0,0,'Données projet'!$E$13+1,1))</f>
        <v>230.38929580146208</v>
      </c>
      <c r="CZ93" s="59">
        <f t="shared" si="96"/>
        <v>227.1847788696258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36.289583685164864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36.289583685164864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294.31</v>
      </c>
      <c r="DM93" s="12">
        <f>VLOOKUP(A93,'Données projet'!$A$165:$I$185,9,0)</f>
        <v>6.4259999999999993</v>
      </c>
      <c r="DN93" s="12">
        <f t="array" ref="DN93">INDEX(DM:DM,MIN(IF(ISNUMBER(DM93:DM289),ROW(DM93:DM289),"")))</f>
        <v>6.4259999999999993</v>
      </c>
      <c r="DO93" s="12">
        <f>IF('Données projet'!$A$166&gt;35,DO92+DN93-DW92,IF(A93&lt;'Données projet'!$A$166,$DL$205^A93,IF(A93='Données projet'!$A$166,'Données projet'!$B$166,DO92+DN93-DW92)))</f>
        <v>294.30999999999977</v>
      </c>
      <c r="DP93" s="17">
        <f>DO93*VLOOKUP('Données projet'!$B$14,Paramètres!$A$1:$I$89,3,0)*VLOOKUP('Données projet'!$B$14,Paramètres!$A$1:$I$89,5,0)</f>
        <v>175.99737999999988</v>
      </c>
      <c r="DQ93" s="13">
        <f t="shared" si="97"/>
        <v>44.430514830235225</v>
      </c>
      <c r="DR93" s="20">
        <f t="shared" si="70"/>
        <v>383.91191682932617</v>
      </c>
      <c r="DS93" s="59">
        <f t="shared" si="71"/>
        <v>677.24525016265943</v>
      </c>
      <c r="DT93" s="59">
        <f ca="1">AVERAGE(OFFSET($DS$3,0,0,'Données projet'!$E$14+1,1))-AVERAGE(OFFSET($H$3,0,0,'Données projet'!$E$14+1,1))</f>
        <v>145.97103392561058</v>
      </c>
      <c r="DU93" s="59">
        <f t="shared" si="98"/>
        <v>62.920713953681172</v>
      </c>
      <c r="DV93" s="15">
        <f>IF(ISNA(VLOOKUP(A93,'Données projet'!$A$165:$I$185,3,0)),0,VLOOKUP(A93,'Données projet'!$A$165:$I$185,3,0))</f>
        <v>4</v>
      </c>
      <c r="DW93" s="15">
        <f>IF(ISNA(VLOOKUP(A93,'Données projet'!$A$165:$I$185,4,0)),0,VLOOKUP(A93,'Données projet'!$A$165:$I$185,4,0))</f>
        <v>65.83</v>
      </c>
      <c r="DX93" s="16">
        <f>IF(ISNA(VLOOKUP(A93,'Données projet'!$A$165:$I$185,5,0)),0%,VLOOKUP(A93,'Données projet'!$A$165:$I$185,5,0)*VLOOKUP('Données projet'!$B$14,Paramètres!$A$1:$I$89,7,0))</f>
        <v>0.45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68.372516213702667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68.372516213702667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0.8600000000003547</v>
      </c>
      <c r="O94" s="13">
        <f>N94*VLOOKUP('Données projet'!$B$9,Paramètres!$A$1:$I$89,3,0)*VLOOKUP('Données projet'!$B$9,Paramètres!$A$1:$I$89,5,0)</f>
        <v>0.48074000000019829</v>
      </c>
      <c r="P94" s="13">
        <f t="shared" si="87"/>
        <v>0.24126147010950588</v>
      </c>
      <c r="Q94" s="20">
        <f t="shared" si="54"/>
        <v>1.2574858937744013</v>
      </c>
      <c r="R94" s="59">
        <f t="shared" si="55"/>
        <v>294.59081922710772</v>
      </c>
      <c r="S94" s="59">
        <f ca="1">AVERAGE(OFFSET($R$3,0,0,'Données projet'!$E$9+1,1))-AVERAGE(OFFSET($H$3,0,0,'Données projet'!$E$9+1,1))</f>
        <v>350.01600895263641</v>
      </c>
      <c r="T94" s="59">
        <f t="shared" si="88"/>
        <v>464.08921044376882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182.24963141009687</v>
      </c>
      <c r="AA94" s="21">
        <f>EXP(-LN(2)/25)*AA93+(1-EXP(-LN(2)/25))/(LN(2)/25)*Calculateur!V94*Calculateur!X94*VLOOKUP('Données projet'!$B$9,Paramètres!$A$1:$I$89,3,0)*0.475*44/12</f>
        <v>9.3194586138644713</v>
      </c>
      <c r="AB94" s="21">
        <f>EXP(-LN(2)/2)*AB93+(1-EXP(-LN(2)/2))/(LN(2)/2)*V94*Y94*VLOOKUP('Données projet'!$B$9,Paramètres!$A$1:$I$89,3,0)*0.475*44/12</f>
        <v>4.8727060075798292E-10</v>
      </c>
      <c r="AC94" s="22">
        <f t="shared" si="57"/>
        <v>191.5690900244486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2.8</v>
      </c>
      <c r="AI94" s="13">
        <f>IF('Données projet'!$A$62&gt;35,AI93+AH94-AQ93,IF(A94&lt;'Données projet'!$A$62,$AF$205^A94,IF(A94='Données projet'!$A$62,'Données projet'!$B$62,AI93+AH94-AQ93)))</f>
        <v>224.7999999999999</v>
      </c>
      <c r="AJ94" s="13">
        <f>AI94*VLOOKUP('Données projet'!$B$10,Paramètres!$A$1:$I$89,3,0)*VLOOKUP('Données projet'!$B$10,Paramètres!$A$1:$I$89,5,0)</f>
        <v>196.38527999999994</v>
      </c>
      <c r="AK94" s="13">
        <f t="shared" si="89"/>
        <v>48.948920378863825</v>
      </c>
      <c r="AL94" s="20">
        <f t="shared" si="58"/>
        <v>427.29039899318769</v>
      </c>
      <c r="AM94" s="59">
        <f t="shared" si="59"/>
        <v>720.62373232652101</v>
      </c>
      <c r="AN94" s="59">
        <f ca="1">AVERAGE(OFFSET($AM$3,0,0,'Données projet'!$E$10+1,1))-AVERAGE(OFFSET($H$3,0,0,'Données projet'!$E$10+1,1))</f>
        <v>242.48830542479988</v>
      </c>
      <c r="AO94" s="59">
        <f t="shared" si="90"/>
        <v>226.11219631227061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48.510638444070452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48.510638444070452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7.1655555555555566</v>
      </c>
      <c r="BD94" s="12">
        <f>IF('Données projet'!$A$88&gt;35,BD93+BC94-BL93,IF(A94&lt;'Données projet'!$A$88,$BA$205^A94,IF(A94='Données projet'!$A$88,'Données projet'!$B$88,BD93+BC94-BL93)))</f>
        <v>289.03888888888878</v>
      </c>
      <c r="BE94" s="13">
        <f>BD94*VLOOKUP('Données projet'!$B$11,Paramètres!$A$1:$I$89,3,0)*VLOOKUP('Données projet'!$B$11,Paramètres!$A$1:$I$89,5,0)</f>
        <v>293.08543333333324</v>
      </c>
      <c r="BF94" s="13">
        <f t="shared" si="91"/>
        <v>69.724943350810875</v>
      </c>
      <c r="BG94" s="20">
        <f t="shared" si="61"/>
        <v>631.89473939155096</v>
      </c>
      <c r="BH94" s="59">
        <f t="shared" si="62"/>
        <v>925.22807272488421</v>
      </c>
      <c r="BI94" s="59">
        <f ca="1">AVERAGE(OFFSET($BH$3,0,0,'Données projet'!$E$11+1,1))-AVERAGE(OFFSET($H$3,0,0,'Données projet'!$E$11+1,1))</f>
        <v>402.5435069258703</v>
      </c>
      <c r="BJ94" s="59">
        <f t="shared" si="92"/>
        <v>163.60655195816349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81.54948201818361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81.54948201818361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7.1655555555555566</v>
      </c>
      <c r="BY94" s="12">
        <f>IF('Données projet'!$A$114&gt;35,BY93+BX94-CG93,IF(A94&lt;'Données projet'!$A$114,$BV$205^A94,IF(A94='Données projet'!$A$114,'Données projet'!$B$114,BY93+BX94-CG93)))</f>
        <v>289.03888888888878</v>
      </c>
      <c r="BZ94" s="13">
        <f>BY94*VLOOKUP('Données projet'!$B$12,Paramètres!$A$1:$I$89,3,0)*VLOOKUP('Données projet'!$B$12,Paramètres!$A$1:$I$89,5,0)</f>
        <v>261.52238666666653</v>
      </c>
      <c r="CA94" s="13">
        <f t="shared" si="93"/>
        <v>63.046778925582991</v>
      </c>
      <c r="CB94" s="20">
        <f t="shared" si="64"/>
        <v>565.29129673983459</v>
      </c>
      <c r="CC94" s="59">
        <f t="shared" si="65"/>
        <v>858.62463007316796</v>
      </c>
      <c r="CD94" s="59">
        <f ca="1">AVERAGE(OFFSET($CC$3,0,0,'Données projet'!$E$12+1,1))-AVERAGE(OFFSET($H$3,0,0,'Données projet'!$E$12+1,1))</f>
        <v>350.91577977538822</v>
      </c>
      <c r="CE94" s="59">
        <f t="shared" si="94"/>
        <v>142.87103313412547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72.767230108533056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72.767230108533056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266.99999999999983</v>
      </c>
      <c r="CU94" s="17">
        <f>CT94*VLOOKUP('Données projet'!$B$13,Paramètres!$A$1:$I$89,3,0)*VLOOKUP('Données projet'!$B$13,Paramètres!$A$1:$I$89,5,0)</f>
        <v>216.59039999999987</v>
      </c>
      <c r="CV94" s="13">
        <f t="shared" si="95"/>
        <v>53.373153688190904</v>
      </c>
      <c r="CW94" s="20">
        <f t="shared" si="67"/>
        <v>470.18652267359886</v>
      </c>
      <c r="CX94" s="59">
        <f t="shared" si="68"/>
        <v>763.51985600693217</v>
      </c>
      <c r="CY94" s="59">
        <f ca="1">AVERAGE(OFFSET($CX$3,0,0,'Données projet'!$E$13+1,1))-AVERAGE(OFFSET($H$3,0,0,'Données projet'!$E$13+1,1))</f>
        <v>230.38929580146208</v>
      </c>
      <c r="CZ94" s="59">
        <f t="shared" si="96"/>
        <v>227.1847788696258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35.57796708355923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35.57796708355923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5.7939999999999943</v>
      </c>
      <c r="DO94" s="12">
        <f>IF('Données projet'!$A$166&gt;35,DO93+DN94-DW93,IF(A94&lt;'Données projet'!$A$166,$DL$205^A94,IF(A94='Données projet'!$A$166,'Données projet'!$B$166,DO93+DN94-DW93)))</f>
        <v>234.27399999999977</v>
      </c>
      <c r="DP94" s="17">
        <f>DO94*VLOOKUP('Données projet'!$B$14,Paramètres!$A$1:$I$89,3,0)*VLOOKUP('Données projet'!$B$14,Paramètres!$A$1:$I$89,5,0)</f>
        <v>140.09585199999989</v>
      </c>
      <c r="DQ94" s="13">
        <f t="shared" si="97"/>
        <v>36.318962967457523</v>
      </c>
      <c r="DR94" s="20">
        <f t="shared" si="70"/>
        <v>307.25580273498827</v>
      </c>
      <c r="DS94" s="59">
        <f t="shared" si="71"/>
        <v>600.58913606832152</v>
      </c>
      <c r="DT94" s="59">
        <f ca="1">AVERAGE(OFFSET($DS$3,0,0,'Données projet'!$E$14+1,1))-AVERAGE(OFFSET($H$3,0,0,'Données projet'!$E$14+1,1))</f>
        <v>145.97103392561058</v>
      </c>
      <c r="DU94" s="59">
        <f t="shared" si="98"/>
        <v>62.920713953681172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67.031772873869002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67.031772873869002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0.8600000000003547</v>
      </c>
      <c r="O95" s="13">
        <f>N95*VLOOKUP('Données projet'!$B$9,Paramètres!$A$1:$I$89,3,0)*VLOOKUP('Données projet'!$B$9,Paramètres!$A$1:$I$89,5,0)</f>
        <v>0.48074000000019829</v>
      </c>
      <c r="P95" s="13">
        <f t="shared" si="87"/>
        <v>0.24126147010950588</v>
      </c>
      <c r="Q95" s="20">
        <f t="shared" si="54"/>
        <v>1.2574858937744013</v>
      </c>
      <c r="R95" s="59">
        <f t="shared" si="55"/>
        <v>294.59081922710772</v>
      </c>
      <c r="S95" s="59">
        <f ca="1">AVERAGE(OFFSET($R$3,0,0,'Données projet'!$E$9+1,1))-AVERAGE(OFFSET($H$3,0,0,'Données projet'!$E$9+1,1))</f>
        <v>350.01600895263641</v>
      </c>
      <c r="T95" s="59">
        <f t="shared" si="88"/>
        <v>464.08921044376882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178.67582729944377</v>
      </c>
      <c r="AA95" s="21">
        <f>EXP(-LN(2)/25)*AA94+(1-EXP(-LN(2)/25))/(LN(2)/25)*Calculateur!V95*Calculateur!X95*VLOOKUP('Données projet'!$B$9,Paramètres!$A$1:$I$89,3,0)*0.475*44/12</f>
        <v>9.0646175279793191</v>
      </c>
      <c r="AB95" s="21">
        <f>EXP(-LN(2)/2)*AB94+(1-EXP(-LN(2)/2))/(LN(2)/2)*V95*Y95*VLOOKUP('Données projet'!$B$9,Paramètres!$A$1:$I$89,3,0)*0.475*44/12</f>
        <v>3.445523460688126E-10</v>
      </c>
      <c r="AC95" s="22">
        <f t="shared" si="57"/>
        <v>187.74044482776765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2.8</v>
      </c>
      <c r="AI95" s="13">
        <f>IF('Données projet'!$A$62&gt;35,AI94+AH95-AQ94,IF(A95&lt;'Données projet'!$A$62,$AF$205^A95,IF(A95='Données projet'!$A$62,'Données projet'!$B$62,AI94+AH95-AQ94)))</f>
        <v>227.59999999999991</v>
      </c>
      <c r="AJ95" s="13">
        <f>AI95*VLOOKUP('Données projet'!$B$10,Paramètres!$A$1:$I$89,3,0)*VLOOKUP('Données projet'!$B$10,Paramètres!$A$1:$I$89,5,0)</f>
        <v>198.83135999999993</v>
      </c>
      <c r="AK95" s="13">
        <f t="shared" si="89"/>
        <v>49.487248492242287</v>
      </c>
      <c r="AL95" s="20">
        <f t="shared" si="58"/>
        <v>432.48824312398847</v>
      </c>
      <c r="AM95" s="59">
        <f t="shared" si="59"/>
        <v>725.82157645732173</v>
      </c>
      <c r="AN95" s="59">
        <f ca="1">AVERAGE(OFFSET($AM$3,0,0,'Données projet'!$E$10+1,1))-AVERAGE(OFFSET($H$3,0,0,'Données projet'!$E$10+1,1))</f>
        <v>242.48830542479988</v>
      </c>
      <c r="AO95" s="59">
        <f t="shared" si="90"/>
        <v>226.11219631227061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47.559374412750053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47.559374412750053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7.1655555555555566</v>
      </c>
      <c r="BD95" s="12">
        <f>IF('Données projet'!$A$88&gt;35,BD94+BC95-BL94,IF(A95&lt;'Données projet'!$A$88,$BA$205^A95,IF(A95='Données projet'!$A$88,'Données projet'!$B$88,BD94+BC95-BL94)))</f>
        <v>296.20444444444433</v>
      </c>
      <c r="BE95" s="13">
        <f>BD95*VLOOKUP('Données projet'!$B$11,Paramètres!$A$1:$I$89,3,0)*VLOOKUP('Données projet'!$B$11,Paramètres!$A$1:$I$89,5,0)</f>
        <v>300.35130666666657</v>
      </c>
      <c r="BF95" s="13">
        <f t="shared" si="91"/>
        <v>71.250105829719871</v>
      </c>
      <c r="BG95" s="20">
        <f t="shared" si="61"/>
        <v>647.20579343120642</v>
      </c>
      <c r="BH95" s="59">
        <f t="shared" si="62"/>
        <v>940.53912676453979</v>
      </c>
      <c r="BI95" s="59">
        <f ca="1">AVERAGE(OFFSET($BH$3,0,0,'Données projet'!$E$11+1,1))-AVERAGE(OFFSET($H$3,0,0,'Données projet'!$E$11+1,1))</f>
        <v>402.5435069258703</v>
      </c>
      <c r="BJ95" s="59">
        <f t="shared" si="92"/>
        <v>163.60655195816349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79.950346416079611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79.950346416079611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7.1655555555555566</v>
      </c>
      <c r="BY95" s="12">
        <f>IF('Données projet'!$A$114&gt;35,BY94+BX95-CG94,IF(A95&lt;'Données projet'!$A$114,$BV$205^A95,IF(A95='Données projet'!$A$114,'Données projet'!$B$114,BY94+BX95-CG94)))</f>
        <v>296.20444444444433</v>
      </c>
      <c r="BZ95" s="13">
        <f>BY95*VLOOKUP('Données projet'!$B$12,Paramètres!$A$1:$I$89,3,0)*VLOOKUP('Données projet'!$B$12,Paramètres!$A$1:$I$89,5,0)</f>
        <v>268.00578133333323</v>
      </c>
      <c r="CA95" s="13">
        <f t="shared" si="93"/>
        <v>64.425863325115259</v>
      </c>
      <c r="CB95" s="20">
        <f t="shared" si="64"/>
        <v>578.98511444679775</v>
      </c>
      <c r="CC95" s="59">
        <f t="shared" si="65"/>
        <v>872.31844778013101</v>
      </c>
      <c r="CD95" s="59">
        <f ca="1">AVERAGE(OFFSET($CC$3,0,0,'Données projet'!$E$12+1,1))-AVERAGE(OFFSET($H$3,0,0,'Données projet'!$E$12+1,1))</f>
        <v>350.91577977538822</v>
      </c>
      <c r="CE95" s="59">
        <f t="shared" si="94"/>
        <v>142.87103313412547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71.340309109732573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71.340309109732573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266.99999999999983</v>
      </c>
      <c r="CU95" s="17">
        <f>CT95*VLOOKUP('Données projet'!$B$13,Paramètres!$A$1:$I$89,3,0)*VLOOKUP('Données projet'!$B$13,Paramètres!$A$1:$I$89,5,0)</f>
        <v>216.59039999999987</v>
      </c>
      <c r="CV95" s="13">
        <f t="shared" si="95"/>
        <v>53.373153688190904</v>
      </c>
      <c r="CW95" s="20">
        <f t="shared" si="67"/>
        <v>470.18652267359886</v>
      </c>
      <c r="CX95" s="59">
        <f t="shared" si="68"/>
        <v>763.51985600693217</v>
      </c>
      <c r="CY95" s="59">
        <f ca="1">AVERAGE(OFFSET($CX$3,0,0,'Données projet'!$E$13+1,1))-AVERAGE(OFFSET($H$3,0,0,'Données projet'!$E$13+1,1))</f>
        <v>230.38929580146208</v>
      </c>
      <c r="CZ95" s="59">
        <f t="shared" si="96"/>
        <v>227.1847788696258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34.880304849467819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34.880304849467819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5.7939999999999943</v>
      </c>
      <c r="DO95" s="12">
        <f>IF('Données projet'!$A$166&gt;35,DO94+DN95-DW94,IF(A95&lt;'Données projet'!$A$166,$DL$205^A95,IF(A95='Données projet'!$A$166,'Données projet'!$B$166,DO94+DN95-DW94)))</f>
        <v>240.06799999999976</v>
      </c>
      <c r="DP95" s="17">
        <f>DO95*VLOOKUP('Données projet'!$B$14,Paramètres!$A$1:$I$89,3,0)*VLOOKUP('Données projet'!$B$14,Paramètres!$A$1:$I$89,5,0)</f>
        <v>143.56066399999986</v>
      </c>
      <c r="DQ95" s="13">
        <f t="shared" si="97"/>
        <v>37.111507481417952</v>
      </c>
      <c r="DR95" s="20">
        <f t="shared" si="70"/>
        <v>314.6706986634693</v>
      </c>
      <c r="DS95" s="59">
        <f t="shared" si="71"/>
        <v>608.00403199680261</v>
      </c>
      <c r="DT95" s="59">
        <f ca="1">AVERAGE(OFFSET($DS$3,0,0,'Données projet'!$E$14+1,1))-AVERAGE(OFFSET($H$3,0,0,'Données projet'!$E$14+1,1))</f>
        <v>145.97103392561058</v>
      </c>
      <c r="DU95" s="59">
        <f t="shared" si="98"/>
        <v>62.920713953681172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65.717320693156793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65.717320693156793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0.8600000000003547</v>
      </c>
      <c r="O96" s="13">
        <f>N96*VLOOKUP('Données projet'!$B$9,Paramètres!$A$1:$I$89,3,0)*VLOOKUP('Données projet'!$B$9,Paramètres!$A$1:$I$89,5,0)</f>
        <v>0.48074000000019829</v>
      </c>
      <c r="P96" s="13">
        <f t="shared" si="87"/>
        <v>0.24126147010950588</v>
      </c>
      <c r="Q96" s="20">
        <f t="shared" si="54"/>
        <v>1.2574858937744013</v>
      </c>
      <c r="R96" s="59">
        <f t="shared" si="55"/>
        <v>294.59081922710772</v>
      </c>
      <c r="S96" s="59">
        <f ca="1">AVERAGE(OFFSET($R$3,0,0,'Données projet'!$E$9+1,1))-AVERAGE(OFFSET($H$3,0,0,'Données projet'!$E$9+1,1))</f>
        <v>350.01600895263641</v>
      </c>
      <c r="T96" s="59">
        <f t="shared" si="88"/>
        <v>464.08921044376882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175.17210330759531</v>
      </c>
      <c r="AA96" s="21">
        <f>EXP(-LN(2)/25)*AA95+(1-EXP(-LN(2)/25))/(LN(2)/25)*Calculateur!V96*Calculateur!X96*VLOOKUP('Données projet'!$B$9,Paramètres!$A$1:$I$89,3,0)*0.475*44/12</f>
        <v>8.8167450849892059</v>
      </c>
      <c r="AB96" s="21">
        <f>EXP(-LN(2)/2)*AB95+(1-EXP(-LN(2)/2))/(LN(2)/2)*V96*Y96*VLOOKUP('Données projet'!$B$9,Paramètres!$A$1:$I$89,3,0)*0.475*44/12</f>
        <v>2.4363530037899146E-10</v>
      </c>
      <c r="AC96" s="22">
        <f t="shared" si="57"/>
        <v>183.98884839282815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2.8</v>
      </c>
      <c r="AI96" s="13">
        <f>IF('Données projet'!$A$62&gt;35,AI95+AH96-AQ95,IF(A96&lt;'Données projet'!$A$62,$AF$205^A96,IF(A96='Données projet'!$A$62,'Données projet'!$B$62,AI95+AH96-AQ95)))</f>
        <v>230.39999999999992</v>
      </c>
      <c r="AJ96" s="13">
        <f>AI96*VLOOKUP('Données projet'!$B$10,Paramètres!$A$1:$I$89,3,0)*VLOOKUP('Données projet'!$B$10,Paramètres!$A$1:$I$89,5,0)</f>
        <v>201.27743999999996</v>
      </c>
      <c r="AK96" s="13">
        <f t="shared" si="89"/>
        <v>50.024806258462775</v>
      </c>
      <c r="AL96" s="20">
        <f t="shared" si="58"/>
        <v>437.68474556682258</v>
      </c>
      <c r="AM96" s="59">
        <f t="shared" si="59"/>
        <v>731.01807890015584</v>
      </c>
      <c r="AN96" s="59">
        <f ca="1">AVERAGE(OFFSET($AM$3,0,0,'Données projet'!$E$10+1,1))-AVERAGE(OFFSET($H$3,0,0,'Données projet'!$E$10+1,1))</f>
        <v>242.48830542479988</v>
      </c>
      <c r="AO96" s="59">
        <f t="shared" si="90"/>
        <v>226.11219631227061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46.626764088870083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46.626764088870083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>
        <f>VLOOKUP(A96,'Données projet'!$A$87:$I$107,2,0)</f>
        <v>303.37</v>
      </c>
      <c r="BB96" s="12">
        <f>VLOOKUP(A96,'Données projet'!$A$87:$I$107,9,0)</f>
        <v>7.1655555555555566</v>
      </c>
      <c r="BC96" s="12">
        <f t="array" ref="BC96">INDEX(BB:BB,MIN(IF(ISNUMBER(BB96:BB292),ROW(BB96:BB292),"")))</f>
        <v>7.1655555555555566</v>
      </c>
      <c r="BD96" s="12">
        <f>IF('Données projet'!$A$88&gt;35,BD95+BC96-BL95,IF(A96&lt;'Données projet'!$A$88,$BA$205^A96,IF(A96='Données projet'!$A$88,'Données projet'!$B$88,BD95+BC96-BL95)))</f>
        <v>303.36999999999989</v>
      </c>
      <c r="BE96" s="13">
        <f>BD96*VLOOKUP('Données projet'!$B$11,Paramètres!$A$1:$I$89,3,0)*VLOOKUP('Données projet'!$B$11,Paramètres!$A$1:$I$89,5,0)</f>
        <v>307.61717999999991</v>
      </c>
      <c r="BF96" s="13">
        <f t="shared" si="91"/>
        <v>72.770979261218784</v>
      </c>
      <c r="BG96" s="20">
        <f t="shared" si="61"/>
        <v>662.50937737995594</v>
      </c>
      <c r="BH96" s="59">
        <f t="shared" si="62"/>
        <v>955.84271071328931</v>
      </c>
      <c r="BI96" s="59">
        <f ca="1">AVERAGE(OFFSET($BH$3,0,0,'Données projet'!$E$11+1,1))-AVERAGE(OFFSET($H$3,0,0,'Données projet'!$E$11+1,1))</f>
        <v>402.5435069258703</v>
      </c>
      <c r="BJ96" s="59">
        <f t="shared" si="92"/>
        <v>163.60655195816349</v>
      </c>
      <c r="BK96" s="15">
        <f>IF(ISNA(VLOOKUP(A96,'Données projet'!$A$87:$I$107,3,0)),0,VLOOKUP(A96,'Données projet'!$A$87:$I$107,3,0))</f>
        <v>7</v>
      </c>
      <c r="BL96" s="15">
        <f>IF(ISNA(VLOOKUP(A96,'Données projet'!$A$87:$I$107,4,0)),0,VLOOKUP(A96,'Données projet'!$A$87:$I$107,4,0))</f>
        <v>38.57</v>
      </c>
      <c r="BM96" s="16">
        <f>IF(ISNA(VLOOKUP(A96,'Données projet'!$A$87:$I$107,5,0)),0%,VLOOKUP(A96,'Données projet'!$A$87:$I$107,5,0)*VLOOKUP('Données projet'!$B$11,Paramètres!$A$1:$I$89,7,0))</f>
        <v>0.43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96.973586394430697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96.973586394430697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>
        <f>VLOOKUP(A96,'Données projet'!$A$113:$I$133,2,0)</f>
        <v>303.37</v>
      </c>
      <c r="BW96" s="12">
        <f>VLOOKUP(A96,'Données projet'!$A$113:$I$133,9,0)</f>
        <v>7.1655555555555566</v>
      </c>
      <c r="BX96" s="12">
        <f t="array" ref="BX96">INDEX(BW:BW,MIN(IF(ISNUMBER(BW96:BW292),ROW(BW96:BW292),"")))</f>
        <v>7.1655555555555566</v>
      </c>
      <c r="BY96" s="12">
        <f>IF('Données projet'!$A$114&gt;35,BY95+BX96-CG95,IF(A96&lt;'Données projet'!$A$114,$BV$205^A96,IF(A96='Données projet'!$A$114,'Données projet'!$B$114,BY95+BX96-CG95)))</f>
        <v>303.36999999999989</v>
      </c>
      <c r="BZ96" s="13">
        <f>BY96*VLOOKUP('Données projet'!$B$12,Paramètres!$A$1:$I$89,3,0)*VLOOKUP('Données projet'!$B$12,Paramètres!$A$1:$I$89,5,0)</f>
        <v>274.48917599999987</v>
      </c>
      <c r="CA96" s="13">
        <f t="shared" si="93"/>
        <v>65.801069476622018</v>
      </c>
      <c r="CB96" s="20">
        <f t="shared" si="64"/>
        <v>592.67217753844977</v>
      </c>
      <c r="CC96" s="59">
        <f t="shared" si="65"/>
        <v>886.00551087178314</v>
      </c>
      <c r="CD96" s="59">
        <f ca="1">AVERAGE(OFFSET($CC$3,0,0,'Données projet'!$E$12+1,1))-AVERAGE(OFFSET($H$3,0,0,'Données projet'!$E$12+1,1))</f>
        <v>350.91577977538822</v>
      </c>
      <c r="CE96" s="59">
        <f t="shared" si="94"/>
        <v>142.87103313412547</v>
      </c>
      <c r="CF96" s="15">
        <f>IF(ISNA(VLOOKUP(A96,'Données projet'!$A$113:$I$133,3,0)),0,VLOOKUP(A96,'Données projet'!$A$113:$I$133,3,0))</f>
        <v>7</v>
      </c>
      <c r="CG96" s="15">
        <f>IF(ISNA(VLOOKUP(A96,'Données projet'!$A$113:$I$133,4,0)),0,VLOOKUP(A96,'Données projet'!$A$113:$I$133,4,0))</f>
        <v>38.57</v>
      </c>
      <c r="CH96" s="16">
        <f>IF(ISNA(VLOOKUP(A96,'Données projet'!$A$113:$I$133,5,0)),0%,VLOOKUP(A96,'Données projet'!$A$113:$I$133,5,0)*VLOOKUP('Données projet'!$B$12,Paramètres!$A$1:$I$89,7,0))</f>
        <v>0.43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86.530277090415069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86.530277090415069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266.99999999999983</v>
      </c>
      <c r="CU96" s="17">
        <f>CT96*VLOOKUP('Données projet'!$B$13,Paramètres!$A$1:$I$89,3,0)*VLOOKUP('Données projet'!$B$13,Paramètres!$A$1:$I$89,5,0)</f>
        <v>216.59039999999987</v>
      </c>
      <c r="CV96" s="13">
        <f t="shared" si="95"/>
        <v>53.373153688190904</v>
      </c>
      <c r="CW96" s="20">
        <f t="shared" si="67"/>
        <v>470.18652267359886</v>
      </c>
      <c r="CX96" s="59">
        <f t="shared" si="68"/>
        <v>763.51985600693217</v>
      </c>
      <c r="CY96" s="59">
        <f ca="1">AVERAGE(OFFSET($CX$3,0,0,'Données projet'!$E$13+1,1))-AVERAGE(OFFSET($H$3,0,0,'Données projet'!$E$13+1,1))</f>
        <v>230.38929580146208</v>
      </c>
      <c r="CZ96" s="59">
        <f t="shared" si="96"/>
        <v>227.1847788696258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34.196323346254992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34.196323346254992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5.7939999999999943</v>
      </c>
      <c r="DO96" s="12">
        <f>IF('Données projet'!$A$166&gt;35,DO95+DN96-DW95,IF(A96&lt;'Données projet'!$A$166,$DL$205^A96,IF(A96='Données projet'!$A$166,'Données projet'!$B$166,DO95+DN96-DW95)))</f>
        <v>245.86199999999974</v>
      </c>
      <c r="DP96" s="17">
        <f>DO96*VLOOKUP('Données projet'!$B$14,Paramètres!$A$1:$I$89,3,0)*VLOOKUP('Données projet'!$B$14,Paramètres!$A$1:$I$89,5,0)</f>
        <v>147.02547599999986</v>
      </c>
      <c r="DQ96" s="13">
        <f t="shared" si="97"/>
        <v>37.90182840116551</v>
      </c>
      <c r="DR96" s="20">
        <f t="shared" si="70"/>
        <v>322.0817218320297</v>
      </c>
      <c r="DS96" s="59">
        <f t="shared" si="71"/>
        <v>615.41505516536301</v>
      </c>
      <c r="DT96" s="59">
        <f ca="1">AVERAGE(OFFSET($DS$3,0,0,'Données projet'!$E$14+1,1))-AVERAGE(OFFSET($H$3,0,0,'Données projet'!$E$14+1,1))</f>
        <v>145.97103392561058</v>
      </c>
      <c r="DU96" s="59">
        <f t="shared" si="98"/>
        <v>62.920713953681172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64.428644117971686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64.428644117971686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0.8600000000003547</v>
      </c>
      <c r="O97" s="13">
        <f>N97*VLOOKUP('Données projet'!$B$9,Paramètres!$A$1:$I$89,3,0)*VLOOKUP('Données projet'!$B$9,Paramètres!$A$1:$I$89,5,0)</f>
        <v>0.48074000000019829</v>
      </c>
      <c r="P97" s="13">
        <f t="shared" si="87"/>
        <v>0.24126147010950588</v>
      </c>
      <c r="Q97" s="20">
        <f t="shared" si="54"/>
        <v>1.2574858937744013</v>
      </c>
      <c r="R97" s="59">
        <f t="shared" si="55"/>
        <v>294.59081922710772</v>
      </c>
      <c r="S97" s="59">
        <f ca="1">AVERAGE(OFFSET($R$3,0,0,'Données projet'!$E$9+1,1))-AVERAGE(OFFSET($H$3,0,0,'Données projet'!$E$9+1,1))</f>
        <v>350.01600895263641</v>
      </c>
      <c r="T97" s="59">
        <f t="shared" si="88"/>
        <v>464.08921044376882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171.73708520616637</v>
      </c>
      <c r="AA97" s="21">
        <f>EXP(-LN(2)/25)*AA96+(1-EXP(-LN(2)/25))/(LN(2)/25)*Calculateur!V97*Calculateur!X97*VLOOKUP('Données projet'!$B$9,Paramètres!$A$1:$I$89,3,0)*0.475*44/12</f>
        <v>8.5756507269877034</v>
      </c>
      <c r="AB97" s="21">
        <f>EXP(-LN(2)/2)*AB96+(1-EXP(-LN(2)/2))/(LN(2)/2)*V97*Y97*VLOOKUP('Données projet'!$B$9,Paramètres!$A$1:$I$89,3,0)*0.475*44/12</f>
        <v>1.722761730344063E-10</v>
      </c>
      <c r="AC97" s="22">
        <f t="shared" si="57"/>
        <v>180.31273593332634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2.8</v>
      </c>
      <c r="AI97" s="13">
        <f>IF('Données projet'!$A$62&gt;35,AI96+AH97-AQ96,IF(A97&lt;'Données projet'!$A$62,$AF$205^A97,IF(A97='Données projet'!$A$62,'Données projet'!$B$62,AI96+AH97-AQ96)))</f>
        <v>233.19999999999993</v>
      </c>
      <c r="AJ97" s="13">
        <f>AI97*VLOOKUP('Données projet'!$B$10,Paramètres!$A$1:$I$89,3,0)*VLOOKUP('Données projet'!$B$10,Paramètres!$A$1:$I$89,5,0)</f>
        <v>203.72351999999998</v>
      </c>
      <c r="AK97" s="13">
        <f t="shared" si="89"/>
        <v>50.561604122231515</v>
      </c>
      <c r="AL97" s="20">
        <f t="shared" si="58"/>
        <v>442.87992451288648</v>
      </c>
      <c r="AM97" s="59">
        <f t="shared" si="59"/>
        <v>736.21325784621979</v>
      </c>
      <c r="AN97" s="59">
        <f ca="1">AVERAGE(OFFSET($AM$3,0,0,'Données projet'!$E$10+1,1))-AVERAGE(OFFSET($H$3,0,0,'Données projet'!$E$10+1,1))</f>
        <v>242.48830542479988</v>
      </c>
      <c r="AO97" s="59">
        <f t="shared" si="90"/>
        <v>226.11219631227061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45.712441684605267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45.712441684605267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7.2909999999999968</v>
      </c>
      <c r="BD97" s="12">
        <f>IF('Données projet'!$A$88&gt;35,BD96+BC97-BL96,IF(A97&lt;'Données projet'!$A$88,$BA$205^A97,IF(A97='Données projet'!$A$88,'Données projet'!$B$88,BD96+BC97-BL96)))</f>
        <v>272.09099999999989</v>
      </c>
      <c r="BE97" s="13">
        <f>BD97*VLOOKUP('Données projet'!$B$11,Paramètres!$A$1:$I$89,3,0)*VLOOKUP('Données projet'!$B$11,Paramètres!$A$1:$I$89,5,0)</f>
        <v>275.90027399999991</v>
      </c>
      <c r="BF97" s="13">
        <f t="shared" si="91"/>
        <v>66.099876569325986</v>
      </c>
      <c r="BG97" s="20">
        <f t="shared" si="61"/>
        <v>595.65026224157589</v>
      </c>
      <c r="BH97" s="59">
        <f t="shared" si="62"/>
        <v>888.98359557490926</v>
      </c>
      <c r="BI97" s="59">
        <f ca="1">AVERAGE(OFFSET($BH$3,0,0,'Données projet'!$E$11+1,1))-AVERAGE(OFFSET($H$3,0,0,'Données projet'!$E$11+1,1))</f>
        <v>402.5435069258703</v>
      </c>
      <c r="BJ97" s="59">
        <f t="shared" si="92"/>
        <v>163.60655195816349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95.071993513283232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95.071993513283232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7.2909999999999968</v>
      </c>
      <c r="BY97" s="12">
        <f>IF('Données projet'!$A$114&gt;35,BY96+BX97-CG96,IF(A97&lt;'Données projet'!$A$114,$BV$205^A97,IF(A97='Données projet'!$A$114,'Données projet'!$B$114,BY96+BX97-CG96)))</f>
        <v>272.09099999999989</v>
      </c>
      <c r="BZ97" s="13">
        <f>BY97*VLOOKUP('Données projet'!$B$12,Paramètres!$A$1:$I$89,3,0)*VLOOKUP('Données projet'!$B$12,Paramètres!$A$1:$I$89,5,0)</f>
        <v>246.18793679999987</v>
      </c>
      <c r="CA97" s="13">
        <f t="shared" si="93"/>
        <v>59.76891632750467</v>
      </c>
      <c r="CB97" s="20">
        <f t="shared" si="64"/>
        <v>532.8748525304037</v>
      </c>
      <c r="CC97" s="59">
        <f t="shared" si="65"/>
        <v>826.20818586373707</v>
      </c>
      <c r="CD97" s="59">
        <f ca="1">AVERAGE(OFFSET($CC$3,0,0,'Données projet'!$E$12+1,1))-AVERAGE(OFFSET($H$3,0,0,'Données projet'!$E$12+1,1))</f>
        <v>350.91577977538822</v>
      </c>
      <c r="CE97" s="59">
        <f t="shared" si="94"/>
        <v>142.87103313412547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84.833471134929638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84.833471134929638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266.99999999999983</v>
      </c>
      <c r="CU97" s="17">
        <f>CT97*VLOOKUP('Données projet'!$B$13,Paramètres!$A$1:$I$89,3,0)*VLOOKUP('Données projet'!$B$13,Paramètres!$A$1:$I$89,5,0)</f>
        <v>216.59039999999987</v>
      </c>
      <c r="CV97" s="13">
        <f t="shared" si="95"/>
        <v>53.373153688190904</v>
      </c>
      <c r="CW97" s="20">
        <f t="shared" si="67"/>
        <v>470.18652267359886</v>
      </c>
      <c r="CX97" s="59">
        <f t="shared" si="68"/>
        <v>763.51985600693217</v>
      </c>
      <c r="CY97" s="59">
        <f ca="1">AVERAGE(OFFSET($CX$3,0,0,'Données projet'!$E$13+1,1))-AVERAGE(OFFSET($H$3,0,0,'Données projet'!$E$13+1,1))</f>
        <v>230.38929580146208</v>
      </c>
      <c r="CZ97" s="59">
        <f t="shared" si="96"/>
        <v>227.1847788696258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33.525754303132643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33.525754303132643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5.7939999999999943</v>
      </c>
      <c r="DO97" s="12">
        <f>IF('Données projet'!$A$166&gt;35,DO96+DN97-DW96,IF(A97&lt;'Données projet'!$A$166,$DL$205^A97,IF(A97='Données projet'!$A$166,'Données projet'!$B$166,DO96+DN97-DW96)))</f>
        <v>251.65599999999972</v>
      </c>
      <c r="DP97" s="17">
        <f>DO97*VLOOKUP('Données projet'!$B$14,Paramètres!$A$1:$I$89,3,0)*VLOOKUP('Données projet'!$B$14,Paramètres!$A$1:$I$89,5,0)</f>
        <v>150.49028799999985</v>
      </c>
      <c r="DQ97" s="13">
        <f t="shared" si="97"/>
        <v>38.689984158356893</v>
      </c>
      <c r="DR97" s="20">
        <f t="shared" si="70"/>
        <v>329.48897400913796</v>
      </c>
      <c r="DS97" s="59">
        <f t="shared" si="71"/>
        <v>622.82230734247128</v>
      </c>
      <c r="DT97" s="59">
        <f ca="1">AVERAGE(OFFSET($DS$3,0,0,'Données projet'!$E$14+1,1))-AVERAGE(OFFSET($H$3,0,0,'Données projet'!$E$14+1,1))</f>
        <v>145.97103392561058</v>
      </c>
      <c r="DU97" s="59">
        <f t="shared" si="98"/>
        <v>62.920713953681172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63.165237704410856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63.165237704410856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0.8600000000003547</v>
      </c>
      <c r="O98" s="13">
        <f>N98*VLOOKUP('Données projet'!$B$9,Paramètres!$A$1:$I$89,3,0)*VLOOKUP('Données projet'!$B$9,Paramètres!$A$1:$I$89,5,0)</f>
        <v>0.48074000000019829</v>
      </c>
      <c r="P98" s="13">
        <f t="shared" si="87"/>
        <v>0.24126147010950588</v>
      </c>
      <c r="Q98" s="20">
        <f t="shared" si="54"/>
        <v>1.2574858937744013</v>
      </c>
      <c r="R98" s="59">
        <f t="shared" si="55"/>
        <v>294.59081922710772</v>
      </c>
      <c r="S98" s="59">
        <f ca="1">AVERAGE(OFFSET($R$3,0,0,'Données projet'!$E$9+1,1))-AVERAGE(OFFSET($H$3,0,0,'Données projet'!$E$9+1,1))</f>
        <v>350.01600895263641</v>
      </c>
      <c r="T98" s="59">
        <f t="shared" si="88"/>
        <v>464.08921044376882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168.36942571455228</v>
      </c>
      <c r="AA98" s="21">
        <f>EXP(-LN(2)/25)*AA97+(1-EXP(-LN(2)/25))/(LN(2)/25)*Calculateur!V98*Calculateur!X98*VLOOKUP('Données projet'!$B$9,Paramètres!$A$1:$I$89,3,0)*0.475*44/12</f>
        <v>8.3411491068843535</v>
      </c>
      <c r="AB98" s="21">
        <f>EXP(-LN(2)/2)*AB97+(1-EXP(-LN(2)/2))/(LN(2)/2)*V98*Y98*VLOOKUP('Données projet'!$B$9,Paramètres!$A$1:$I$89,3,0)*0.475*44/12</f>
        <v>1.2181765018949573E-10</v>
      </c>
      <c r="AC98" s="22">
        <f t="shared" si="57"/>
        <v>176.71057482155845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236</v>
      </c>
      <c r="AG98" s="12">
        <f>VLOOKUP(A98,'Données projet'!$A$61:$I$81,9,0)</f>
        <v>2.8</v>
      </c>
      <c r="AH98" s="12">
        <f t="array" ref="AH98">INDEX(AG:AG,MIN(IF(ISNUMBER(AG98:AG294),ROW(AG98:AG294),"")))</f>
        <v>2.8</v>
      </c>
      <c r="AI98" s="13">
        <f>IF('Données projet'!$A$62&gt;35,AI97+AH98-AQ97,IF(A98&lt;'Données projet'!$A$62,$AF$205^A98,IF(A98='Données projet'!$A$62,'Données projet'!$B$62,AI97+AH98-AQ97)))</f>
        <v>235.99999999999994</v>
      </c>
      <c r="AJ98" s="13">
        <f>AI98*VLOOKUP('Données projet'!$B$10,Paramètres!$A$1:$I$89,3,0)*VLOOKUP('Données projet'!$B$10,Paramètres!$A$1:$I$89,5,0)</f>
        <v>206.16959999999995</v>
      </c>
      <c r="AK98" s="13">
        <f t="shared" si="89"/>
        <v>51.097652263007333</v>
      </c>
      <c r="AL98" s="20">
        <f t="shared" si="58"/>
        <v>448.07379769140431</v>
      </c>
      <c r="AM98" s="59">
        <f t="shared" si="59"/>
        <v>741.40713102473762</v>
      </c>
      <c r="AN98" s="59">
        <f ca="1">AVERAGE(OFFSET($AM$3,0,0,'Données projet'!$E$10+1,1))-AVERAGE(OFFSET($H$3,0,0,'Données projet'!$E$10+1,1))</f>
        <v>242.48830542479988</v>
      </c>
      <c r="AO98" s="59">
        <f t="shared" si="90"/>
        <v>226.11219631227061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11</v>
      </c>
      <c r="AR98" s="16">
        <f>IF(ISNA(VLOOKUP(A98,'Données projet'!$A$61:$I$81,5,0)),0%,VLOOKUP(A98,'Données projet'!$A$61:$I$81,5,0)*VLOOKUP('Données projet'!$B$10,Paramètres!$A$1:$I$89,7,0))</f>
        <v>0.43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49.38399369344522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49.38399369344522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7.2909999999999968</v>
      </c>
      <c r="BD98" s="12">
        <f>IF('Données projet'!$A$88&gt;35,BD97+BC98-BL97,IF(A98&lt;'Données projet'!$A$88,$BA$205^A98,IF(A98='Données projet'!$A$88,'Données projet'!$B$88,BD97+BC98-BL97)))</f>
        <v>279.38199999999989</v>
      </c>
      <c r="BE98" s="13">
        <f>BD98*VLOOKUP('Données projet'!$B$11,Paramètres!$A$1:$I$89,3,0)*VLOOKUP('Données projet'!$B$11,Paramètres!$A$1:$I$89,5,0)</f>
        <v>283.29334799999992</v>
      </c>
      <c r="BF98" s="13">
        <f t="shared" si="91"/>
        <v>67.662513628868254</v>
      </c>
      <c r="BG98" s="20">
        <f t="shared" si="61"/>
        <v>611.24812567027868</v>
      </c>
      <c r="BH98" s="59">
        <f t="shared" si="62"/>
        <v>904.58145900361205</v>
      </c>
      <c r="BI98" s="59">
        <f ca="1">AVERAGE(OFFSET($BH$3,0,0,'Données projet'!$E$11+1,1))-AVERAGE(OFFSET($H$3,0,0,'Données projet'!$E$11+1,1))</f>
        <v>402.5435069258703</v>
      </c>
      <c r="BJ98" s="59">
        <f t="shared" si="92"/>
        <v>163.60655195816349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93.207689708677933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93.207689708677933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7.2909999999999968</v>
      </c>
      <c r="BY98" s="12">
        <f>IF('Données projet'!$A$114&gt;35,BY97+BX98-CG97,IF(A98&lt;'Données projet'!$A$114,$BV$205^A98,IF(A98='Données projet'!$A$114,'Données projet'!$B$114,BY97+BX98-CG97)))</f>
        <v>279.38199999999989</v>
      </c>
      <c r="BZ98" s="13">
        <f>BY98*VLOOKUP('Données projet'!$B$12,Paramètres!$A$1:$I$89,3,0)*VLOOKUP('Données projet'!$B$12,Paramètres!$A$1:$I$89,5,0)</f>
        <v>252.78483359999987</v>
      </c>
      <c r="CA98" s="13">
        <f t="shared" si="93"/>
        <v>61.181886041057588</v>
      </c>
      <c r="CB98" s="20">
        <f t="shared" si="64"/>
        <v>546.82537004150845</v>
      </c>
      <c r="CC98" s="59">
        <f t="shared" si="65"/>
        <v>840.15870337484171</v>
      </c>
      <c r="CD98" s="59">
        <f ca="1">AVERAGE(OFFSET($CC$3,0,0,'Données projet'!$E$12+1,1))-AVERAGE(OFFSET($H$3,0,0,'Données projet'!$E$12+1,1))</f>
        <v>350.91577977538822</v>
      </c>
      <c r="CE98" s="59">
        <f t="shared" si="94"/>
        <v>142.87103313412547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83.169938509281835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83.169938509281835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266.99999999999983</v>
      </c>
      <c r="CU98" s="17">
        <f>CT98*VLOOKUP('Données projet'!$B$13,Paramètres!$A$1:$I$89,3,0)*VLOOKUP('Données projet'!$B$13,Paramètres!$A$1:$I$89,5,0)</f>
        <v>216.59039999999987</v>
      </c>
      <c r="CV98" s="13">
        <f t="shared" si="95"/>
        <v>53.373153688190904</v>
      </c>
      <c r="CW98" s="20">
        <f t="shared" si="67"/>
        <v>470.18652267359886</v>
      </c>
      <c r="CX98" s="59">
        <f t="shared" si="68"/>
        <v>763.51985600693217</v>
      </c>
      <c r="CY98" s="59">
        <f ca="1">AVERAGE(OFFSET($CX$3,0,0,'Données projet'!$E$13+1,1))-AVERAGE(OFFSET($H$3,0,0,'Données projet'!$E$13+1,1))</f>
        <v>230.38929580146208</v>
      </c>
      <c r="CZ98" s="59">
        <f t="shared" si="96"/>
        <v>227.1847788696258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32.868334709939198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32.868334709939198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257.45</v>
      </c>
      <c r="DM98" s="12">
        <f>VLOOKUP(A98,'Données projet'!$A$165:$I$185,9,0)</f>
        <v>5.7939999999999943</v>
      </c>
      <c r="DN98" s="12">
        <f t="array" ref="DN98">INDEX(DM:DM,MIN(IF(ISNUMBER(DM98:DM294),ROW(DM98:DM294),"")))</f>
        <v>5.7939999999999943</v>
      </c>
      <c r="DO98" s="12">
        <f>IF('Données projet'!$A$166&gt;35,DO97+DN98-DW97,IF(A98&lt;'Données projet'!$A$166,$DL$205^A98,IF(A98='Données projet'!$A$166,'Données projet'!$B$166,DO97+DN98-DW97)))</f>
        <v>257.4499999999997</v>
      </c>
      <c r="DP98" s="17">
        <f>DO98*VLOOKUP('Données projet'!$B$14,Paramètres!$A$1:$I$89,3,0)*VLOOKUP('Données projet'!$B$14,Paramètres!$A$1:$I$89,5,0)</f>
        <v>153.95509999999982</v>
      </c>
      <c r="DQ98" s="13">
        <f t="shared" si="97"/>
        <v>39.476030340509851</v>
      </c>
      <c r="DR98" s="20">
        <f t="shared" si="70"/>
        <v>336.89255200972099</v>
      </c>
      <c r="DS98" s="59">
        <f t="shared" si="71"/>
        <v>630.2258853430543</v>
      </c>
      <c r="DT98" s="59">
        <f ca="1">AVERAGE(OFFSET($DS$3,0,0,'Données projet'!$E$14+1,1))-AVERAGE(OFFSET($H$3,0,0,'Données projet'!$E$14+1,1))</f>
        <v>145.97103392561058</v>
      </c>
      <c r="DU98" s="59">
        <f t="shared" si="98"/>
        <v>62.920713953681172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61.926605920018133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61.926605920018133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0.8600000000003547</v>
      </c>
      <c r="O99" s="13">
        <f>N99*VLOOKUP('Données projet'!$B$9,Paramètres!$A$1:$I$89,3,0)*VLOOKUP('Données projet'!$B$9,Paramètres!$A$1:$I$89,5,0)</f>
        <v>0.48074000000019829</v>
      </c>
      <c r="P99" s="13">
        <f t="shared" si="87"/>
        <v>0.24126147010950588</v>
      </c>
      <c r="Q99" s="20">
        <f t="shared" ref="Q99:Q130" si="107">(O99+P99)*0.475*44/12</f>
        <v>1.2574858937744013</v>
      </c>
      <c r="R99" s="59">
        <f t="shared" si="55"/>
        <v>294.59081922710772</v>
      </c>
      <c r="S99" s="59">
        <f ca="1">AVERAGE(OFFSET($R$3,0,0,'Données projet'!$E$9+1,1))-AVERAGE(OFFSET($H$3,0,0,'Données projet'!$E$9+1,1))</f>
        <v>350.01600895263641</v>
      </c>
      <c r="T99" s="59">
        <f t="shared" si="88"/>
        <v>464.08921044376882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165.06780397149927</v>
      </c>
      <c r="AA99" s="21">
        <f>EXP(-LN(2)/25)*AA98+(1-EXP(-LN(2)/25))/(LN(2)/25)*Calculateur!V99*Calculateur!X99*VLOOKUP('Données projet'!$B$9,Paramètres!$A$1:$I$89,3,0)*0.475*44/12</f>
        <v>8.1130599459146335</v>
      </c>
      <c r="AB99" s="21">
        <f>EXP(-LN(2)/2)*AB98+(1-EXP(-LN(2)/2))/(LN(2)/2)*V99*Y99*VLOOKUP('Données projet'!$B$9,Paramètres!$A$1:$I$89,3,0)*0.475*44/12</f>
        <v>8.613808651720315E-11</v>
      </c>
      <c r="AC99" s="22">
        <f t="shared" si="57"/>
        <v>173.18086391750006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3</v>
      </c>
      <c r="AI99" s="13">
        <f>IF('Données projet'!$A$62&gt;35,AI98+AH99-AQ98,IF(A99&lt;'Données projet'!$A$62,$AF$205^A99,IF(A99='Données projet'!$A$62,'Données projet'!$B$62,AI98+AH99-AQ98)))</f>
        <v>227.99999999999994</v>
      </c>
      <c r="AJ99" s="13">
        <f>AI99*VLOOKUP('Données projet'!$B$10,Paramètres!$A$1:$I$89,3,0)*VLOOKUP('Données projet'!$B$10,Paramètres!$A$1:$I$89,5,0)</f>
        <v>199.18079999999998</v>
      </c>
      <c r="AK99" s="13">
        <f t="shared" si="89"/>
        <v>49.564089376413683</v>
      </c>
      <c r="AL99" s="20">
        <f t="shared" si="58"/>
        <v>433.23068233058711</v>
      </c>
      <c r="AM99" s="59">
        <f t="shared" si="59"/>
        <v>726.56401566392037</v>
      </c>
      <c r="AN99" s="59">
        <f ca="1">AVERAGE(OFFSET($AM$3,0,0,'Données projet'!$E$10+1,1))-AVERAGE(OFFSET($H$3,0,0,'Données projet'!$E$10+1,1))</f>
        <v>242.48830542479988</v>
      </c>
      <c r="AO99" s="59">
        <f t="shared" si="90"/>
        <v>226.11219631227061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48.415603698378682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48.415603698378682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7.2909999999999968</v>
      </c>
      <c r="BD99" s="12">
        <f>IF('Données projet'!$A$88&gt;35,BD98+BC99-BL98,IF(A99&lt;'Données projet'!$A$88,$BA$205^A99,IF(A99='Données projet'!$A$88,'Données projet'!$B$88,BD98+BC99-BL98)))</f>
        <v>286.67299999999989</v>
      </c>
      <c r="BE99" s="13">
        <f>BD99*VLOOKUP('Données projet'!$B$11,Paramètres!$A$1:$I$89,3,0)*VLOOKUP('Données projet'!$B$11,Paramètres!$A$1:$I$89,5,0)</f>
        <v>290.68642199999988</v>
      </c>
      <c r="BF99" s="13">
        <f t="shared" si="91"/>
        <v>69.220410534780925</v>
      </c>
      <c r="BG99" s="20">
        <f t="shared" si="61"/>
        <v>626.83773333140982</v>
      </c>
      <c r="BH99" s="59">
        <f t="shared" si="62"/>
        <v>920.17106666474319</v>
      </c>
      <c r="BI99" s="59">
        <f ca="1">AVERAGE(OFFSET($BH$3,0,0,'Données projet'!$E$11+1,1))-AVERAGE(OFFSET($H$3,0,0,'Données projet'!$E$11+1,1))</f>
        <v>402.5435069258703</v>
      </c>
      <c r="BJ99" s="59">
        <f t="shared" si="92"/>
        <v>163.60655195816349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91.379943764567898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91.379943764567898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7.2909999999999968</v>
      </c>
      <c r="BY99" s="12">
        <f>IF('Données projet'!$A$114&gt;35,BY98+BX99-CG98,IF(A99&lt;'Données projet'!$A$114,$BV$205^A99,IF(A99='Données projet'!$A$114,'Données projet'!$B$114,BY98+BX99-CG98)))</f>
        <v>286.67299999999989</v>
      </c>
      <c r="BZ99" s="13">
        <f>BY99*VLOOKUP('Données projet'!$B$12,Paramètres!$A$1:$I$89,3,0)*VLOOKUP('Données projet'!$B$12,Paramètres!$A$1:$I$89,5,0)</f>
        <v>259.38173039999987</v>
      </c>
      <c r="CA99" s="13">
        <f t="shared" si="93"/>
        <v>62.590569606732842</v>
      </c>
      <c r="CB99" s="20">
        <f t="shared" si="64"/>
        <v>560.76842251172604</v>
      </c>
      <c r="CC99" s="59">
        <f t="shared" si="65"/>
        <v>854.10175584505942</v>
      </c>
      <c r="CD99" s="59">
        <f ca="1">AVERAGE(OFFSET($CC$3,0,0,'Données projet'!$E$12+1,1))-AVERAGE(OFFSET($H$3,0,0,'Données projet'!$E$12+1,1))</f>
        <v>350.91577977538822</v>
      </c>
      <c r="CE99" s="59">
        <f t="shared" si="94"/>
        <v>142.87103313412547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81.539026743768275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81.539026743768275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266.99999999999983</v>
      </c>
      <c r="CU99" s="17">
        <f>CT99*VLOOKUP('Données projet'!$B$13,Paramètres!$A$1:$I$89,3,0)*VLOOKUP('Données projet'!$B$13,Paramètres!$A$1:$I$89,5,0)</f>
        <v>216.59039999999987</v>
      </c>
      <c r="CV99" s="13">
        <f t="shared" si="95"/>
        <v>53.373153688190904</v>
      </c>
      <c r="CW99" s="20">
        <f t="shared" si="67"/>
        <v>470.18652267359886</v>
      </c>
      <c r="CX99" s="59">
        <f t="shared" si="68"/>
        <v>763.51985600693217</v>
      </c>
      <c r="CY99" s="59">
        <f ca="1">AVERAGE(OFFSET($CX$3,0,0,'Données projet'!$E$13+1,1))-AVERAGE(OFFSET($H$3,0,0,'Données projet'!$E$13+1,1))</f>
        <v>230.38929580146208</v>
      </c>
      <c r="CZ99" s="59">
        <f t="shared" si="96"/>
        <v>227.1847788696258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32.223806713981915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32.223806713981915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6.1240000000000006</v>
      </c>
      <c r="DO99" s="12">
        <f>IF('Données projet'!$A$166&gt;35,DO98+DN99-DW98,IF(A99&lt;'Données projet'!$A$166,$DL$205^A99,IF(A99='Données projet'!$A$166,'Données projet'!$B$166,DO98+DN99-DW98)))</f>
        <v>263.57399999999973</v>
      </c>
      <c r="DP99" s="17">
        <f>DO99*VLOOKUP('Données projet'!$B$14,Paramètres!$A$1:$I$89,3,0)*VLOOKUP('Données projet'!$B$14,Paramètres!$A$1:$I$89,5,0)</f>
        <v>157.61725199999987</v>
      </c>
      <c r="DQ99" s="13">
        <f t="shared" si="97"/>
        <v>40.304611533739696</v>
      </c>
      <c r="DR99" s="20">
        <f t="shared" si="70"/>
        <v>344.71391232126308</v>
      </c>
      <c r="DS99" s="59">
        <f t="shared" si="71"/>
        <v>638.0472456545964</v>
      </c>
      <c r="DT99" s="59">
        <f ca="1">AVERAGE(OFFSET($DS$3,0,0,'Données projet'!$E$14+1,1))-AVERAGE(OFFSET($H$3,0,0,'Données projet'!$E$14+1,1))</f>
        <v>145.97103392561058</v>
      </c>
      <c r="DU99" s="59">
        <f t="shared" si="98"/>
        <v>62.920713953681172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60.71226294942656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60.71226294942656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0.8600000000003547</v>
      </c>
      <c r="O100" s="13">
        <f>N100*VLOOKUP('Données projet'!$B$9,Paramètres!$A$1:$I$89,3,0)*VLOOKUP('Données projet'!$B$9,Paramètres!$A$1:$I$89,5,0)</f>
        <v>0.48074000000019829</v>
      </c>
      <c r="P100" s="13">
        <f t="shared" si="87"/>
        <v>0.24126147010950588</v>
      </c>
      <c r="Q100" s="20">
        <f t="shared" si="107"/>
        <v>1.2574858937744013</v>
      </c>
      <c r="R100" s="59">
        <f t="shared" si="55"/>
        <v>294.59081922710772</v>
      </c>
      <c r="S100" s="59">
        <f ca="1">AVERAGE(OFFSET($R$3,0,0,'Données projet'!$E$9+1,1))-AVERAGE(OFFSET($H$3,0,0,'Données projet'!$E$9+1,1))</f>
        <v>350.01600895263641</v>
      </c>
      <c r="T100" s="59">
        <f t="shared" si="88"/>
        <v>464.08921044376882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161.83092501703712</v>
      </c>
      <c r="AA100" s="21">
        <f>EXP(-LN(2)/25)*AA99+(1-EXP(-LN(2)/25))/(LN(2)/25)*Calculateur!V100*Calculateur!X100*VLOOKUP('Données projet'!$B$9,Paramètres!$A$1:$I$89,3,0)*0.475*44/12</f>
        <v>7.8912078950463176</v>
      </c>
      <c r="AB100" s="21">
        <f>EXP(-LN(2)/2)*AB99+(1-EXP(-LN(2)/2))/(LN(2)/2)*V100*Y100*VLOOKUP('Données projet'!$B$9,Paramètres!$A$1:$I$89,3,0)*0.475*44/12</f>
        <v>6.0908825094747865E-11</v>
      </c>
      <c r="AC100" s="22">
        <f t="shared" si="57"/>
        <v>169.72213291214433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3</v>
      </c>
      <c r="AI100" s="13">
        <f>IF('Données projet'!$A$62&gt;35,AI99+AH100-AQ99,IF(A100&lt;'Données projet'!$A$62,$AF$205^A100,IF(A100='Données projet'!$A$62,'Données projet'!$B$62,AI99+AH100-AQ99)))</f>
        <v>230.99999999999994</v>
      </c>
      <c r="AJ100" s="13">
        <f>AI100*VLOOKUP('Données projet'!$B$10,Paramètres!$A$1:$I$89,3,0)*VLOOKUP('Données projet'!$B$10,Paramètres!$A$1:$I$89,5,0)</f>
        <v>201.80159999999998</v>
      </c>
      <c r="AK100" s="13">
        <f t="shared" si="89"/>
        <v>50.139897992681668</v>
      </c>
      <c r="AL100" s="20">
        <f t="shared" si="58"/>
        <v>438.7981090039205</v>
      </c>
      <c r="AM100" s="59">
        <f t="shared" si="59"/>
        <v>732.13144233725382</v>
      </c>
      <c r="AN100" s="59">
        <f ca="1">AVERAGE(OFFSET($AM$3,0,0,'Données projet'!$E$10+1,1))-AVERAGE(OFFSET($H$3,0,0,'Données projet'!$E$10+1,1))</f>
        <v>242.48830542479988</v>
      </c>
      <c r="AO100" s="59">
        <f t="shared" si="90"/>
        <v>226.11219631227061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47.466203240455826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47.466203240455826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7.2909999999999968</v>
      </c>
      <c r="BD100" s="12">
        <f>IF('Données projet'!$A$88&gt;35,BD99+BC100-BL99,IF(A100&lt;'Données projet'!$A$88,$BA$205^A100,IF(A100='Données projet'!$A$88,'Données projet'!$B$88,BD99+BC100-BL99)))</f>
        <v>293.96399999999988</v>
      </c>
      <c r="BE100" s="13">
        <f>BD100*VLOOKUP('Données projet'!$B$11,Paramètres!$A$1:$I$89,3,0)*VLOOKUP('Données projet'!$B$11,Paramètres!$A$1:$I$89,5,0)</f>
        <v>298.07949599999989</v>
      </c>
      <c r="BF100" s="13">
        <f t="shared" si="91"/>
        <v>70.773701707286975</v>
      </c>
      <c r="BG100" s="20">
        <f t="shared" si="61"/>
        <v>642.41931934019124</v>
      </c>
      <c r="BH100" s="59">
        <f t="shared" si="62"/>
        <v>935.75265267352461</v>
      </c>
      <c r="BI100" s="59">
        <f ca="1">AVERAGE(OFFSET($BH$3,0,0,'Données projet'!$E$11+1,1))-AVERAGE(OFFSET($H$3,0,0,'Données projet'!$E$11+1,1))</f>
        <v>402.5435069258703</v>
      </c>
      <c r="BJ100" s="59">
        <f t="shared" si="92"/>
        <v>163.60655195816349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89.588038803606921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89.588038803606921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7.2909999999999968</v>
      </c>
      <c r="BY100" s="12">
        <f>IF('Données projet'!$A$114&gt;35,BY99+BX100-CG99,IF(A100&lt;'Données projet'!$A$114,$BV$205^A100,IF(A100='Données projet'!$A$114,'Données projet'!$B$114,BY99+BX100-CG99)))</f>
        <v>293.96399999999988</v>
      </c>
      <c r="BZ100" s="13">
        <f>BY100*VLOOKUP('Données projet'!$B$12,Paramètres!$A$1:$I$89,3,0)*VLOOKUP('Données projet'!$B$12,Paramètres!$A$1:$I$89,5,0)</f>
        <v>265.97862719999989</v>
      </c>
      <c r="CA100" s="13">
        <f t="shared" si="93"/>
        <v>63.995088570159304</v>
      </c>
      <c r="CB100" s="20">
        <f t="shared" si="64"/>
        <v>574.70422163302715</v>
      </c>
      <c r="CC100" s="59">
        <f t="shared" si="65"/>
        <v>868.0375549663604</v>
      </c>
      <c r="CD100" s="59">
        <f ca="1">AVERAGE(OFFSET($CC$3,0,0,'Données projet'!$E$12+1,1))-AVERAGE(OFFSET($H$3,0,0,'Données projet'!$E$12+1,1))</f>
        <v>350.91577977538822</v>
      </c>
      <c r="CE100" s="59">
        <f t="shared" si="94"/>
        <v>142.87103313412547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79.940096163218485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79.940096163218485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266.99999999999983</v>
      </c>
      <c r="CU100" s="17">
        <f>CT100*VLOOKUP('Données projet'!$B$13,Paramètres!$A$1:$I$89,3,0)*VLOOKUP('Données projet'!$B$13,Paramètres!$A$1:$I$89,5,0)</f>
        <v>216.59039999999987</v>
      </c>
      <c r="CV100" s="13">
        <f t="shared" si="95"/>
        <v>53.373153688190904</v>
      </c>
      <c r="CW100" s="20">
        <f t="shared" si="67"/>
        <v>470.18652267359886</v>
      </c>
      <c r="CX100" s="59">
        <f t="shared" si="68"/>
        <v>763.51985600693217</v>
      </c>
      <c r="CY100" s="59">
        <f ca="1">AVERAGE(OFFSET($CX$3,0,0,'Données projet'!$E$13+1,1))-AVERAGE(OFFSET($H$3,0,0,'Données projet'!$E$13+1,1))</f>
        <v>230.38929580146208</v>
      </c>
      <c r="CZ100" s="59">
        <f t="shared" si="96"/>
        <v>227.1847788696258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31.591917518902097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31.591917518902097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6.1240000000000006</v>
      </c>
      <c r="DO100" s="12">
        <f>IF('Données projet'!$A$166&gt;35,DO99+DN100-DW99,IF(A100&lt;'Données projet'!$A$166,$DL$205^A100,IF(A100='Données projet'!$A$166,'Données projet'!$B$166,DO99+DN100-DW99)))</f>
        <v>269.69799999999975</v>
      </c>
      <c r="DP100" s="17">
        <f>DO100*VLOOKUP('Données projet'!$B$14,Paramètres!$A$1:$I$89,3,0)*VLOOKUP('Données projet'!$B$14,Paramètres!$A$1:$I$89,5,0)</f>
        <v>161.27940399999986</v>
      </c>
      <c r="DQ100" s="13">
        <f t="shared" si="97"/>
        <v>41.130954650987533</v>
      </c>
      <c r="DR100" s="20">
        <f t="shared" si="70"/>
        <v>352.53137465046967</v>
      </c>
      <c r="DS100" s="59">
        <f t="shared" si="71"/>
        <v>645.86470798380299</v>
      </c>
      <c r="DT100" s="59">
        <f ca="1">AVERAGE(OFFSET($DS$3,0,0,'Données projet'!$E$14+1,1))-AVERAGE(OFFSET($H$3,0,0,'Données projet'!$E$14+1,1))</f>
        <v>145.97103392561058</v>
      </c>
      <c r="DU100" s="59">
        <f t="shared" si="98"/>
        <v>62.920713953681172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59.521732503812217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59.521732503812217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0.8600000000003547</v>
      </c>
      <c r="O101" s="13">
        <f>N101*VLOOKUP('Données projet'!$B$9,Paramètres!$A$1:$I$89,3,0)*VLOOKUP('Données projet'!$B$9,Paramètres!$A$1:$I$89,5,0)</f>
        <v>0.48074000000019829</v>
      </c>
      <c r="P101" s="13">
        <f t="shared" si="87"/>
        <v>0.24126147010950588</v>
      </c>
      <c r="Q101" s="20">
        <f t="shared" si="107"/>
        <v>1.2574858937744013</v>
      </c>
      <c r="R101" s="59">
        <f t="shared" si="55"/>
        <v>294.59081922710772</v>
      </c>
      <c r="S101" s="59">
        <f ca="1">AVERAGE(OFFSET($R$3,0,0,'Données projet'!$E$9+1,1))-AVERAGE(OFFSET($H$3,0,0,'Données projet'!$E$9+1,1))</f>
        <v>350.01600895263641</v>
      </c>
      <c r="T101" s="59">
        <f t="shared" si="88"/>
        <v>464.08921044376882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158.65751928457075</v>
      </c>
      <c r="AA101" s="21">
        <f>EXP(-LN(2)/25)*AA100+(1-EXP(-LN(2)/25))/(LN(2)/25)*Calculateur!V101*Calculateur!X101*VLOOKUP('Données projet'!$B$9,Paramètres!$A$1:$I$89,3,0)*0.475*44/12</f>
        <v>7.6754224001756883</v>
      </c>
      <c r="AB101" s="21">
        <f>EXP(-LN(2)/2)*AB100+(1-EXP(-LN(2)/2))/(LN(2)/2)*V101*Y101*VLOOKUP('Données projet'!$B$9,Paramètres!$A$1:$I$89,3,0)*0.475*44/12</f>
        <v>4.3069043258601575E-11</v>
      </c>
      <c r="AC101" s="22">
        <f t="shared" si="57"/>
        <v>166.33294168478949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3</v>
      </c>
      <c r="AI101" s="13">
        <f>IF('Données projet'!$A$62&gt;35,AI100+AH101-AQ100,IF(A101&lt;'Données projet'!$A$62,$AF$205^A101,IF(A101='Données projet'!$A$62,'Données projet'!$B$62,AI100+AH101-AQ100)))</f>
        <v>233.99999999999994</v>
      </c>
      <c r="AJ101" s="13">
        <f>AI101*VLOOKUP('Données projet'!$B$10,Paramètres!$A$1:$I$89,3,0)*VLOOKUP('Données projet'!$B$10,Paramètres!$A$1:$I$89,5,0)</f>
        <v>204.42239999999998</v>
      </c>
      <c r="AK101" s="13">
        <f t="shared" si="89"/>
        <v>50.714836797527262</v>
      </c>
      <c r="AL101" s="20">
        <f t="shared" si="58"/>
        <v>444.36402075569328</v>
      </c>
      <c r="AM101" s="59">
        <f t="shared" si="59"/>
        <v>737.69735408902659</v>
      </c>
      <c r="AN101" s="59">
        <f ca="1">AVERAGE(OFFSET($AM$3,0,0,'Données projet'!$E$10+1,1))-AVERAGE(OFFSET($H$3,0,0,'Données projet'!$E$10+1,1))</f>
        <v>242.48830542479988</v>
      </c>
      <c r="AO101" s="59">
        <f t="shared" si="90"/>
        <v>226.11219631227061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46.535419946435738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46.535419946435738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7.2909999999999968</v>
      </c>
      <c r="BD101" s="12">
        <f>IF('Données projet'!$A$88&gt;35,BD100+BC101-BL100,IF(A101&lt;'Données projet'!$A$88,$BA$205^A101,IF(A101='Données projet'!$A$88,'Données projet'!$B$88,BD100+BC101-BL100)))</f>
        <v>301.25499999999988</v>
      </c>
      <c r="BE101" s="13">
        <f>BD101*VLOOKUP('Données projet'!$B$11,Paramètres!$A$1:$I$89,3,0)*VLOOKUP('Données projet'!$B$11,Paramètres!$A$1:$I$89,5,0)</f>
        <v>305.47256999999991</v>
      </c>
      <c r="BF101" s="13">
        <f t="shared" si="91"/>
        <v>72.322514518660043</v>
      </c>
      <c r="BG101" s="20">
        <f t="shared" si="61"/>
        <v>657.99310553666612</v>
      </c>
      <c r="BH101" s="59">
        <f t="shared" si="62"/>
        <v>951.32643886999949</v>
      </c>
      <c r="BI101" s="59">
        <f ca="1">AVERAGE(OFFSET($BH$3,0,0,'Données projet'!$E$11+1,1))-AVERAGE(OFFSET($H$3,0,0,'Données projet'!$E$11+1,1))</f>
        <v>402.5435069258703</v>
      </c>
      <c r="BJ101" s="59">
        <f t="shared" si="92"/>
        <v>163.60655195816349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87.831272005976274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87.831272005976274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7.2909999999999968</v>
      </c>
      <c r="BY101" s="12">
        <f>IF('Données projet'!$A$114&gt;35,BY100+BX101-CG100,IF(A101&lt;'Données projet'!$A$114,$BV$205^A101,IF(A101='Données projet'!$A$114,'Données projet'!$B$114,BY100+BX101-CG100)))</f>
        <v>301.25499999999988</v>
      </c>
      <c r="BZ101" s="13">
        <f>BY101*VLOOKUP('Données projet'!$B$12,Paramètres!$A$1:$I$89,3,0)*VLOOKUP('Données projet'!$B$12,Paramètres!$A$1:$I$89,5,0)</f>
        <v>272.57552399999986</v>
      </c>
      <c r="CA101" s="13">
        <f t="shared" si="93"/>
        <v>65.395558104059802</v>
      </c>
      <c r="CB101" s="20">
        <f t="shared" si="64"/>
        <v>588.63296799790385</v>
      </c>
      <c r="CC101" s="59">
        <f t="shared" si="65"/>
        <v>881.96630133123722</v>
      </c>
      <c r="CD101" s="59">
        <f ca="1">AVERAGE(OFFSET($CC$3,0,0,'Données projet'!$E$12+1,1))-AVERAGE(OFFSET($H$3,0,0,'Données projet'!$E$12+1,1))</f>
        <v>350.91577977538822</v>
      </c>
      <c r="CE101" s="59">
        <f t="shared" si="94"/>
        <v>142.87103313412547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78.372519636101913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78.372519636101913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266.99999999999983</v>
      </c>
      <c r="CU101" s="17">
        <f>CT101*VLOOKUP('Données projet'!$B$13,Paramètres!$A$1:$I$89,3,0)*VLOOKUP('Données projet'!$B$13,Paramètres!$A$1:$I$89,5,0)</f>
        <v>216.59039999999987</v>
      </c>
      <c r="CV101" s="13">
        <f t="shared" si="95"/>
        <v>53.373153688190904</v>
      </c>
      <c r="CW101" s="20">
        <f t="shared" si="67"/>
        <v>470.18652267359886</v>
      </c>
      <c r="CX101" s="59">
        <f t="shared" si="68"/>
        <v>763.51985600693217</v>
      </c>
      <c r="CY101" s="59">
        <f ca="1">AVERAGE(OFFSET($CX$3,0,0,'Données projet'!$E$13+1,1))-AVERAGE(OFFSET($H$3,0,0,'Données projet'!$E$13+1,1))</f>
        <v>230.38929580146208</v>
      </c>
      <c r="CZ101" s="59">
        <f t="shared" si="96"/>
        <v>227.1847788696258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30.97241928552344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30.97241928552344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6.1240000000000006</v>
      </c>
      <c r="DO101" s="12">
        <f>IF('Données projet'!$A$166&gt;35,DO100+DN101-DW100,IF(A101&lt;'Données projet'!$A$166,$DL$205^A101,IF(A101='Données projet'!$A$166,'Données projet'!$B$166,DO100+DN101-DW100)))</f>
        <v>275.82199999999978</v>
      </c>
      <c r="DP101" s="17">
        <f>DO101*VLOOKUP('Données projet'!$B$14,Paramètres!$A$1:$I$89,3,0)*VLOOKUP('Données projet'!$B$14,Paramètres!$A$1:$I$89,5,0)</f>
        <v>164.94155599999988</v>
      </c>
      <c r="DQ101" s="13">
        <f t="shared" si="97"/>
        <v>41.95511636232002</v>
      </c>
      <c r="DR101" s="20">
        <f t="shared" si="70"/>
        <v>360.34503769770708</v>
      </c>
      <c r="DS101" s="59">
        <f t="shared" si="71"/>
        <v>653.67837103104034</v>
      </c>
      <c r="DT101" s="59">
        <f ca="1">AVERAGE(OFFSET($DS$3,0,0,'Données projet'!$E$14+1,1))-AVERAGE(OFFSET($H$3,0,0,'Données projet'!$E$14+1,1))</f>
        <v>145.97103392561058</v>
      </c>
      <c r="DU101" s="59">
        <f t="shared" si="98"/>
        <v>62.920713953681172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58.354547634084497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58.354547634084497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0.8600000000003547</v>
      </c>
      <c r="O102" s="13">
        <f>N102*VLOOKUP('Données projet'!$B$9,Paramètres!$A$1:$I$89,3,0)*VLOOKUP('Données projet'!$B$9,Paramètres!$A$1:$I$89,5,0)</f>
        <v>0.48074000000019829</v>
      </c>
      <c r="P102" s="13">
        <f t="shared" si="87"/>
        <v>0.24126147010950588</v>
      </c>
      <c r="Q102" s="20">
        <f t="shared" si="107"/>
        <v>1.2574858937744013</v>
      </c>
      <c r="R102" s="59">
        <f t="shared" si="55"/>
        <v>294.59081922710772</v>
      </c>
      <c r="S102" s="59">
        <f ca="1">AVERAGE(OFFSET($R$3,0,0,'Données projet'!$E$9+1,1))-AVERAGE(OFFSET($H$3,0,0,'Données projet'!$E$9+1,1))</f>
        <v>350.01600895263641</v>
      </c>
      <c r="T102" s="59">
        <f t="shared" si="88"/>
        <v>464.08921044376882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155.5463421029317</v>
      </c>
      <c r="AA102" s="21">
        <f>EXP(-LN(2)/25)*AA101+(1-EXP(-LN(2)/25))/(LN(2)/25)*Calculateur!V102*Calculateur!X102*VLOOKUP('Données projet'!$B$9,Paramètres!$A$1:$I$89,3,0)*0.475*44/12</f>
        <v>7.4655375710099623</v>
      </c>
      <c r="AB102" s="21">
        <f>EXP(-LN(2)/2)*AB101+(1-EXP(-LN(2)/2))/(LN(2)/2)*V102*Y102*VLOOKUP('Données projet'!$B$9,Paramètres!$A$1:$I$89,3,0)*0.475*44/12</f>
        <v>3.0454412547373933E-11</v>
      </c>
      <c r="AC102" s="22">
        <f t="shared" si="57"/>
        <v>163.01187967397215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3</v>
      </c>
      <c r="AI102" s="13">
        <f>IF('Données projet'!$A$62&gt;35,AI101+AH102-AQ101,IF(A102&lt;'Données projet'!$A$62,$AF$205^A102,IF(A102='Données projet'!$A$62,'Données projet'!$B$62,AI101+AH102-AQ101)))</f>
        <v>236.99999999999994</v>
      </c>
      <c r="AJ102" s="13">
        <f>AI102*VLOOKUP('Données projet'!$B$10,Paramètres!$A$1:$I$89,3,0)*VLOOKUP('Données projet'!$B$10,Paramètres!$A$1:$I$89,5,0)</f>
        <v>207.04319999999996</v>
      </c>
      <c r="AK102" s="13">
        <f t="shared" si="89"/>
        <v>51.288918231806321</v>
      </c>
      <c r="AL102" s="20">
        <f t="shared" si="58"/>
        <v>449.92843925372921</v>
      </c>
      <c r="AM102" s="59">
        <f t="shared" si="59"/>
        <v>743.26177258706252</v>
      </c>
      <c r="AN102" s="59">
        <f ca="1">AVERAGE(OFFSET($AM$3,0,0,'Données projet'!$E$10+1,1))-AVERAGE(OFFSET($H$3,0,0,'Données projet'!$E$10+1,1))</f>
        <v>242.48830542479988</v>
      </c>
      <c r="AO102" s="59">
        <f t="shared" si="90"/>
        <v>226.11219631227061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45.622888745089632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45.622888745089632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7.2909999999999968</v>
      </c>
      <c r="BD102" s="12">
        <f>IF('Données projet'!$A$88&gt;35,BD101+BC102-BL101,IF(A102&lt;'Données projet'!$A$88,$BA$205^A102,IF(A102='Données projet'!$A$88,'Données projet'!$B$88,BD101+BC102-BL101)))</f>
        <v>308.54599999999988</v>
      </c>
      <c r="BE102" s="13">
        <f>BD102*VLOOKUP('Données projet'!$B$11,Paramètres!$A$1:$I$89,3,0)*VLOOKUP('Données projet'!$B$11,Paramètres!$A$1:$I$89,5,0)</f>
        <v>312.86564399999986</v>
      </c>
      <c r="BF102" s="13">
        <f t="shared" si="91"/>
        <v>73.866969824264942</v>
      </c>
      <c r="BG102" s="20">
        <f t="shared" si="61"/>
        <v>673.55930241059457</v>
      </c>
      <c r="BH102" s="59">
        <f t="shared" si="62"/>
        <v>966.89263574392794</v>
      </c>
      <c r="BI102" s="59">
        <f ca="1">AVERAGE(OFFSET($BH$3,0,0,'Données projet'!$E$11+1,1))-AVERAGE(OFFSET($H$3,0,0,'Données projet'!$E$11+1,1))</f>
        <v>402.5435069258703</v>
      </c>
      <c r="BJ102" s="59">
        <f t="shared" si="92"/>
        <v>163.60655195816349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86.108954333725222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86.108954333725222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7.2909999999999968</v>
      </c>
      <c r="BY102" s="12">
        <f>IF('Données projet'!$A$114&gt;35,BY101+BX102-CG101,IF(A102&lt;'Données projet'!$A$114,$BV$205^A102,IF(A102='Données projet'!$A$114,'Données projet'!$B$114,BY101+BX102-CG101)))</f>
        <v>308.54599999999988</v>
      </c>
      <c r="BZ102" s="13">
        <f>BY102*VLOOKUP('Données projet'!$B$12,Paramètres!$A$1:$I$89,3,0)*VLOOKUP('Données projet'!$B$12,Paramètres!$A$1:$I$89,5,0)</f>
        <v>279.17242079999988</v>
      </c>
      <c r="CA102" s="13">
        <f t="shared" si="93"/>
        <v>66.792087488429431</v>
      </c>
      <c r="CB102" s="20">
        <f t="shared" si="64"/>
        <v>602.55485193568109</v>
      </c>
      <c r="CC102" s="59">
        <f t="shared" si="65"/>
        <v>895.88818526901446</v>
      </c>
      <c r="CD102" s="59">
        <f ca="1">AVERAGE(OFFSET($CC$3,0,0,'Données projet'!$E$12+1,1))-AVERAGE(OFFSET($H$3,0,0,'Données projet'!$E$12+1,1))</f>
        <v>350.91577977538822</v>
      </c>
      <c r="CE102" s="59">
        <f t="shared" si="94"/>
        <v>142.87103313412547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76.835682328554824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76.835682328554824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266.99999999999983</v>
      </c>
      <c r="CU102" s="17">
        <f>CT102*VLOOKUP('Données projet'!$B$13,Paramètres!$A$1:$I$89,3,0)*VLOOKUP('Données projet'!$B$13,Paramètres!$A$1:$I$89,5,0)</f>
        <v>216.59039999999987</v>
      </c>
      <c r="CV102" s="13">
        <f t="shared" si="95"/>
        <v>53.373153688190904</v>
      </c>
      <c r="CW102" s="20">
        <f t="shared" si="67"/>
        <v>470.18652267359886</v>
      </c>
      <c r="CX102" s="59">
        <f t="shared" si="68"/>
        <v>763.51985600693217</v>
      </c>
      <c r="CY102" s="59">
        <f ca="1">AVERAGE(OFFSET($CX$3,0,0,'Données projet'!$E$13+1,1))-AVERAGE(OFFSET($H$3,0,0,'Données projet'!$E$13+1,1))</f>
        <v>230.38929580146208</v>
      </c>
      <c r="CZ102" s="59">
        <f t="shared" si="96"/>
        <v>227.1847788696258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30.365069034644726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30.365069034644726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6.1240000000000006</v>
      </c>
      <c r="DO102" s="12">
        <f>IF('Données projet'!$A$166&gt;35,DO101+DN102-DW101,IF(A102&lt;'Données projet'!$A$166,$DL$205^A102,IF(A102='Données projet'!$A$166,'Données projet'!$B$166,DO101+DN102-DW101)))</f>
        <v>281.9459999999998</v>
      </c>
      <c r="DP102" s="17">
        <f>DO102*VLOOKUP('Données projet'!$B$14,Paramètres!$A$1:$I$89,3,0)*VLOOKUP('Données projet'!$B$14,Paramètres!$A$1:$I$89,5,0)</f>
        <v>168.60370799999987</v>
      </c>
      <c r="DQ102" s="13">
        <f t="shared" si="97"/>
        <v>42.77715067766723</v>
      </c>
      <c r="DR102" s="20">
        <f t="shared" si="70"/>
        <v>368.15499553027024</v>
      </c>
      <c r="DS102" s="59">
        <f t="shared" si="71"/>
        <v>661.48832886360356</v>
      </c>
      <c r="DT102" s="59">
        <f ca="1">AVERAGE(OFFSET($DS$3,0,0,'Données projet'!$E$14+1,1))-AVERAGE(OFFSET($H$3,0,0,'Données projet'!$E$14+1,1))</f>
        <v>145.97103392561058</v>
      </c>
      <c r="DU102" s="59">
        <f t="shared" si="98"/>
        <v>62.920713953681172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57.210250547739662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57.210250547739662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0.8600000000003547</v>
      </c>
      <c r="O103" s="13">
        <f>N103*VLOOKUP('Données projet'!$B$9,Paramètres!$A$1:$I$89,3,0)*VLOOKUP('Données projet'!$B$9,Paramètres!$A$1:$I$89,5,0)</f>
        <v>0.48074000000019829</v>
      </c>
      <c r="P103" s="13">
        <f t="shared" si="87"/>
        <v>0.24126147010950588</v>
      </c>
      <c r="Q103" s="20">
        <f t="shared" si="107"/>
        <v>1.2574858937744013</v>
      </c>
      <c r="R103" s="59">
        <f t="shared" si="55"/>
        <v>294.59081922710772</v>
      </c>
      <c r="S103" s="59">
        <f ca="1">AVERAGE(OFFSET($R$3,0,0,'Données projet'!$E$9+1,1))-AVERAGE(OFFSET($H$3,0,0,'Données projet'!$E$9+1,1))</f>
        <v>350.01600895263641</v>
      </c>
      <c r="T103" s="59">
        <f t="shared" si="88"/>
        <v>464.08921044376882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152.49617320819388</v>
      </c>
      <c r="AA103" s="21">
        <f>EXP(-LN(2)/25)*AA102+(1-EXP(-LN(2)/25))/(LN(2)/25)*Calculateur!V103*Calculateur!X103*VLOOKUP('Données projet'!$B$9,Paramètres!$A$1:$I$89,3,0)*0.475*44/12</f>
        <v>7.2613920535351371</v>
      </c>
      <c r="AB103" s="21">
        <f>EXP(-LN(2)/2)*AB102+(1-EXP(-LN(2)/2))/(LN(2)/2)*V103*Y103*VLOOKUP('Données projet'!$B$9,Paramètres!$A$1:$I$89,3,0)*0.475*44/12</f>
        <v>2.1534521629300787E-11</v>
      </c>
      <c r="AC103" s="22">
        <f t="shared" si="57"/>
        <v>159.75756526175056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240</v>
      </c>
      <c r="AG103" s="12">
        <f>VLOOKUP(A103,'Données projet'!$A$61:$I$81,9,0)</f>
        <v>3</v>
      </c>
      <c r="AH103" s="12">
        <f t="array" ref="AH103">INDEX(AG:AG,MIN(IF(ISNUMBER(AG103:AG299),ROW(AG103:AG299),"")))</f>
        <v>3</v>
      </c>
      <c r="AI103" s="13">
        <f>IF('Données projet'!$A$62&gt;35,AI102+AH103-AQ102,IF(A103&lt;'Données projet'!$A$62,$AF$205^A103,IF(A103='Données projet'!$A$62,'Données projet'!$B$62,AI102+AH103-AQ102)))</f>
        <v>239.99999999999994</v>
      </c>
      <c r="AJ103" s="13">
        <f>AI103*VLOOKUP('Données projet'!$B$10,Paramètres!$A$1:$I$89,3,0)*VLOOKUP('Données projet'!$B$10,Paramètres!$A$1:$I$89,5,0)</f>
        <v>209.66399999999996</v>
      </c>
      <c r="AK103" s="13">
        <f t="shared" si="89"/>
        <v>51.862154403304487</v>
      </c>
      <c r="AL103" s="20">
        <f t="shared" si="58"/>
        <v>455.49138558575515</v>
      </c>
      <c r="AM103" s="59">
        <f t="shared" si="59"/>
        <v>748.82471891908847</v>
      </c>
      <c r="AN103" s="59">
        <f ca="1">AVERAGE(OFFSET($AM$3,0,0,'Données projet'!$E$10+1,1))-AVERAGE(OFFSET($H$3,0,0,'Données projet'!$E$10+1,1))</f>
        <v>242.48830542479988</v>
      </c>
      <c r="AO103" s="59">
        <f t="shared" si="90"/>
        <v>226.11219631227061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12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49.711464569582375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49.711464569582375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7.2909999999999968</v>
      </c>
      <c r="BD103" s="12">
        <f>IF('Données projet'!$A$88&gt;35,BD102+BC103-BL102,IF(A103&lt;'Données projet'!$A$88,$BA$205^A103,IF(A103='Données projet'!$A$88,'Données projet'!$B$88,BD102+BC103-BL102)))</f>
        <v>315.83699999999988</v>
      </c>
      <c r="BE103" s="13">
        <f>BD103*VLOOKUP('Données projet'!$B$11,Paramètres!$A$1:$I$89,3,0)*VLOOKUP('Données projet'!$B$11,Paramètres!$A$1:$I$89,5,0)</f>
        <v>320.25871799999987</v>
      </c>
      <c r="BF103" s="13">
        <f t="shared" si="91"/>
        <v>75.407182441990543</v>
      </c>
      <c r="BG103" s="20">
        <f t="shared" si="61"/>
        <v>689.11810993646657</v>
      </c>
      <c r="BH103" s="59">
        <f t="shared" si="62"/>
        <v>982.45144326979994</v>
      </c>
      <c r="BI103" s="59">
        <f ca="1">AVERAGE(OFFSET($BH$3,0,0,'Données projet'!$E$11+1,1))-AVERAGE(OFFSET($H$3,0,0,'Données projet'!$E$11+1,1))</f>
        <v>402.5435069258703</v>
      </c>
      <c r="BJ103" s="59">
        <f t="shared" si="92"/>
        <v>163.60655195816349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84.420410260516974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84.420410260516974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7.2909999999999968</v>
      </c>
      <c r="BY103" s="12">
        <f>IF('Données projet'!$A$114&gt;35,BY102+BX103-CG102,IF(A103&lt;'Données projet'!$A$114,$BV$205^A103,IF(A103='Données projet'!$A$114,'Données projet'!$B$114,BY102+BX103-CG102)))</f>
        <v>315.83699999999988</v>
      </c>
      <c r="BZ103" s="13">
        <f>BY103*VLOOKUP('Données projet'!$B$12,Paramètres!$A$1:$I$89,3,0)*VLOOKUP('Données projet'!$B$12,Paramètres!$A$1:$I$89,5,0)</f>
        <v>285.76931759999991</v>
      </c>
      <c r="CA103" s="13">
        <f t="shared" si="93"/>
        <v>68.184780544048962</v>
      </c>
      <c r="CB103" s="20">
        <f t="shared" si="64"/>
        <v>616.47005426755175</v>
      </c>
      <c r="CC103" s="59">
        <f t="shared" si="65"/>
        <v>909.80338760088512</v>
      </c>
      <c r="CD103" s="59">
        <f ca="1">AVERAGE(OFFSET($CC$3,0,0,'Données projet'!$E$12+1,1))-AVERAGE(OFFSET($H$3,0,0,'Données projet'!$E$12+1,1))</f>
        <v>350.91577977538822</v>
      </c>
      <c r="CE103" s="59">
        <f t="shared" si="94"/>
        <v>142.87103313412547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75.328981463230534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75.328981463230534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266.99999999999983</v>
      </c>
      <c r="CU103" s="17">
        <f>CT103*VLOOKUP('Données projet'!$B$13,Paramètres!$A$1:$I$89,3,0)*VLOOKUP('Données projet'!$B$13,Paramètres!$A$1:$I$89,5,0)</f>
        <v>216.59039999999987</v>
      </c>
      <c r="CV103" s="13">
        <f t="shared" si="95"/>
        <v>53.373153688190904</v>
      </c>
      <c r="CW103" s="20">
        <f t="shared" si="67"/>
        <v>470.18652267359886</v>
      </c>
      <c r="CX103" s="59">
        <f t="shared" si="68"/>
        <v>763.51985600693217</v>
      </c>
      <c r="CY103" s="59">
        <f ca="1">AVERAGE(OFFSET($CX$3,0,0,'Données projet'!$E$13+1,1))-AVERAGE(OFFSET($H$3,0,0,'Données projet'!$E$13+1,1))</f>
        <v>230.38929580146208</v>
      </c>
      <c r="CZ103" s="59">
        <f t="shared" si="96"/>
        <v>227.1847788696258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29.76962855173867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29.76962855173867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288.07</v>
      </c>
      <c r="DM103" s="12">
        <f>VLOOKUP(A103,'Données projet'!$A$165:$I$185,9,0)</f>
        <v>6.1240000000000006</v>
      </c>
      <c r="DN103" s="12">
        <f t="array" ref="DN103">INDEX(DM:DM,MIN(IF(ISNUMBER(DM103:DM299),ROW(DM103:DM299),"")))</f>
        <v>6.1240000000000006</v>
      </c>
      <c r="DO103" s="12">
        <f>IF('Données projet'!$A$166&gt;35,DO102+DN103-DW102,IF(A103&lt;'Données projet'!$A$166,$DL$205^A103,IF(A103='Données projet'!$A$166,'Données projet'!$B$166,DO102+DN103-DW102)))</f>
        <v>288.06999999999982</v>
      </c>
      <c r="DP103" s="17">
        <f>DO103*VLOOKUP('Données projet'!$B$14,Paramètres!$A$1:$I$89,3,0)*VLOOKUP('Données projet'!$B$14,Paramètres!$A$1:$I$89,5,0)</f>
        <v>172.26585999999992</v>
      </c>
      <c r="DQ103" s="13">
        <f t="shared" si="97"/>
        <v>43.597109126715523</v>
      </c>
      <c r="DR103" s="20">
        <f t="shared" si="70"/>
        <v>375.96133789569603</v>
      </c>
      <c r="DS103" s="59">
        <f t="shared" si="71"/>
        <v>669.29467122902929</v>
      </c>
      <c r="DT103" s="59">
        <f ca="1">AVERAGE(OFFSET($DS$3,0,0,'Données projet'!$E$14+1,1))-AVERAGE(OFFSET($H$3,0,0,'Données projet'!$E$14+1,1))</f>
        <v>145.97103392561058</v>
      </c>
      <c r="DU103" s="59">
        <f t="shared" si="98"/>
        <v>62.920713953681172</v>
      </c>
      <c r="DV103" s="15">
        <f>IF(ISNA(VLOOKUP(A103,'Données projet'!$A$165:$I$185,3,0)),0,VLOOKUP(A103,'Données projet'!$A$165:$I$185,3,0))</f>
        <v>5</v>
      </c>
      <c r="DW103" s="15">
        <f>IF(ISNA(VLOOKUP(A103,'Données projet'!$A$165:$I$185,4,0)),0,VLOOKUP(A103,'Données projet'!$A$165:$I$185,4,0))</f>
        <v>92.21</v>
      </c>
      <c r="DX103" s="16">
        <f>IF(ISNA(VLOOKUP(A103,'Données projet'!$A$165:$I$185,5,0)),0%,VLOOKUP(A103,'Données projet'!$A$165:$I$185,5,0)*VLOOKUP('Données projet'!$B$14,Paramètres!$A$1:$I$89,7,0))</f>
        <v>0.45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89.005379449454864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89.005379449454864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0.8600000000003547</v>
      </c>
      <c r="O104" s="13">
        <f>N104*VLOOKUP('Données projet'!$B$9,Paramètres!$A$1:$I$89,3,0)*VLOOKUP('Données projet'!$B$9,Paramètres!$A$1:$I$89,5,0)</f>
        <v>0.48074000000019829</v>
      </c>
      <c r="P104" s="13">
        <f t="shared" si="87"/>
        <v>0.24126147010950588</v>
      </c>
      <c r="Q104" s="20">
        <f t="shared" si="107"/>
        <v>1.2574858937744013</v>
      </c>
      <c r="R104" s="59">
        <f t="shared" si="55"/>
        <v>294.59081922710772</v>
      </c>
      <c r="S104" s="59">
        <f ca="1">AVERAGE(OFFSET($R$3,0,0,'Données projet'!$E$9+1,1))-AVERAGE(OFFSET($H$3,0,0,'Données projet'!$E$9+1,1))</f>
        <v>350.01600895263641</v>
      </c>
      <c r="T104" s="59">
        <f t="shared" si="88"/>
        <v>464.08921044376882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149.50581626506255</v>
      </c>
      <c r="AA104" s="21">
        <f>EXP(-LN(2)/25)*AA103+(1-EXP(-LN(2)/25))/(LN(2)/25)*Calculateur!V104*Calculateur!X104*VLOOKUP('Données projet'!$B$9,Paramètres!$A$1:$I$89,3,0)*0.475*44/12</f>
        <v>7.062828905971207</v>
      </c>
      <c r="AB104" s="21">
        <f>EXP(-LN(2)/2)*AB103+(1-EXP(-LN(2)/2))/(LN(2)/2)*V104*Y104*VLOOKUP('Données projet'!$B$9,Paramètres!$A$1:$I$89,3,0)*0.475*44/12</f>
        <v>1.5227206273686966E-11</v>
      </c>
      <c r="AC104" s="22">
        <f t="shared" si="57"/>
        <v>156.56864517104898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227.99999999999994</v>
      </c>
      <c r="AJ104" s="13">
        <f>AI104*VLOOKUP('Données projet'!$B$10,Paramètres!$A$1:$I$89,3,0)*VLOOKUP('Données projet'!$B$10,Paramètres!$A$1:$I$89,5,0)</f>
        <v>199.18079999999998</v>
      </c>
      <c r="AK104" s="13">
        <f t="shared" si="89"/>
        <v>49.564089376413683</v>
      </c>
      <c r="AL104" s="20">
        <f t="shared" si="58"/>
        <v>433.23068233058711</v>
      </c>
      <c r="AM104" s="59">
        <f t="shared" si="59"/>
        <v>726.56401566392037</v>
      </c>
      <c r="AN104" s="59">
        <f ca="1">AVERAGE(OFFSET($AM$3,0,0,'Données projet'!$E$10+1,1))-AVERAGE(OFFSET($H$3,0,0,'Données projet'!$E$10+1,1))</f>
        <v>242.48830542479988</v>
      </c>
      <c r="AO104" s="59">
        <f t="shared" si="90"/>
        <v>226.11219631227061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48.736653070372306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48.736653070372306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7.2909999999999968</v>
      </c>
      <c r="BD104" s="12">
        <f>IF('Données projet'!$A$88&gt;35,BD103+BC104-BL103,IF(A104&lt;'Données projet'!$A$88,$BA$205^A104,IF(A104='Données projet'!$A$88,'Données projet'!$B$88,BD103+BC104-BL103)))</f>
        <v>323.12799999999987</v>
      </c>
      <c r="BE104" s="13">
        <f>BD104*VLOOKUP('Données projet'!$B$11,Paramètres!$A$1:$I$89,3,0)*VLOOKUP('Données projet'!$B$11,Paramètres!$A$1:$I$89,5,0)</f>
        <v>327.65179199999989</v>
      </c>
      <c r="BF104" s="13">
        <f t="shared" si="91"/>
        <v>76.943261586164553</v>
      </c>
      <c r="BG104" s="20">
        <f t="shared" si="61"/>
        <v>704.66971832923628</v>
      </c>
      <c r="BH104" s="59">
        <f t="shared" si="62"/>
        <v>998.00305166256953</v>
      </c>
      <c r="BI104" s="59">
        <f ca="1">AVERAGE(OFFSET($BH$3,0,0,'Données projet'!$E$11+1,1))-AVERAGE(OFFSET($H$3,0,0,'Données projet'!$E$11+1,1))</f>
        <v>402.5435069258703</v>
      </c>
      <c r="BJ104" s="59">
        <f t="shared" si="92"/>
        <v>163.60655195816349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82.764977506674143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82.764977506674143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7.2909999999999968</v>
      </c>
      <c r="BY104" s="12">
        <f>IF('Données projet'!$A$114&gt;35,BY103+BX104-CG103,IF(A104&lt;'Données projet'!$A$114,$BV$205^A104,IF(A104='Données projet'!$A$114,'Données projet'!$B$114,BY103+BX104-CG103)))</f>
        <v>323.12799999999987</v>
      </c>
      <c r="BZ104" s="13">
        <f>BY104*VLOOKUP('Données projet'!$B$12,Paramètres!$A$1:$I$89,3,0)*VLOOKUP('Données projet'!$B$12,Paramètres!$A$1:$I$89,5,0)</f>
        <v>292.36621439999988</v>
      </c>
      <c r="CA104" s="13">
        <f t="shared" si="93"/>
        <v>69.573736024839775</v>
      </c>
      <c r="CB104" s="20">
        <f t="shared" si="64"/>
        <v>630.37874698992903</v>
      </c>
      <c r="CC104" s="59">
        <f t="shared" si="65"/>
        <v>923.7120803232624</v>
      </c>
      <c r="CD104" s="59">
        <f ca="1">AVERAGE(OFFSET($CC$3,0,0,'Données projet'!$E$12+1,1))-AVERAGE(OFFSET($H$3,0,0,'Données projet'!$E$12+1,1))</f>
        <v>350.91577977538822</v>
      </c>
      <c r="CE104" s="59">
        <f t="shared" si="94"/>
        <v>142.87103313412547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73.851826082878475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73.851826082878475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266.99999999999983</v>
      </c>
      <c r="CU104" s="17">
        <f>CT104*VLOOKUP('Données projet'!$B$13,Paramètres!$A$1:$I$89,3,0)*VLOOKUP('Données projet'!$B$13,Paramètres!$A$1:$I$89,5,0)</f>
        <v>216.59039999999987</v>
      </c>
      <c r="CV104" s="13">
        <f t="shared" si="95"/>
        <v>53.373153688190904</v>
      </c>
      <c r="CW104" s="20">
        <f t="shared" si="67"/>
        <v>470.18652267359886</v>
      </c>
      <c r="CX104" s="59">
        <f t="shared" si="68"/>
        <v>763.51985600693217</v>
      </c>
      <c r="CY104" s="59">
        <f ca="1">AVERAGE(OFFSET($CX$3,0,0,'Données projet'!$E$13+1,1))-AVERAGE(OFFSET($H$3,0,0,'Données projet'!$E$13+1,1))</f>
        <v>230.38929580146208</v>
      </c>
      <c r="CZ104" s="59">
        <f t="shared" si="96"/>
        <v>227.1847788696258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29.185864293519568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29.185864293519568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4.9159999999999968</v>
      </c>
      <c r="DO104" s="12">
        <f>IF('Données projet'!$A$166&gt;35,DO103+DN104-DW103,IF(A104&lt;'Données projet'!$A$166,$DL$205^A104,IF(A104='Données projet'!$A$166,'Données projet'!$B$166,DO103+DN104-DW103)))</f>
        <v>200.77599999999984</v>
      </c>
      <c r="DP104" s="17">
        <f>DO104*VLOOKUP('Données projet'!$B$14,Paramètres!$A$1:$I$89,3,0)*VLOOKUP('Données projet'!$B$14,Paramètres!$A$1:$I$89,5,0)</f>
        <v>120.06404799999991</v>
      </c>
      <c r="DQ104" s="13">
        <f t="shared" si="97"/>
        <v>31.689936974399849</v>
      </c>
      <c r="DR104" s="20">
        <f t="shared" si="70"/>
        <v>264.30485716374625</v>
      </c>
      <c r="DS104" s="59">
        <f t="shared" si="71"/>
        <v>557.63819049707956</v>
      </c>
      <c r="DT104" s="59">
        <f ca="1">AVERAGE(OFFSET($DS$3,0,0,'Données projet'!$E$14+1,1))-AVERAGE(OFFSET($H$3,0,0,'Données projet'!$E$14+1,1))</f>
        <v>145.97103392561058</v>
      </c>
      <c r="DU104" s="59">
        <f t="shared" si="98"/>
        <v>62.920713953681172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87.260038246372034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87.260038246372034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0.8600000000003547</v>
      </c>
      <c r="O105" s="13">
        <f>N105*VLOOKUP('Données projet'!$B$9,Paramètres!$A$1:$I$89,3,0)*VLOOKUP('Données projet'!$B$9,Paramètres!$A$1:$I$89,5,0)</f>
        <v>0.48074000000019829</v>
      </c>
      <c r="P105" s="13">
        <f t="shared" si="87"/>
        <v>0.24126147010950588</v>
      </c>
      <c r="Q105" s="20">
        <f t="shared" si="107"/>
        <v>1.2574858937744013</v>
      </c>
      <c r="R105" s="59">
        <f t="shared" si="55"/>
        <v>294.59081922710772</v>
      </c>
      <c r="S105" s="59">
        <f ca="1">AVERAGE(OFFSET($R$3,0,0,'Données projet'!$E$9+1,1))-AVERAGE(OFFSET($H$3,0,0,'Données projet'!$E$9+1,1))</f>
        <v>350.01600895263641</v>
      </c>
      <c r="T105" s="59">
        <f t="shared" si="88"/>
        <v>464.08921044376882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146.57409839764838</v>
      </c>
      <c r="AA105" s="21">
        <f>EXP(-LN(2)/25)*AA104+(1-EXP(-LN(2)/25))/(LN(2)/25)*Calculateur!V105*Calculateur!X105*VLOOKUP('Données projet'!$B$9,Paramètres!$A$1:$I$89,3,0)*0.475*44/12</f>
        <v>6.8696954781193948</v>
      </c>
      <c r="AB105" s="21">
        <f>EXP(-LN(2)/2)*AB104+(1-EXP(-LN(2)/2))/(LN(2)/2)*V105*Y105*VLOOKUP('Données projet'!$B$9,Paramètres!$A$1:$I$89,3,0)*0.475*44/12</f>
        <v>1.0767260814650394E-11</v>
      </c>
      <c r="AC105" s="22">
        <f t="shared" si="57"/>
        <v>153.44379387577854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227.99999999999994</v>
      </c>
      <c r="AJ105" s="13">
        <f>AI105*VLOOKUP('Données projet'!$B$10,Paramètres!$A$1:$I$89,3,0)*VLOOKUP('Données projet'!$B$10,Paramètres!$A$1:$I$89,5,0)</f>
        <v>199.18079999999998</v>
      </c>
      <c r="AK105" s="13">
        <f t="shared" si="89"/>
        <v>49.564089376413683</v>
      </c>
      <c r="AL105" s="20">
        <f t="shared" si="58"/>
        <v>433.23068233058711</v>
      </c>
      <c r="AM105" s="59">
        <f t="shared" si="59"/>
        <v>726.56401566392037</v>
      </c>
      <c r="AN105" s="59">
        <f ca="1">AVERAGE(OFFSET($AM$3,0,0,'Données projet'!$E$10+1,1))-AVERAGE(OFFSET($H$3,0,0,'Données projet'!$E$10+1,1))</f>
        <v>242.48830542479988</v>
      </c>
      <c r="AO105" s="59">
        <f t="shared" si="90"/>
        <v>226.11219631227061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47.780957030085439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47.780957030085439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7.2909999999999968</v>
      </c>
      <c r="BD105" s="12">
        <f>IF('Données projet'!$A$88&gt;35,BD104+BC105-BL104,IF(A105&lt;'Données projet'!$A$88,$BA$205^A105,IF(A105='Données projet'!$A$88,'Données projet'!$B$88,BD104+BC105-BL104)))</f>
        <v>330.41899999999987</v>
      </c>
      <c r="BE105" s="13">
        <f>BD105*VLOOKUP('Données projet'!$B$11,Paramètres!$A$1:$I$89,3,0)*VLOOKUP('Données projet'!$B$11,Paramètres!$A$1:$I$89,5,0)</f>
        <v>335.0448659999999</v>
      </c>
      <c r="BF105" s="13">
        <f t="shared" si="91"/>
        <v>78.475311261201057</v>
      </c>
      <c r="BG105" s="20">
        <f t="shared" si="61"/>
        <v>720.21430872992494</v>
      </c>
      <c r="BH105" s="59">
        <f t="shared" si="62"/>
        <v>1013.5476420632583</v>
      </c>
      <c r="BI105" s="59">
        <f ca="1">AVERAGE(OFFSET($BH$3,0,0,'Données projet'!$E$11+1,1))-AVERAGE(OFFSET($H$3,0,0,'Données projet'!$E$11+1,1))</f>
        <v>402.5435069258703</v>
      </c>
      <c r="BJ105" s="59">
        <f t="shared" si="92"/>
        <v>163.60655195816349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81.142006779419887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81.142006779419887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7.2909999999999968</v>
      </c>
      <c r="BY105" s="12">
        <f>IF('Données projet'!$A$114&gt;35,BY104+BX105-CG104,IF(A105&lt;'Données projet'!$A$114,$BV$205^A105,IF(A105='Données projet'!$A$114,'Données projet'!$B$114,BY104+BX105-CG104)))</f>
        <v>330.41899999999987</v>
      </c>
      <c r="BZ105" s="13">
        <f>BY105*VLOOKUP('Données projet'!$B$12,Paramètres!$A$1:$I$89,3,0)*VLOOKUP('Données projet'!$B$12,Paramètres!$A$1:$I$89,5,0)</f>
        <v>298.9631111999999</v>
      </c>
      <c r="CA105" s="13">
        <f t="shared" si="93"/>
        <v>70.959047973808381</v>
      </c>
      <c r="CB105" s="20">
        <f t="shared" si="64"/>
        <v>644.28109389438271</v>
      </c>
      <c r="CC105" s="59">
        <f t="shared" si="65"/>
        <v>937.61442722771608</v>
      </c>
      <c r="CD105" s="59">
        <f ca="1">AVERAGE(OFFSET($CC$3,0,0,'Données projet'!$E$12+1,1))-AVERAGE(OFFSET($H$3,0,0,'Données projet'!$E$12+1,1))</f>
        <v>350.91577977538822</v>
      </c>
      <c r="CE105" s="59">
        <f t="shared" si="94"/>
        <v>142.87103313412547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72.403636818559292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72.403636818559292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266.99999999999983</v>
      </c>
      <c r="CU105" s="17">
        <f>CT105*VLOOKUP('Données projet'!$B$13,Paramètres!$A$1:$I$89,3,0)*VLOOKUP('Données projet'!$B$13,Paramètres!$A$1:$I$89,5,0)</f>
        <v>216.59039999999987</v>
      </c>
      <c r="CV105" s="13">
        <f t="shared" si="95"/>
        <v>53.373153688190904</v>
      </c>
      <c r="CW105" s="20">
        <f t="shared" si="67"/>
        <v>470.18652267359886</v>
      </c>
      <c r="CX105" s="59">
        <f t="shared" si="68"/>
        <v>763.51985600693217</v>
      </c>
      <c r="CY105" s="59">
        <f ca="1">AVERAGE(OFFSET($CX$3,0,0,'Données projet'!$E$13+1,1))-AVERAGE(OFFSET($H$3,0,0,'Données projet'!$E$13+1,1))</f>
        <v>230.38929580146208</v>
      </c>
      <c r="CZ105" s="59">
        <f t="shared" si="96"/>
        <v>227.1847788696258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28.613547296343103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28.613547296343103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4.9159999999999968</v>
      </c>
      <c r="DO105" s="12">
        <f>IF('Données projet'!$A$166&gt;35,DO104+DN105-DW104,IF(A105&lt;'Données projet'!$A$166,$DL$205^A105,IF(A105='Données projet'!$A$166,'Données projet'!$B$166,DO104+DN105-DW104)))</f>
        <v>205.69199999999984</v>
      </c>
      <c r="DP105" s="17">
        <f>DO105*VLOOKUP('Données projet'!$B$14,Paramètres!$A$1:$I$89,3,0)*VLOOKUP('Données projet'!$B$14,Paramètres!$A$1:$I$89,5,0)</f>
        <v>123.0038159999999</v>
      </c>
      <c r="DQ105" s="13">
        <f t="shared" si="97"/>
        <v>32.374578775285151</v>
      </c>
      <c r="DR105" s="20">
        <f t="shared" si="70"/>
        <v>270.61737090028811</v>
      </c>
      <c r="DS105" s="59">
        <f t="shared" si="71"/>
        <v>563.95070423362142</v>
      </c>
      <c r="DT105" s="59">
        <f ca="1">AVERAGE(OFFSET($DS$3,0,0,'Données projet'!$E$14+1,1))-AVERAGE(OFFSET($H$3,0,0,'Données projet'!$E$14+1,1))</f>
        <v>145.97103392561058</v>
      </c>
      <c r="DU105" s="59">
        <f t="shared" si="98"/>
        <v>62.920713953681172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85.548922119728644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85.548922119728644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0.8600000000003547</v>
      </c>
      <c r="O106" s="13">
        <f>N106*VLOOKUP('Données projet'!$B$9,Paramètres!$A$1:$I$89,3,0)*VLOOKUP('Données projet'!$B$9,Paramètres!$A$1:$I$89,5,0)</f>
        <v>0.48074000000019829</v>
      </c>
      <c r="P106" s="13">
        <f t="shared" si="87"/>
        <v>0.24126147010950588</v>
      </c>
      <c r="Q106" s="20">
        <f t="shared" si="107"/>
        <v>1.2574858937744013</v>
      </c>
      <c r="R106" s="59">
        <f t="shared" si="55"/>
        <v>294.59081922710772</v>
      </c>
      <c r="S106" s="59">
        <f ca="1">AVERAGE(OFFSET($R$3,0,0,'Données projet'!$E$9+1,1))-AVERAGE(OFFSET($H$3,0,0,'Données projet'!$E$9+1,1))</f>
        <v>350.01600895263641</v>
      </c>
      <c r="T106" s="59">
        <f t="shared" si="88"/>
        <v>464.08921044376882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143.69986972944287</v>
      </c>
      <c r="AA106" s="21">
        <f>EXP(-LN(2)/25)*AA105+(1-EXP(-LN(2)/25))/(LN(2)/25)*Calculateur!V106*Calculateur!X106*VLOOKUP('Données projet'!$B$9,Paramètres!$A$1:$I$89,3,0)*0.475*44/12</f>
        <v>6.6818432940086359</v>
      </c>
      <c r="AB106" s="21">
        <f>EXP(-LN(2)/2)*AB105+(1-EXP(-LN(2)/2))/(LN(2)/2)*V106*Y106*VLOOKUP('Données projet'!$B$9,Paramètres!$A$1:$I$89,3,0)*0.475*44/12</f>
        <v>7.6136031368434831E-12</v>
      </c>
      <c r="AC106" s="22">
        <f t="shared" si="57"/>
        <v>150.38171302345913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227.99999999999994</v>
      </c>
      <c r="AJ106" s="13">
        <f>AI106*VLOOKUP('Données projet'!$B$10,Paramètres!$A$1:$I$89,3,0)*VLOOKUP('Données projet'!$B$10,Paramètres!$A$1:$I$89,5,0)</f>
        <v>199.18079999999998</v>
      </c>
      <c r="AK106" s="13">
        <f t="shared" si="89"/>
        <v>49.564089376413683</v>
      </c>
      <c r="AL106" s="20">
        <f t="shared" si="58"/>
        <v>433.23068233058711</v>
      </c>
      <c r="AM106" s="59">
        <f t="shared" si="59"/>
        <v>726.56401566392037</v>
      </c>
      <c r="AN106" s="59">
        <f ca="1">AVERAGE(OFFSET($AM$3,0,0,'Données projet'!$E$10+1,1))-AVERAGE(OFFSET($H$3,0,0,'Données projet'!$E$10+1,1))</f>
        <v>242.48830542479988</v>
      </c>
      <c r="AO106" s="59">
        <f t="shared" si="90"/>
        <v>226.11219631227061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46.844001606231572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46.844001606231572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337.71</v>
      </c>
      <c r="BB106" s="12">
        <f>VLOOKUP(A106,'Données projet'!$A$87:$I$107,9,0)</f>
        <v>7.2909999999999968</v>
      </c>
      <c r="BC106" s="12">
        <f t="array" ref="BC106">INDEX(BB:BB,MIN(IF(ISNUMBER(BB106:BB302),ROW(BB106:BB302),"")))</f>
        <v>7.2909999999999968</v>
      </c>
      <c r="BD106" s="12">
        <f>IF('Données projet'!$A$88&gt;35,BD105+BC106-BL105,IF(A106&lt;'Données projet'!$A$88,$BA$205^A106,IF(A106='Données projet'!$A$88,'Données projet'!$B$88,BD105+BC106-BL105)))</f>
        <v>337.70999999999987</v>
      </c>
      <c r="BE106" s="13">
        <f>BD106*VLOOKUP('Données projet'!$B$11,Paramètres!$A$1:$I$89,3,0)*VLOOKUP('Données projet'!$B$11,Paramètres!$A$1:$I$89,5,0)</f>
        <v>342.43793999999991</v>
      </c>
      <c r="BF106" s="13">
        <f t="shared" si="91"/>
        <v>80.003430619523741</v>
      </c>
      <c r="BG106" s="20">
        <f t="shared" si="61"/>
        <v>735.75205382900367</v>
      </c>
      <c r="BH106" s="59">
        <f t="shared" si="62"/>
        <v>1029.0853871623369</v>
      </c>
      <c r="BI106" s="59">
        <f ca="1">AVERAGE(OFFSET($BH$3,0,0,'Données projet'!$E$11+1,1))-AVERAGE(OFFSET($H$3,0,0,'Données projet'!$E$11+1,1))</f>
        <v>402.5435069258703</v>
      </c>
      <c r="BJ106" s="59">
        <f t="shared" si="92"/>
        <v>163.60655195816349</v>
      </c>
      <c r="BK106" s="15">
        <f>IF(ISNA(VLOOKUP(A106,'Données projet'!$A$87:$I$107,3,0)),0,VLOOKUP(A106,'Données projet'!$A$87:$I$107,3,0))</f>
        <v>8</v>
      </c>
      <c r="BL106" s="15">
        <f>IF(ISNA(VLOOKUP(A106,'Données projet'!$A$87:$I$107,4,0)),0,VLOOKUP(A106,'Données projet'!$A$87:$I$107,4,0))</f>
        <v>50.51</v>
      </c>
      <c r="BM106" s="16">
        <f>IF(ISNA(VLOOKUP(A106,'Données projet'!$A$87:$I$107,5,0)),0%,VLOOKUP(A106,'Données projet'!$A$87:$I$107,5,0)*VLOOKUP('Données projet'!$B$11,Paramètres!$A$1:$I$89,7,0))</f>
        <v>0.43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103.89704493180136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103.89704493180136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>
        <f>VLOOKUP(A106,'Données projet'!$A$113:$I$133,2,0)</f>
        <v>337.71</v>
      </c>
      <c r="BW106" s="12">
        <f>VLOOKUP(A106,'Données projet'!$A$113:$I$133,9,0)</f>
        <v>7.2909999999999968</v>
      </c>
      <c r="BX106" s="12">
        <f t="array" ref="BX106">INDEX(BW:BW,MIN(IF(ISNUMBER(BW106:BW302),ROW(BW106:BW302),"")))</f>
        <v>7.2909999999999968</v>
      </c>
      <c r="BY106" s="12">
        <f>IF('Données projet'!$A$114&gt;35,BY105+BX106-CG105,IF(A106&lt;'Données projet'!$A$114,$BV$205^A106,IF(A106='Données projet'!$A$114,'Données projet'!$B$114,BY105+BX106-CG105)))</f>
        <v>337.70999999999987</v>
      </c>
      <c r="BZ106" s="13">
        <f>BY106*VLOOKUP('Données projet'!$B$12,Paramètres!$A$1:$I$89,3,0)*VLOOKUP('Données projet'!$B$12,Paramètres!$A$1:$I$89,5,0)</f>
        <v>305.56000799999987</v>
      </c>
      <c r="CA106" s="13">
        <f t="shared" si="93"/>
        <v>72.340806046688186</v>
      </c>
      <c r="CB106" s="20">
        <f t="shared" si="64"/>
        <v>658.17725113131507</v>
      </c>
      <c r="CC106" s="59">
        <f t="shared" si="65"/>
        <v>951.51058446464845</v>
      </c>
      <c r="CD106" s="59">
        <f ca="1">AVERAGE(OFFSET($CC$3,0,0,'Données projet'!$E$12+1,1))-AVERAGE(OFFSET($H$3,0,0,'Données projet'!$E$12+1,1))</f>
        <v>350.91577977538822</v>
      </c>
      <c r="CE106" s="59">
        <f t="shared" si="94"/>
        <v>142.87103313412547</v>
      </c>
      <c r="CF106" s="15">
        <f>IF(ISNA(VLOOKUP(A106,'Données projet'!$A$113:$I$133,3,0)),0,VLOOKUP(A106,'Données projet'!$A$113:$I$133,3,0))</f>
        <v>8</v>
      </c>
      <c r="CG106" s="15">
        <f>IF(ISNA(VLOOKUP(A106,'Données projet'!$A$113:$I$133,4,0)),0,VLOOKUP(A106,'Données projet'!$A$113:$I$133,4,0))</f>
        <v>50.51</v>
      </c>
      <c r="CH106" s="16">
        <f>IF(ISNA(VLOOKUP(A106,'Données projet'!$A$113:$I$133,5,0)),0%,VLOOKUP(A106,'Données projet'!$A$113:$I$133,5,0)*VLOOKUP('Données projet'!$B$12,Paramètres!$A$1:$I$89,7,0))</f>
        <v>0.43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92.708132400684292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92.708132400684292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266.99999999999983</v>
      </c>
      <c r="CU106" s="17">
        <f>CT106*VLOOKUP('Données projet'!$B$13,Paramètres!$A$1:$I$89,3,0)*VLOOKUP('Données projet'!$B$13,Paramètres!$A$1:$I$89,5,0)</f>
        <v>216.59039999999987</v>
      </c>
      <c r="CV106" s="13">
        <f t="shared" si="95"/>
        <v>53.373153688190904</v>
      </c>
      <c r="CW106" s="20">
        <f t="shared" si="67"/>
        <v>470.18652267359886</v>
      </c>
      <c r="CX106" s="59">
        <f t="shared" si="68"/>
        <v>763.51985600693217</v>
      </c>
      <c r="CY106" s="59">
        <f ca="1">AVERAGE(OFFSET($CX$3,0,0,'Données projet'!$E$13+1,1))-AVERAGE(OFFSET($H$3,0,0,'Données projet'!$E$13+1,1))</f>
        <v>230.38929580146208</v>
      </c>
      <c r="CZ106" s="59">
        <f t="shared" si="96"/>
        <v>227.1847788696258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28.05245308640237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28.05245308640237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4.9159999999999968</v>
      </c>
      <c r="DO106" s="12">
        <f>IF('Données projet'!$A$166&gt;35,DO105+DN106-DW105,IF(A106&lt;'Données projet'!$A$166,$DL$205^A106,IF(A106='Données projet'!$A$166,'Données projet'!$B$166,DO105+DN106-DW105)))</f>
        <v>210.60799999999983</v>
      </c>
      <c r="DP106" s="17">
        <f>DO106*VLOOKUP('Données projet'!$B$14,Paramètres!$A$1:$I$89,3,0)*VLOOKUP('Données projet'!$B$14,Paramètres!$A$1:$I$89,5,0)</f>
        <v>125.9435839999999</v>
      </c>
      <c r="DQ106" s="13">
        <f t="shared" si="97"/>
        <v>33.057318400539586</v>
      </c>
      <c r="DR106" s="20">
        <f t="shared" si="70"/>
        <v>276.92657168093962</v>
      </c>
      <c r="DS106" s="59">
        <f t="shared" si="71"/>
        <v>570.25990501427293</v>
      </c>
      <c r="DT106" s="59">
        <f ca="1">AVERAGE(OFFSET($DS$3,0,0,'Données projet'!$E$14+1,1))-AVERAGE(OFFSET($H$3,0,0,'Données projet'!$E$14+1,1))</f>
        <v>145.97103392561058</v>
      </c>
      <c r="DU106" s="59">
        <f t="shared" si="98"/>
        <v>62.920713953681172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83.871359936650947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83.871359936650947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0.8600000000003547</v>
      </c>
      <c r="O107" s="13">
        <f>N107*VLOOKUP('Données projet'!$B$9,Paramètres!$A$1:$I$89,3,0)*VLOOKUP('Données projet'!$B$9,Paramètres!$A$1:$I$89,5,0)</f>
        <v>0.48074000000019829</v>
      </c>
      <c r="P107" s="13">
        <f t="shared" si="87"/>
        <v>0.24126147010950588</v>
      </c>
      <c r="Q107" s="20">
        <f t="shared" si="107"/>
        <v>1.2574858937744013</v>
      </c>
      <c r="R107" s="59">
        <f t="shared" si="55"/>
        <v>294.59081922710772</v>
      </c>
      <c r="S107" s="59">
        <f ca="1">AVERAGE(OFFSET($R$3,0,0,'Données projet'!$E$9+1,1))-AVERAGE(OFFSET($H$3,0,0,'Données projet'!$E$9+1,1))</f>
        <v>350.01600895263641</v>
      </c>
      <c r="T107" s="59">
        <f t="shared" si="88"/>
        <v>464.08921044376882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140.88200293231449</v>
      </c>
      <c r="AA107" s="21">
        <f>EXP(-LN(2)/25)*AA106+(1-EXP(-LN(2)/25))/(LN(2)/25)*Calculateur!V107*Calculateur!X107*VLOOKUP('Données projet'!$B$9,Paramètres!$A$1:$I$89,3,0)*0.475*44/12</f>
        <v>6.4991279377511022</v>
      </c>
      <c r="AB107" s="21">
        <f>EXP(-LN(2)/2)*AB106+(1-EXP(-LN(2)/2))/(LN(2)/2)*V107*Y107*VLOOKUP('Données projet'!$B$9,Paramètres!$A$1:$I$89,3,0)*0.475*44/12</f>
        <v>5.3836304073251969E-12</v>
      </c>
      <c r="AC107" s="22">
        <f t="shared" si="57"/>
        <v>147.38113087007096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227.99999999999994</v>
      </c>
      <c r="AJ107" s="13">
        <f>AI107*VLOOKUP('Données projet'!$B$10,Paramètres!$A$1:$I$89,3,0)*VLOOKUP('Données projet'!$B$10,Paramètres!$A$1:$I$89,5,0)</f>
        <v>199.18079999999998</v>
      </c>
      <c r="AK107" s="13">
        <f t="shared" si="89"/>
        <v>49.564089376413683</v>
      </c>
      <c r="AL107" s="20">
        <f t="shared" si="58"/>
        <v>433.23068233058711</v>
      </c>
      <c r="AM107" s="59">
        <f t="shared" si="59"/>
        <v>726.56401566392037</v>
      </c>
      <c r="AN107" s="59">
        <f ca="1">AVERAGE(OFFSET($AM$3,0,0,'Données projet'!$E$10+1,1))-AVERAGE(OFFSET($H$3,0,0,'Données projet'!$E$10+1,1))</f>
        <v>242.48830542479988</v>
      </c>
      <c r="AO107" s="59">
        <f t="shared" si="90"/>
        <v>226.11219631227061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45.925419306753099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45.925419306753099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6.8850000000000025</v>
      </c>
      <c r="BD107" s="12">
        <f>IF('Données projet'!$A$88&gt;35,BD106+BC107-BL106,IF(A107&lt;'Données projet'!$A$88,$BA$205^A107,IF(A107='Données projet'!$A$88,'Données projet'!$B$88,BD106+BC107-BL106)))</f>
        <v>294.08499999999987</v>
      </c>
      <c r="BE107" s="13">
        <f>BD107*VLOOKUP('Données projet'!$B$11,Paramètres!$A$1:$I$89,3,0)*VLOOKUP('Données projet'!$B$11,Paramètres!$A$1:$I$89,5,0)</f>
        <v>298.20218999999986</v>
      </c>
      <c r="BF107" s="13">
        <f t="shared" si="91"/>
        <v>70.799441701094068</v>
      </c>
      <c r="BG107" s="20">
        <f t="shared" si="61"/>
        <v>642.67784187940526</v>
      </c>
      <c r="BH107" s="59">
        <f t="shared" si="62"/>
        <v>936.01117521273864</v>
      </c>
      <c r="BI107" s="59">
        <f ca="1">AVERAGE(OFFSET($BH$3,0,0,'Données projet'!$E$11+1,1))-AVERAGE(OFFSET($H$3,0,0,'Données projet'!$E$11+1,1))</f>
        <v>402.5435069258703</v>
      </c>
      <c r="BJ107" s="59">
        <f t="shared" si="92"/>
        <v>163.60655195816349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101.85968725162878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101.85968725162878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6.8850000000000025</v>
      </c>
      <c r="BY107" s="12">
        <f>IF('Données projet'!$A$114&gt;35,BY106+BX107-CG106,IF(A107&lt;'Données projet'!$A$114,$BV$205^A107,IF(A107='Données projet'!$A$114,'Données projet'!$B$114,BY106+BX107-CG106)))</f>
        <v>294.08499999999987</v>
      </c>
      <c r="BZ107" s="13">
        <f>BY107*VLOOKUP('Données projet'!$B$12,Paramètres!$A$1:$I$89,3,0)*VLOOKUP('Données projet'!$B$12,Paramètres!$A$1:$I$89,5,0)</f>
        <v>266.08810799999986</v>
      </c>
      <c r="CA107" s="13">
        <f t="shared" si="93"/>
        <v>64.018363220823872</v>
      </c>
      <c r="CB107" s="20">
        <f t="shared" si="64"/>
        <v>574.93543737626794</v>
      </c>
      <c r="CC107" s="59">
        <f t="shared" si="65"/>
        <v>868.26877070960131</v>
      </c>
      <c r="CD107" s="59">
        <f ca="1">AVERAGE(OFFSET($CC$3,0,0,'Données projet'!$E$12+1,1))-AVERAGE(OFFSET($H$3,0,0,'Données projet'!$E$12+1,1))</f>
        <v>350.91577977538822</v>
      </c>
      <c r="CE107" s="59">
        <f t="shared" si="94"/>
        <v>142.87103313412547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90.890182470684152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90.890182470684152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266.99999999999983</v>
      </c>
      <c r="CU107" s="17">
        <f>CT107*VLOOKUP('Données projet'!$B$13,Paramètres!$A$1:$I$89,3,0)*VLOOKUP('Données projet'!$B$13,Paramètres!$A$1:$I$89,5,0)</f>
        <v>216.59039999999987</v>
      </c>
      <c r="CV107" s="13">
        <f t="shared" si="95"/>
        <v>53.373153688190904</v>
      </c>
      <c r="CW107" s="20">
        <f t="shared" si="67"/>
        <v>470.18652267359886</v>
      </c>
      <c r="CX107" s="59">
        <f t="shared" si="68"/>
        <v>763.51985600693217</v>
      </c>
      <c r="CY107" s="59">
        <f ca="1">AVERAGE(OFFSET($CX$3,0,0,'Données projet'!$E$13+1,1))-AVERAGE(OFFSET($H$3,0,0,'Données projet'!$E$13+1,1))</f>
        <v>230.38929580146208</v>
      </c>
      <c r="CZ107" s="59">
        <f t="shared" si="96"/>
        <v>227.1847788696258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27.502361591684899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27.502361591684899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4.9159999999999968</v>
      </c>
      <c r="DO107" s="12">
        <f>IF('Données projet'!$A$166&gt;35,DO106+DN107-DW106,IF(A107&lt;'Données projet'!$A$166,$DL$205^A107,IF(A107='Données projet'!$A$166,'Données projet'!$B$166,DO106+DN107-DW106)))</f>
        <v>215.52399999999983</v>
      </c>
      <c r="DP107" s="17">
        <f>DO107*VLOOKUP('Données projet'!$B$14,Paramètres!$A$1:$I$89,3,0)*VLOOKUP('Données projet'!$B$14,Paramètres!$A$1:$I$89,5,0)</f>
        <v>128.88335199999992</v>
      </c>
      <c r="DQ107" s="13">
        <f t="shared" si="97"/>
        <v>33.738205360664253</v>
      </c>
      <c r="DR107" s="20">
        <f t="shared" si="70"/>
        <v>283.23254573649007</v>
      </c>
      <c r="DS107" s="59">
        <f t="shared" si="71"/>
        <v>576.56587906982338</v>
      </c>
      <c r="DT107" s="59">
        <f ca="1">AVERAGE(OFFSET($DS$3,0,0,'Données projet'!$E$14+1,1))-AVERAGE(OFFSET($H$3,0,0,'Données projet'!$E$14+1,1))</f>
        <v>145.97103392561058</v>
      </c>
      <c r="DU107" s="59">
        <f t="shared" si="98"/>
        <v>62.920713953681172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82.226693724771508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82.226693724771508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0.8600000000003547</v>
      </c>
      <c r="O108" s="13">
        <f>N108*VLOOKUP('Données projet'!$B$9,Paramètres!$A$1:$I$89,3,0)*VLOOKUP('Données projet'!$B$9,Paramètres!$A$1:$I$89,5,0)</f>
        <v>0.48074000000019829</v>
      </c>
      <c r="P108" s="13">
        <f t="shared" si="87"/>
        <v>0.24126147010950588</v>
      </c>
      <c r="Q108" s="20">
        <f t="shared" si="107"/>
        <v>1.2574858937744013</v>
      </c>
      <c r="R108" s="59">
        <f t="shared" si="55"/>
        <v>294.59081922710772</v>
      </c>
      <c r="S108" s="59">
        <f ca="1">AVERAGE(OFFSET($R$3,0,0,'Données projet'!$E$9+1,1))-AVERAGE(OFFSET($H$3,0,0,'Données projet'!$E$9+1,1))</f>
        <v>350.01600895263641</v>
      </c>
      <c r="T108" s="59">
        <f t="shared" si="88"/>
        <v>464.08921044376882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138.11939278434875</v>
      </c>
      <c r="AA108" s="21">
        <f>EXP(-LN(2)/25)*AA107+(1-EXP(-LN(2)/25))/(LN(2)/25)*Calculateur!V108*Calculateur!X108*VLOOKUP('Données projet'!$B$9,Paramètres!$A$1:$I$89,3,0)*0.475*44/12</f>
        <v>6.3214089425190139</v>
      </c>
      <c r="AB108" s="21">
        <f>EXP(-LN(2)/2)*AB107+(1-EXP(-LN(2)/2))/(LN(2)/2)*V108*Y108*VLOOKUP('Données projet'!$B$9,Paramètres!$A$1:$I$89,3,0)*0.475*44/12</f>
        <v>3.8068015684217416E-12</v>
      </c>
      <c r="AC108" s="22">
        <f t="shared" si="57"/>
        <v>144.44080172687157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227.99999999999994</v>
      </c>
      <c r="AJ108" s="13">
        <f>AI108*VLOOKUP('Données projet'!$B$10,Paramètres!$A$1:$I$89,3,0)*VLOOKUP('Données projet'!$B$10,Paramètres!$A$1:$I$89,5,0)</f>
        <v>199.18079999999998</v>
      </c>
      <c r="AK108" s="13">
        <f t="shared" si="89"/>
        <v>49.564089376413683</v>
      </c>
      <c r="AL108" s="20">
        <f t="shared" si="58"/>
        <v>433.23068233058711</v>
      </c>
      <c r="AM108" s="59">
        <f t="shared" si="59"/>
        <v>726.56401566392037</v>
      </c>
      <c r="AN108" s="59">
        <f ca="1">AVERAGE(OFFSET($AM$3,0,0,'Données projet'!$E$10+1,1))-AVERAGE(OFFSET($H$3,0,0,'Données projet'!$E$10+1,1))</f>
        <v>242.48830542479988</v>
      </c>
      <c r="AO108" s="59">
        <f t="shared" si="90"/>
        <v>226.11219631227061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45.024849845887516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45.024849845887516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6.8850000000000025</v>
      </c>
      <c r="BD108" s="12">
        <f>IF('Données projet'!$A$88&gt;35,BD107+BC108-BL107,IF(A108&lt;'Données projet'!$A$88,$BA$205^A108,IF(A108='Données projet'!$A$88,'Données projet'!$B$88,BD107+BC108-BL107)))</f>
        <v>300.96999999999986</v>
      </c>
      <c r="BE108" s="13">
        <f>BD108*VLOOKUP('Données projet'!$B$11,Paramètres!$A$1:$I$89,3,0)*VLOOKUP('Données projet'!$B$11,Paramètres!$A$1:$I$89,5,0)</f>
        <v>305.18357999999989</v>
      </c>
      <c r="BF108" s="13">
        <f t="shared" si="91"/>
        <v>72.262055131499636</v>
      </c>
      <c r="BG108" s="20">
        <f t="shared" si="61"/>
        <v>657.38448118736176</v>
      </c>
      <c r="BH108" s="59">
        <f t="shared" si="62"/>
        <v>950.71781452069513</v>
      </c>
      <c r="BI108" s="59">
        <f ca="1">AVERAGE(OFFSET($BH$3,0,0,'Données projet'!$E$11+1,1))-AVERAGE(OFFSET($H$3,0,0,'Données projet'!$E$11+1,1))</f>
        <v>402.5435069258703</v>
      </c>
      <c r="BJ108" s="59">
        <f t="shared" si="92"/>
        <v>163.60655195816349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99.86228091289891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99.86228091289891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6.8850000000000025</v>
      </c>
      <c r="BY108" s="12">
        <f>IF('Données projet'!$A$114&gt;35,BY107+BX108-CG107,IF(A108&lt;'Données projet'!$A$114,$BV$205^A108,IF(A108='Données projet'!$A$114,'Données projet'!$B$114,BY107+BX108-CG107)))</f>
        <v>300.96999999999986</v>
      </c>
      <c r="BZ108" s="13">
        <f>BY108*VLOOKUP('Données projet'!$B$12,Paramètres!$A$1:$I$89,3,0)*VLOOKUP('Données projet'!$B$12,Paramètres!$A$1:$I$89,5,0)</f>
        <v>272.31765599999989</v>
      </c>
      <c r="CA108" s="13">
        <f t="shared" si="93"/>
        <v>65.34088943839879</v>
      </c>
      <c r="CB108" s="20">
        <f t="shared" si="64"/>
        <v>588.08863330521103</v>
      </c>
      <c r="CC108" s="59">
        <f t="shared" si="65"/>
        <v>881.42196663854429</v>
      </c>
      <c r="CD108" s="59">
        <f ca="1">AVERAGE(OFFSET($CC$3,0,0,'Données projet'!$E$12+1,1))-AVERAGE(OFFSET($H$3,0,0,'Données projet'!$E$12+1,1))</f>
        <v>350.91577977538822</v>
      </c>
      <c r="CE108" s="59">
        <f t="shared" si="94"/>
        <v>142.87103313412547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89.107881429971343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89.107881429971343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266.99999999999983</v>
      </c>
      <c r="CU108" s="17">
        <f>CT108*VLOOKUP('Données projet'!$B$13,Paramètres!$A$1:$I$89,3,0)*VLOOKUP('Données projet'!$B$13,Paramètres!$A$1:$I$89,5,0)</f>
        <v>216.59039999999987</v>
      </c>
      <c r="CV108" s="13">
        <f t="shared" si="95"/>
        <v>53.373153688190904</v>
      </c>
      <c r="CW108" s="20">
        <f t="shared" si="67"/>
        <v>470.18652267359886</v>
      </c>
      <c r="CX108" s="59">
        <f t="shared" si="68"/>
        <v>763.51985600693217</v>
      </c>
      <c r="CY108" s="59">
        <f ca="1">AVERAGE(OFFSET($CX$3,0,0,'Données projet'!$E$13+1,1))-AVERAGE(OFFSET($H$3,0,0,'Données projet'!$E$13+1,1))</f>
        <v>230.38929580146208</v>
      </c>
      <c r="CZ108" s="59">
        <f t="shared" si="96"/>
        <v>227.1847788696258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26.963057055656158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26.963057055656158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>
        <f>VLOOKUP(A108,'Données projet'!$A$165:$I$185,2,0)</f>
        <v>220.44</v>
      </c>
      <c r="DM108" s="12">
        <f>VLOOKUP(A108,'Données projet'!$A$165:$I$185,9,0)</f>
        <v>4.9159999999999968</v>
      </c>
      <c r="DN108" s="12">
        <f t="array" ref="DN108">INDEX(DM:DM,MIN(IF(ISNUMBER(DM108:DM304),ROW(DM108:DM304),"")))</f>
        <v>4.9159999999999968</v>
      </c>
      <c r="DO108" s="12">
        <f>IF('Données projet'!$A$166&gt;35,DO107+DN108-DW107,IF(A108&lt;'Données projet'!$A$166,$DL$205^A108,IF(A108='Données projet'!$A$166,'Données projet'!$B$166,DO107+DN108-DW107)))</f>
        <v>220.43999999999983</v>
      </c>
      <c r="DP108" s="17">
        <f>DO108*VLOOKUP('Données projet'!$B$14,Paramètres!$A$1:$I$89,3,0)*VLOOKUP('Données projet'!$B$14,Paramètres!$A$1:$I$89,5,0)</f>
        <v>131.8231199999999</v>
      </c>
      <c r="DQ108" s="13">
        <f t="shared" si="97"/>
        <v>34.417286778633958</v>
      </c>
      <c r="DR108" s="20">
        <f t="shared" si="70"/>
        <v>289.53537513945395</v>
      </c>
      <c r="DS108" s="59">
        <f t="shared" si="71"/>
        <v>582.86870847278726</v>
      </c>
      <c r="DT108" s="59">
        <f ca="1">AVERAGE(OFFSET($DS$3,0,0,'Données projet'!$E$14+1,1))-AVERAGE(OFFSET($H$3,0,0,'Données projet'!$E$14+1,1))</f>
        <v>145.97103392561058</v>
      </c>
      <c r="DU108" s="59">
        <f t="shared" si="98"/>
        <v>62.920713953681172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80.614278414159685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80.614278414159685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0.8600000000003547</v>
      </c>
      <c r="O109" s="13">
        <f>N109*VLOOKUP('Données projet'!$B$9,Paramètres!$A$1:$I$89,3,0)*VLOOKUP('Données projet'!$B$9,Paramètres!$A$1:$I$89,5,0)</f>
        <v>0.48074000000019829</v>
      </c>
      <c r="P109" s="13">
        <f t="shared" si="87"/>
        <v>0.24126147010950588</v>
      </c>
      <c r="Q109" s="20">
        <f t="shared" si="107"/>
        <v>1.2574858937744013</v>
      </c>
      <c r="R109" s="59">
        <f t="shared" si="55"/>
        <v>294.59081922710772</v>
      </c>
      <c r="S109" s="59">
        <f ca="1">AVERAGE(OFFSET($R$3,0,0,'Données projet'!$E$9+1,1))-AVERAGE(OFFSET($H$3,0,0,'Données projet'!$E$9+1,1))</f>
        <v>350.01600895263641</v>
      </c>
      <c r="T109" s="59">
        <f t="shared" si="88"/>
        <v>464.08921044376882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135.4109557363588</v>
      </c>
      <c r="AA109" s="21">
        <f>EXP(-LN(2)/25)*AA108+(1-EXP(-LN(2)/25))/(LN(2)/25)*Calculateur!V109*Calculateur!X109*VLOOKUP('Données projet'!$B$9,Paramètres!$A$1:$I$89,3,0)*0.475*44/12</f>
        <v>6.1485496825573831</v>
      </c>
      <c r="AB109" s="21">
        <f>EXP(-LN(2)/2)*AB108+(1-EXP(-LN(2)/2))/(LN(2)/2)*V109*Y109*VLOOKUP('Données projet'!$B$9,Paramètres!$A$1:$I$89,3,0)*0.475*44/12</f>
        <v>2.6918152036625984E-12</v>
      </c>
      <c r="AC109" s="22">
        <f t="shared" si="57"/>
        <v>141.55950541891889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227.99999999999994</v>
      </c>
      <c r="AJ109" s="13">
        <f>AI109*VLOOKUP('Données projet'!$B$10,Paramètres!$A$1:$I$89,3,0)*VLOOKUP('Données projet'!$B$10,Paramètres!$A$1:$I$89,5,0)</f>
        <v>199.18079999999998</v>
      </c>
      <c r="AK109" s="13">
        <f t="shared" si="89"/>
        <v>49.564089376413683</v>
      </c>
      <c r="AL109" s="20">
        <f t="shared" si="58"/>
        <v>433.23068233058711</v>
      </c>
      <c r="AM109" s="59">
        <f t="shared" si="59"/>
        <v>726.56401566392037</v>
      </c>
      <c r="AN109" s="59">
        <f ca="1">AVERAGE(OFFSET($AM$3,0,0,'Données projet'!$E$10+1,1))-AVERAGE(OFFSET($H$3,0,0,'Données projet'!$E$10+1,1))</f>
        <v>242.48830542479988</v>
      </c>
      <c r="AO109" s="59">
        <f t="shared" si="90"/>
        <v>226.11219631227061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44.14194000285638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44.14194000285638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6.8850000000000025</v>
      </c>
      <c r="BD109" s="12">
        <f>IF('Données projet'!$A$88&gt;35,BD108+BC109-BL108,IF(A109&lt;'Données projet'!$A$88,$BA$205^A109,IF(A109='Données projet'!$A$88,'Données projet'!$B$88,BD108+BC109-BL108)))</f>
        <v>307.85499999999985</v>
      </c>
      <c r="BE109" s="13">
        <f>BD109*VLOOKUP('Données projet'!$B$11,Paramètres!$A$1:$I$89,3,0)*VLOOKUP('Données projet'!$B$11,Paramètres!$A$1:$I$89,5,0)</f>
        <v>312.16496999999987</v>
      </c>
      <c r="BF109" s="13">
        <f t="shared" si="91"/>
        <v>73.720778780235008</v>
      </c>
      <c r="BG109" s="20">
        <f t="shared" si="61"/>
        <v>672.08434579224229</v>
      </c>
      <c r="BH109" s="59">
        <f t="shared" si="62"/>
        <v>965.41767912557566</v>
      </c>
      <c r="BI109" s="59">
        <f ca="1">AVERAGE(OFFSET($BH$3,0,0,'Données projet'!$E$11+1,1))-AVERAGE(OFFSET($H$3,0,0,'Données projet'!$E$11+1,1))</f>
        <v>402.5435069258703</v>
      </c>
      <c r="BJ109" s="59">
        <f t="shared" si="92"/>
        <v>163.60655195816349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97.904042494173964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97.904042494173964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6.8850000000000025</v>
      </c>
      <c r="BY109" s="12">
        <f>IF('Données projet'!$A$114&gt;35,BY108+BX109-CG108,IF(A109&lt;'Données projet'!$A$114,$BV$205^A109,IF(A109='Données projet'!$A$114,'Données projet'!$B$114,BY108+BX109-CG108)))</f>
        <v>307.85499999999985</v>
      </c>
      <c r="BZ109" s="13">
        <f>BY109*VLOOKUP('Données projet'!$B$12,Paramètres!$A$1:$I$89,3,0)*VLOOKUP('Données projet'!$B$12,Paramètres!$A$1:$I$89,5,0)</f>
        <v>278.54720399999985</v>
      </c>
      <c r="CA109" s="13">
        <f t="shared" si="93"/>
        <v>66.659898432534732</v>
      </c>
      <c r="CB109" s="20">
        <f t="shared" si="64"/>
        <v>601.23570340333106</v>
      </c>
      <c r="CC109" s="59">
        <f t="shared" si="65"/>
        <v>894.56903673666443</v>
      </c>
      <c r="CD109" s="59">
        <f ca="1">AVERAGE(OFFSET($CC$3,0,0,'Données projet'!$E$12+1,1))-AVERAGE(OFFSET($H$3,0,0,'Données projet'!$E$12+1,1))</f>
        <v>350.91577977538822</v>
      </c>
      <c r="CE109" s="59">
        <f t="shared" si="94"/>
        <v>142.87103313412547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87.360530225570614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87.360530225570614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266.99999999999983</v>
      </c>
      <c r="CU109" s="17">
        <f>CT109*VLOOKUP('Données projet'!$B$13,Paramètres!$A$1:$I$89,3,0)*VLOOKUP('Données projet'!$B$13,Paramètres!$A$1:$I$89,5,0)</f>
        <v>216.59039999999987</v>
      </c>
      <c r="CV109" s="13">
        <f t="shared" si="95"/>
        <v>53.373153688190904</v>
      </c>
      <c r="CW109" s="20">
        <f t="shared" si="67"/>
        <v>470.18652267359886</v>
      </c>
      <c r="CX109" s="59">
        <f t="shared" si="68"/>
        <v>763.51985600693217</v>
      </c>
      <c r="CY109" s="59">
        <f ca="1">AVERAGE(OFFSET($CX$3,0,0,'Données projet'!$E$13+1,1))-AVERAGE(OFFSET($H$3,0,0,'Données projet'!$E$13+1,1))</f>
        <v>230.38929580146208</v>
      </c>
      <c r="CZ109" s="59">
        <f t="shared" si="96"/>
        <v>227.1847788696258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26.434327952635652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26.434327952635652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5.331999999999999</v>
      </c>
      <c r="DO109" s="12">
        <f>IF('Données projet'!$A$166&gt;35,DO108+DN109-DW108,IF(A109&lt;'Données projet'!$A$166,$DL$205^A109,IF(A109='Données projet'!$A$166,'Données projet'!$B$166,DO108+DN109-DW108)))</f>
        <v>225.77199999999982</v>
      </c>
      <c r="DP109" s="17">
        <f>DO109*VLOOKUP('Données projet'!$B$14,Paramètres!$A$1:$I$89,3,0)*VLOOKUP('Données projet'!$B$14,Paramètres!$A$1:$I$89,5,0)</f>
        <v>135.0116559999999</v>
      </c>
      <c r="DQ109" s="13">
        <f t="shared" si="97"/>
        <v>35.151844135363525</v>
      </c>
      <c r="DR109" s="20">
        <f t="shared" si="70"/>
        <v>296.36809606909128</v>
      </c>
      <c r="DS109" s="59">
        <f t="shared" si="71"/>
        <v>589.70142940242454</v>
      </c>
      <c r="DT109" s="59">
        <f ca="1">AVERAGE(OFFSET($DS$3,0,0,'Données projet'!$E$14+1,1))-AVERAGE(OFFSET($H$3,0,0,'Données projet'!$E$14+1,1))</f>
        <v>145.97103392561058</v>
      </c>
      <c r="DU109" s="59">
        <f t="shared" si="98"/>
        <v>62.920713953681172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79.033481584312725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79.033481584312725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0.8600000000003547</v>
      </c>
      <c r="O110" s="13">
        <f>N110*VLOOKUP('Données projet'!$B$9,Paramètres!$A$1:$I$89,3,0)*VLOOKUP('Données projet'!$B$9,Paramètres!$A$1:$I$89,5,0)</f>
        <v>0.48074000000019829</v>
      </c>
      <c r="P110" s="13">
        <f t="shared" si="87"/>
        <v>0.24126147010950588</v>
      </c>
      <c r="Q110" s="20">
        <f t="shared" si="107"/>
        <v>1.2574858937744013</v>
      </c>
      <c r="R110" s="59">
        <f t="shared" si="55"/>
        <v>294.59081922710772</v>
      </c>
      <c r="S110" s="59">
        <f ca="1">AVERAGE(OFFSET($R$3,0,0,'Données projet'!$E$9+1,1))-AVERAGE(OFFSET($H$3,0,0,'Données projet'!$E$9+1,1))</f>
        <v>350.01600895263641</v>
      </c>
      <c r="T110" s="59">
        <f t="shared" si="88"/>
        <v>464.08921044376882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132.75562948689648</v>
      </c>
      <c r="AA110" s="21">
        <f>EXP(-LN(2)/25)*AA109+(1-EXP(-LN(2)/25))/(LN(2)/25)*Calculateur!V110*Calculateur!X110*VLOOKUP('Données projet'!$B$9,Paramètres!$A$1:$I$89,3,0)*0.475*44/12</f>
        <v>5.9804172681496768</v>
      </c>
      <c r="AB110" s="21">
        <f>EXP(-LN(2)/2)*AB109+(1-EXP(-LN(2)/2))/(LN(2)/2)*V110*Y110*VLOOKUP('Données projet'!$B$9,Paramètres!$A$1:$I$89,3,0)*0.475*44/12</f>
        <v>1.9034007842108708E-12</v>
      </c>
      <c r="AC110" s="22">
        <f t="shared" si="57"/>
        <v>138.73604675504805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227.99999999999994</v>
      </c>
      <c r="AJ110" s="13">
        <f>AI110*VLOOKUP('Données projet'!$B$10,Paramètres!$A$1:$I$89,3,0)*VLOOKUP('Données projet'!$B$10,Paramètres!$A$1:$I$89,5,0)</f>
        <v>199.18079999999998</v>
      </c>
      <c r="AK110" s="13">
        <f t="shared" si="89"/>
        <v>49.564089376413683</v>
      </c>
      <c r="AL110" s="20">
        <f t="shared" si="58"/>
        <v>433.23068233058711</v>
      </c>
      <c r="AM110" s="59">
        <f t="shared" si="59"/>
        <v>726.56401566392037</v>
      </c>
      <c r="AN110" s="59">
        <f ca="1">AVERAGE(OFFSET($AM$3,0,0,'Données projet'!$E$10+1,1))-AVERAGE(OFFSET($H$3,0,0,'Données projet'!$E$10+1,1))</f>
        <v>242.48830542479988</v>
      </c>
      <c r="AO110" s="59">
        <f t="shared" si="90"/>
        <v>226.11219631227061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43.276343483325249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43.276343483325249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6.8850000000000025</v>
      </c>
      <c r="BD110" s="12">
        <f>IF('Données projet'!$A$88&gt;35,BD109+BC110-BL109,IF(A110&lt;'Données projet'!$A$88,$BA$205^A110,IF(A110='Données projet'!$A$88,'Données projet'!$B$88,BD109+BC110-BL109)))</f>
        <v>314.73999999999984</v>
      </c>
      <c r="BE110" s="13">
        <f>BD110*VLOOKUP('Données projet'!$B$11,Paramètres!$A$1:$I$89,3,0)*VLOOKUP('Données projet'!$B$11,Paramètres!$A$1:$I$89,5,0)</f>
        <v>319.14635999999985</v>
      </c>
      <c r="BF110" s="13">
        <f t="shared" si="91"/>
        <v>75.175709656021809</v>
      </c>
      <c r="BG110" s="20">
        <f t="shared" si="61"/>
        <v>686.77760465090432</v>
      </c>
      <c r="BH110" s="59">
        <f t="shared" si="62"/>
        <v>980.11093798423758</v>
      </c>
      <c r="BI110" s="59">
        <f ca="1">AVERAGE(OFFSET($BH$3,0,0,'Données projet'!$E$11+1,1))-AVERAGE(OFFSET($H$3,0,0,'Données projet'!$E$11+1,1))</f>
        <v>402.5435069258703</v>
      </c>
      <c r="BJ110" s="59">
        <f t="shared" si="92"/>
        <v>163.60655195816349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95.984203936432706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95.984203936432706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6.8850000000000025</v>
      </c>
      <c r="BY110" s="12">
        <f>IF('Données projet'!$A$114&gt;35,BY109+BX110-CG109,IF(A110&lt;'Données projet'!$A$114,$BV$205^A110,IF(A110='Données projet'!$A$114,'Données projet'!$B$114,BY109+BX110-CG109)))</f>
        <v>314.73999999999984</v>
      </c>
      <c r="BZ110" s="13">
        <f>BY110*VLOOKUP('Données projet'!$B$12,Paramètres!$A$1:$I$89,3,0)*VLOOKUP('Données projet'!$B$12,Paramètres!$A$1:$I$89,5,0)</f>
        <v>284.77675199999987</v>
      </c>
      <c r="CA110" s="13">
        <f t="shared" si="93"/>
        <v>67.975477920584154</v>
      </c>
      <c r="CB110" s="20">
        <f t="shared" si="64"/>
        <v>614.37680044501712</v>
      </c>
      <c r="CC110" s="59">
        <f t="shared" si="65"/>
        <v>907.71013377835038</v>
      </c>
      <c r="CD110" s="59">
        <f ca="1">AVERAGE(OFFSET($CC$3,0,0,'Données projet'!$E$12+1,1))-AVERAGE(OFFSET($H$3,0,0,'Données projet'!$E$12+1,1))</f>
        <v>350.91577977538822</v>
      </c>
      <c r="CE110" s="59">
        <f t="shared" si="94"/>
        <v>142.87103313412547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85.647443512509184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85.647443512509184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266.99999999999983</v>
      </c>
      <c r="CU110" s="17">
        <f>CT110*VLOOKUP('Données projet'!$B$13,Paramètres!$A$1:$I$89,3,0)*VLOOKUP('Données projet'!$B$13,Paramètres!$A$1:$I$89,5,0)</f>
        <v>216.59039999999987</v>
      </c>
      <c r="CV110" s="13">
        <f t="shared" si="95"/>
        <v>53.373153688190904</v>
      </c>
      <c r="CW110" s="20">
        <f t="shared" si="67"/>
        <v>470.18652267359886</v>
      </c>
      <c r="CX110" s="59">
        <f t="shared" si="68"/>
        <v>763.51985600693217</v>
      </c>
      <c r="CY110" s="59">
        <f ca="1">AVERAGE(OFFSET($CX$3,0,0,'Données projet'!$E$13+1,1))-AVERAGE(OFFSET($H$3,0,0,'Données projet'!$E$13+1,1))</f>
        <v>230.38929580146208</v>
      </c>
      <c r="CZ110" s="59">
        <f t="shared" si="96"/>
        <v>227.1847788696258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25.915966904832469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25.915966904832469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5.331999999999999</v>
      </c>
      <c r="DO110" s="12">
        <f>IF('Données projet'!$A$166&gt;35,DO109+DN110-DW109,IF(A110&lt;'Données projet'!$A$166,$DL$205^A110,IF(A110='Données projet'!$A$166,'Données projet'!$B$166,DO109+DN110-DW109)))</f>
        <v>231.10399999999981</v>
      </c>
      <c r="DP110" s="17">
        <f>DO110*VLOOKUP('Données projet'!$B$14,Paramètres!$A$1:$I$89,3,0)*VLOOKUP('Données projet'!$B$14,Paramètres!$A$1:$I$89,5,0)</f>
        <v>138.2001919999999</v>
      </c>
      <c r="DQ110" s="13">
        <f t="shared" si="97"/>
        <v>35.884384776645319</v>
      </c>
      <c r="DR110" s="20">
        <f t="shared" si="70"/>
        <v>303.1973045526571</v>
      </c>
      <c r="DS110" s="59">
        <f t="shared" si="71"/>
        <v>596.53063788599047</v>
      </c>
      <c r="DT110" s="59">
        <f ca="1">AVERAGE(OFFSET($DS$3,0,0,'Données projet'!$E$14+1,1))-AVERAGE(OFFSET($H$3,0,0,'Données projet'!$E$14+1,1))</f>
        <v>145.97103392561058</v>
      </c>
      <c r="DU110" s="59">
        <f t="shared" si="98"/>
        <v>62.920713953681172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77.483683216108204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77.483683216108204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0.8600000000003547</v>
      </c>
      <c r="O111" s="13">
        <f>N111*VLOOKUP('Données projet'!$B$9,Paramètres!$A$1:$I$89,3,0)*VLOOKUP('Données projet'!$B$9,Paramètres!$A$1:$I$89,5,0)</f>
        <v>0.48074000000019829</v>
      </c>
      <c r="P111" s="13">
        <f t="shared" si="87"/>
        <v>0.24126147010950588</v>
      </c>
      <c r="Q111" s="20">
        <f t="shared" si="107"/>
        <v>1.2574858937744013</v>
      </c>
      <c r="R111" s="59">
        <f t="shared" si="55"/>
        <v>294.59081922710772</v>
      </c>
      <c r="S111" s="59">
        <f ca="1">AVERAGE(OFFSET($R$3,0,0,'Données projet'!$E$9+1,1))-AVERAGE(OFFSET($H$3,0,0,'Données projet'!$E$9+1,1))</f>
        <v>350.01600895263641</v>
      </c>
      <c r="T111" s="59">
        <f t="shared" si="88"/>
        <v>464.08921044376882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130.15237256559701</v>
      </c>
      <c r="AA111" s="21">
        <f>EXP(-LN(2)/25)*AA110+(1-EXP(-LN(2)/25))/(LN(2)/25)*Calculateur!V111*Calculateur!X111*VLOOKUP('Données projet'!$B$9,Paramètres!$A$1:$I$89,3,0)*0.475*44/12</f>
        <v>5.8168824434556479</v>
      </c>
      <c r="AB111" s="21">
        <f>EXP(-LN(2)/2)*AB110+(1-EXP(-LN(2)/2))/(LN(2)/2)*V111*Y111*VLOOKUP('Données projet'!$B$9,Paramètres!$A$1:$I$89,3,0)*0.475*44/12</f>
        <v>1.3459076018312992E-12</v>
      </c>
      <c r="AC111" s="22">
        <f t="shared" si="57"/>
        <v>135.969255009054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227.99999999999994</v>
      </c>
      <c r="AJ111" s="13">
        <f>AI111*VLOOKUP('Données projet'!$B$10,Paramètres!$A$1:$I$89,3,0)*VLOOKUP('Données projet'!$B$10,Paramètres!$A$1:$I$89,5,0)</f>
        <v>199.18079999999998</v>
      </c>
      <c r="AK111" s="13">
        <f t="shared" si="89"/>
        <v>49.564089376413683</v>
      </c>
      <c r="AL111" s="20">
        <f t="shared" si="58"/>
        <v>433.23068233058711</v>
      </c>
      <c r="AM111" s="59">
        <f t="shared" si="59"/>
        <v>726.56401566392037</v>
      </c>
      <c r="AN111" s="59">
        <f ca="1">AVERAGE(OFFSET($AM$3,0,0,'Données projet'!$E$10+1,1))-AVERAGE(OFFSET($H$3,0,0,'Données projet'!$E$10+1,1))</f>
        <v>242.48830542479988</v>
      </c>
      <c r="AO111" s="59">
        <f t="shared" si="90"/>
        <v>226.11219631227061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42.427720783580384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42.427720783580384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6.8850000000000025</v>
      </c>
      <c r="BD111" s="12">
        <f>IF('Données projet'!$A$88&gt;35,BD110+BC111-BL110,IF(A111&lt;'Données projet'!$A$88,$BA$205^A111,IF(A111='Données projet'!$A$88,'Données projet'!$B$88,BD110+BC111-BL110)))</f>
        <v>321.62499999999983</v>
      </c>
      <c r="BE111" s="13">
        <f>BD111*VLOOKUP('Données projet'!$B$11,Paramètres!$A$1:$I$89,3,0)*VLOOKUP('Données projet'!$B$11,Paramètres!$A$1:$I$89,5,0)</f>
        <v>326.12774999999982</v>
      </c>
      <c r="BF111" s="13">
        <f t="shared" si="91"/>
        <v>76.626940281038671</v>
      </c>
      <c r="BG111" s="20">
        <f t="shared" si="61"/>
        <v>701.46441890614199</v>
      </c>
      <c r="BH111" s="59">
        <f t="shared" si="62"/>
        <v>994.79775223947536</v>
      </c>
      <c r="BI111" s="59">
        <f ca="1">AVERAGE(OFFSET($BH$3,0,0,'Données projet'!$E$11+1,1))-AVERAGE(OFFSET($H$3,0,0,'Données projet'!$E$11+1,1))</f>
        <v>402.5435069258703</v>
      </c>
      <c r="BJ111" s="59">
        <f t="shared" si="92"/>
        <v>163.60655195816349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94.102012241822862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94.102012241822862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6.8850000000000025</v>
      </c>
      <c r="BY111" s="12">
        <f>IF('Données projet'!$A$114&gt;35,BY110+BX111-CG110,IF(A111&lt;'Données projet'!$A$114,$BV$205^A111,IF(A111='Données projet'!$A$114,'Données projet'!$B$114,BY110+BX111-CG110)))</f>
        <v>321.62499999999983</v>
      </c>
      <c r="BZ111" s="13">
        <f>BY111*VLOOKUP('Données projet'!$B$12,Paramètres!$A$1:$I$89,3,0)*VLOOKUP('Données projet'!$B$12,Paramètres!$A$1:$I$89,5,0)</f>
        <v>291.00629999999984</v>
      </c>
      <c r="CA111" s="13">
        <f t="shared" si="93"/>
        <v>69.287711563071667</v>
      </c>
      <c r="CB111" s="20">
        <f t="shared" si="64"/>
        <v>627.51207013901626</v>
      </c>
      <c r="CC111" s="59">
        <f t="shared" si="65"/>
        <v>920.84540347234952</v>
      </c>
      <c r="CD111" s="59">
        <f ca="1">AVERAGE(OFFSET($CC$3,0,0,'Données projet'!$E$12+1,1))-AVERAGE(OFFSET($H$3,0,0,'Données projet'!$E$12+1,1))</f>
        <v>350.91577977538822</v>
      </c>
      <c r="CE111" s="59">
        <f t="shared" si="94"/>
        <v>142.87103313412547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83.967949385011167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83.967949385011167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266.99999999999983</v>
      </c>
      <c r="CU111" s="17">
        <f>CT111*VLOOKUP('Données projet'!$B$13,Paramètres!$A$1:$I$89,3,0)*VLOOKUP('Données projet'!$B$13,Paramètres!$A$1:$I$89,5,0)</f>
        <v>216.59039999999987</v>
      </c>
      <c r="CV111" s="13">
        <f t="shared" si="95"/>
        <v>53.373153688190904</v>
      </c>
      <c r="CW111" s="20">
        <f t="shared" si="67"/>
        <v>470.18652267359886</v>
      </c>
      <c r="CX111" s="59">
        <f t="shared" si="68"/>
        <v>763.51985600693217</v>
      </c>
      <c r="CY111" s="59">
        <f ca="1">AVERAGE(OFFSET($CX$3,0,0,'Données projet'!$E$13+1,1))-AVERAGE(OFFSET($H$3,0,0,'Données projet'!$E$13+1,1))</f>
        <v>230.38929580146208</v>
      </c>
      <c r="CZ111" s="59">
        <f t="shared" si="96"/>
        <v>227.1847788696258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25.407770601007687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25.407770601007687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5.331999999999999</v>
      </c>
      <c r="DO111" s="12">
        <f>IF('Données projet'!$A$166&gt;35,DO110+DN111-DW110,IF(A111&lt;'Données projet'!$A$166,$DL$205^A111,IF(A111='Données projet'!$A$166,'Données projet'!$B$166,DO110+DN111-DW110)))</f>
        <v>236.43599999999981</v>
      </c>
      <c r="DP111" s="17">
        <f>DO111*VLOOKUP('Données projet'!$B$14,Paramètres!$A$1:$I$89,3,0)*VLOOKUP('Données projet'!$B$14,Paramètres!$A$1:$I$89,5,0)</f>
        <v>141.3887279999999</v>
      </c>
      <c r="DQ111" s="13">
        <f t="shared" si="97"/>
        <v>36.614960587498523</v>
      </c>
      <c r="DR111" s="20">
        <f t="shared" si="70"/>
        <v>310.02309095655977</v>
      </c>
      <c r="DS111" s="59">
        <f t="shared" si="71"/>
        <v>603.35642428989308</v>
      </c>
      <c r="DT111" s="59">
        <f ca="1">AVERAGE(OFFSET($DS$3,0,0,'Données projet'!$E$14+1,1))-AVERAGE(OFFSET($H$3,0,0,'Données projet'!$E$14+1,1))</f>
        <v>145.97103392561058</v>
      </c>
      <c r="DU111" s="59">
        <f t="shared" si="98"/>
        <v>62.920713953681172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75.964275448620512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75.964275448620512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0.8600000000003547</v>
      </c>
      <c r="O112" s="13">
        <f>N112*VLOOKUP('Données projet'!$B$9,Paramètres!$A$1:$I$89,3,0)*VLOOKUP('Données projet'!$B$9,Paramètres!$A$1:$I$89,5,0)</f>
        <v>0.48074000000019829</v>
      </c>
      <c r="P112" s="13">
        <f t="shared" si="87"/>
        <v>0.24126147010950588</v>
      </c>
      <c r="Q112" s="20">
        <f t="shared" si="107"/>
        <v>1.2574858937744013</v>
      </c>
      <c r="R112" s="59">
        <f t="shared" si="55"/>
        <v>294.59081922710772</v>
      </c>
      <c r="S112" s="59">
        <f ca="1">AVERAGE(OFFSET($R$3,0,0,'Données projet'!$E$9+1,1))-AVERAGE(OFFSET($H$3,0,0,'Données projet'!$E$9+1,1))</f>
        <v>350.01600895263641</v>
      </c>
      <c r="T112" s="59">
        <f t="shared" si="88"/>
        <v>464.08921044376882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127.60016392469429</v>
      </c>
      <c r="AA112" s="21">
        <f>EXP(-LN(2)/25)*AA111+(1-EXP(-LN(2)/25))/(LN(2)/25)*Calculateur!V112*Calculateur!X112*VLOOKUP('Données projet'!$B$9,Paramètres!$A$1:$I$89,3,0)*0.475*44/12</f>
        <v>5.6578194871427998</v>
      </c>
      <c r="AB112" s="21">
        <f>EXP(-LN(2)/2)*AB111+(1-EXP(-LN(2)/2))/(LN(2)/2)*V112*Y112*VLOOKUP('Données projet'!$B$9,Paramètres!$A$1:$I$89,3,0)*0.475*44/12</f>
        <v>9.5170039210543539E-13</v>
      </c>
      <c r="AC112" s="22">
        <f t="shared" si="57"/>
        <v>133.25798341183801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227.99999999999994</v>
      </c>
      <c r="AJ112" s="13">
        <f>AI112*VLOOKUP('Données projet'!$B$10,Paramètres!$A$1:$I$89,3,0)*VLOOKUP('Données projet'!$B$10,Paramètres!$A$1:$I$89,5,0)</f>
        <v>199.18079999999998</v>
      </c>
      <c r="AK112" s="13">
        <f t="shared" si="89"/>
        <v>49.564089376413683</v>
      </c>
      <c r="AL112" s="20">
        <f t="shared" si="58"/>
        <v>433.23068233058711</v>
      </c>
      <c r="AM112" s="59">
        <f t="shared" si="59"/>
        <v>726.56401566392037</v>
      </c>
      <c r="AN112" s="59">
        <f ca="1">AVERAGE(OFFSET($AM$3,0,0,'Données projet'!$E$10+1,1))-AVERAGE(OFFSET($H$3,0,0,'Données projet'!$E$10+1,1))</f>
        <v>242.48830542479988</v>
      </c>
      <c r="AO112" s="59">
        <f t="shared" si="90"/>
        <v>226.11219631227061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41.595739057368775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41.595739057368775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6.8850000000000025</v>
      </c>
      <c r="BD112" s="12">
        <f>IF('Données projet'!$A$88&gt;35,BD111+BC112-BL111,IF(A112&lt;'Données projet'!$A$88,$BA$205^A112,IF(A112='Données projet'!$A$88,'Données projet'!$B$88,BD111+BC112-BL111)))</f>
        <v>328.50999999999982</v>
      </c>
      <c r="BE112" s="13">
        <f>BD112*VLOOKUP('Données projet'!$B$11,Paramètres!$A$1:$I$89,3,0)*VLOOKUP('Données projet'!$B$11,Paramètres!$A$1:$I$89,5,0)</f>
        <v>333.1091399999998</v>
      </c>
      <c r="BF112" s="13">
        <f t="shared" si="91"/>
        <v>78.074558989948784</v>
      </c>
      <c r="BG112" s="20">
        <f t="shared" si="61"/>
        <v>716.14494240749389</v>
      </c>
      <c r="BH112" s="59">
        <f t="shared" si="62"/>
        <v>1009.4782757408273</v>
      </c>
      <c r="BI112" s="59">
        <f ca="1">AVERAGE(OFFSET($BH$3,0,0,'Données projet'!$E$11+1,1))-AVERAGE(OFFSET($H$3,0,0,'Données projet'!$E$11+1,1))</f>
        <v>402.5435069258703</v>
      </c>
      <c r="BJ112" s="59">
        <f t="shared" si="92"/>
        <v>163.60655195816349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92.256729178320739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92.256729178320739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6.8850000000000025</v>
      </c>
      <c r="BY112" s="12">
        <f>IF('Données projet'!$A$114&gt;35,BY111+BX112-CG111,IF(A112&lt;'Données projet'!$A$114,$BV$205^A112,IF(A112='Données projet'!$A$114,'Données projet'!$B$114,BY111+BX112-CG111)))</f>
        <v>328.50999999999982</v>
      </c>
      <c r="BZ112" s="13">
        <f>BY112*VLOOKUP('Données projet'!$B$12,Paramètres!$A$1:$I$89,3,0)*VLOOKUP('Données projet'!$B$12,Paramètres!$A$1:$I$89,5,0)</f>
        <v>297.23584799999981</v>
      </c>
      <c r="CA112" s="13">
        <f t="shared" si="93"/>
        <v>70.596679234081364</v>
      </c>
      <c r="CB112" s="20">
        <f t="shared" si="64"/>
        <v>640.64165159935794</v>
      </c>
      <c r="CC112" s="59">
        <f t="shared" si="65"/>
        <v>933.97498493269131</v>
      </c>
      <c r="CD112" s="59">
        <f ca="1">AVERAGE(OFFSET($CC$3,0,0,'Données projet'!$E$12+1,1))-AVERAGE(OFFSET($H$3,0,0,'Données projet'!$E$12+1,1))</f>
        <v>350.91577977538822</v>
      </c>
      <c r="CE112" s="59">
        <f t="shared" si="94"/>
        <v>142.87103313412547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82.321389112963118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82.321389112963118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266.99999999999983</v>
      </c>
      <c r="CU112" s="17">
        <f>CT112*VLOOKUP('Données projet'!$B$13,Paramètres!$A$1:$I$89,3,0)*VLOOKUP('Données projet'!$B$13,Paramètres!$A$1:$I$89,5,0)</f>
        <v>216.59039999999987</v>
      </c>
      <c r="CV112" s="13">
        <f t="shared" si="95"/>
        <v>53.373153688190904</v>
      </c>
      <c r="CW112" s="20">
        <f t="shared" si="67"/>
        <v>470.18652267359886</v>
      </c>
      <c r="CX112" s="59">
        <f t="shared" si="68"/>
        <v>763.51985600693217</v>
      </c>
      <c r="CY112" s="59">
        <f ca="1">AVERAGE(OFFSET($CX$3,0,0,'Données projet'!$E$13+1,1))-AVERAGE(OFFSET($H$3,0,0,'Données projet'!$E$13+1,1))</f>
        <v>230.38929580146208</v>
      </c>
      <c r="CZ112" s="59">
        <f t="shared" si="96"/>
        <v>227.1847788696258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24.909539716731771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24.909539716731771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5.331999999999999</v>
      </c>
      <c r="DO112" s="12">
        <f>IF('Données projet'!$A$166&gt;35,DO111+DN112-DW111,IF(A112&lt;'Données projet'!$A$166,$DL$205^A112,IF(A112='Données projet'!$A$166,'Données projet'!$B$166,DO111+DN112-DW111)))</f>
        <v>241.7679999999998</v>
      </c>
      <c r="DP112" s="17">
        <f>DO112*VLOOKUP('Données projet'!$B$14,Paramètres!$A$1:$I$89,3,0)*VLOOKUP('Données projet'!$B$14,Paramètres!$A$1:$I$89,5,0)</f>
        <v>144.5772639999999</v>
      </c>
      <c r="DQ112" s="13">
        <f t="shared" si="97"/>
        <v>37.343620979184799</v>
      </c>
      <c r="DR112" s="20">
        <f t="shared" si="70"/>
        <v>316.84554133874673</v>
      </c>
      <c r="DS112" s="59">
        <f t="shared" si="71"/>
        <v>610.17887467208004</v>
      </c>
      <c r="DT112" s="59">
        <f ca="1">AVERAGE(OFFSET($DS$3,0,0,'Données projet'!$E$14+1,1))-AVERAGE(OFFSET($H$3,0,0,'Données projet'!$E$14+1,1))</f>
        <v>145.97103392561058</v>
      </c>
      <c r="DU112" s="59">
        <f t="shared" si="98"/>
        <v>62.920713953681172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74.474662340706018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74.474662340706018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0.8600000000003547</v>
      </c>
      <c r="O113" s="13">
        <f>N113*VLOOKUP('Données projet'!$B$9,Paramètres!$A$1:$I$89,3,0)*VLOOKUP('Données projet'!$B$9,Paramètres!$A$1:$I$89,5,0)</f>
        <v>0.48074000000019829</v>
      </c>
      <c r="P113" s="13">
        <f t="shared" si="87"/>
        <v>0.24126147010950588</v>
      </c>
      <c r="Q113" s="20">
        <f t="shared" si="107"/>
        <v>1.2574858937744013</v>
      </c>
      <c r="R113" s="59">
        <f t="shared" si="55"/>
        <v>294.59081922710772</v>
      </c>
      <c r="S113" s="59">
        <f ca="1">AVERAGE(OFFSET($R$3,0,0,'Données projet'!$E$9+1,1))-AVERAGE(OFFSET($H$3,0,0,'Données projet'!$E$9+1,1))</f>
        <v>350.01600895263641</v>
      </c>
      <c r="T113" s="59">
        <f t="shared" si="88"/>
        <v>464.08921044376882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125.09800253854611</v>
      </c>
      <c r="AA113" s="21">
        <f>EXP(-LN(2)/25)*AA112+(1-EXP(-LN(2)/25))/(LN(2)/25)*Calculateur!V113*Calculateur!X113*VLOOKUP('Données projet'!$B$9,Paramètres!$A$1:$I$89,3,0)*0.475*44/12</f>
        <v>5.5031061157350845</v>
      </c>
      <c r="AB113" s="21">
        <f>EXP(-LN(2)/2)*AB112+(1-EXP(-LN(2)/2))/(LN(2)/2)*V113*Y113*VLOOKUP('Données projet'!$B$9,Paramètres!$A$1:$I$89,3,0)*0.475*44/12</f>
        <v>6.7295380091564961E-13</v>
      </c>
      <c r="AC113" s="22">
        <f t="shared" si="57"/>
        <v>130.60110865428189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227.99999999999994</v>
      </c>
      <c r="AJ113" s="13">
        <f>AI113*VLOOKUP('Données projet'!$B$10,Paramètres!$A$1:$I$89,3,0)*VLOOKUP('Données projet'!$B$10,Paramètres!$A$1:$I$89,5,0)</f>
        <v>199.18079999999998</v>
      </c>
      <c r="AK113" s="13">
        <f t="shared" si="89"/>
        <v>49.564089376413683</v>
      </c>
      <c r="AL113" s="20">
        <f t="shared" si="58"/>
        <v>433.23068233058711</v>
      </c>
      <c r="AM113" s="59">
        <f t="shared" si="59"/>
        <v>726.56401566392037</v>
      </c>
      <c r="AN113" s="59">
        <f ca="1">AVERAGE(OFFSET($AM$3,0,0,'Données projet'!$E$10+1,1))-AVERAGE(OFFSET($H$3,0,0,'Données projet'!$E$10+1,1))</f>
        <v>242.48830542479988</v>
      </c>
      <c r="AO113" s="59">
        <f t="shared" si="90"/>
        <v>226.11219631227061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40.78007198534943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40.78007198534943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6.8850000000000025</v>
      </c>
      <c r="BD113" s="12">
        <f>IF('Données projet'!$A$88&gt;35,BD112+BC113-BL112,IF(A113&lt;'Données projet'!$A$88,$BA$205^A113,IF(A113='Données projet'!$A$88,'Données projet'!$B$88,BD112+BC113-BL112)))</f>
        <v>335.39499999999981</v>
      </c>
      <c r="BE113" s="13">
        <f>BD113*VLOOKUP('Données projet'!$B$11,Paramètres!$A$1:$I$89,3,0)*VLOOKUP('Données projet'!$B$11,Paramètres!$A$1:$I$89,5,0)</f>
        <v>340.09052999999983</v>
      </c>
      <c r="BF113" s="13">
        <f t="shared" si="91"/>
        <v>79.518650203151438</v>
      </c>
      <c r="BG113" s="20">
        <f t="shared" si="61"/>
        <v>730.81932218715508</v>
      </c>
      <c r="BH113" s="59">
        <f t="shared" si="62"/>
        <v>1024.1526555204885</v>
      </c>
      <c r="BI113" s="59">
        <f ca="1">AVERAGE(OFFSET($BH$3,0,0,'Données projet'!$E$11+1,1))-AVERAGE(OFFSET($H$3,0,0,'Données projet'!$E$11+1,1))</f>
        <v>402.5435069258703</v>
      </c>
      <c r="BJ113" s="59">
        <f t="shared" si="92"/>
        <v>163.60655195816349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90.447630990182361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90.447630990182361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6.8850000000000025</v>
      </c>
      <c r="BY113" s="12">
        <f>IF('Données projet'!$A$114&gt;35,BY112+BX113-CG112,IF(A113&lt;'Données projet'!$A$114,$BV$205^A113,IF(A113='Données projet'!$A$114,'Données projet'!$B$114,BY112+BX113-CG112)))</f>
        <v>335.39499999999981</v>
      </c>
      <c r="BZ113" s="13">
        <f>BY113*VLOOKUP('Données projet'!$B$12,Paramètres!$A$1:$I$89,3,0)*VLOOKUP('Données projet'!$B$12,Paramètres!$A$1:$I$89,5,0)</f>
        <v>303.46539599999983</v>
      </c>
      <c r="CA113" s="13">
        <f t="shared" si="93"/>
        <v>71.902457268336448</v>
      </c>
      <c r="CB113" s="20">
        <f t="shared" si="64"/>
        <v>653.76567777568562</v>
      </c>
      <c r="CC113" s="59">
        <f t="shared" si="65"/>
        <v>947.09901110901887</v>
      </c>
      <c r="CD113" s="59">
        <f ca="1">AVERAGE(OFFSET($CC$3,0,0,'Données projet'!$E$12+1,1))-AVERAGE(OFFSET($H$3,0,0,'Données projet'!$E$12+1,1))</f>
        <v>350.91577977538822</v>
      </c>
      <c r="CE113" s="59">
        <f t="shared" si="94"/>
        <v>142.87103313412547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80.707116883547343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80.707116883547343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266.99999999999983</v>
      </c>
      <c r="CU113" s="17">
        <f>CT113*VLOOKUP('Données projet'!$B$13,Paramètres!$A$1:$I$89,3,0)*VLOOKUP('Données projet'!$B$13,Paramètres!$A$1:$I$89,5,0)</f>
        <v>216.59039999999987</v>
      </c>
      <c r="CV113" s="13">
        <f t="shared" si="95"/>
        <v>53.373153688190904</v>
      </c>
      <c r="CW113" s="20">
        <f t="shared" si="67"/>
        <v>470.18652267359886</v>
      </c>
      <c r="CX113" s="59">
        <f t="shared" si="68"/>
        <v>763.51985600693217</v>
      </c>
      <c r="CY113" s="59">
        <f ca="1">AVERAGE(OFFSET($CX$3,0,0,'Données projet'!$E$13+1,1))-AVERAGE(OFFSET($H$3,0,0,'Données projet'!$E$13+1,1))</f>
        <v>230.38929580146208</v>
      </c>
      <c r="CZ113" s="59">
        <f t="shared" si="96"/>
        <v>227.1847788696258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24.421078836205673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24.421078836205673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247.1</v>
      </c>
      <c r="DM113" s="12">
        <f>VLOOKUP(A113,'Données projet'!$A$165:$I$185,9,0)</f>
        <v>5.331999999999999</v>
      </c>
      <c r="DN113" s="12">
        <f t="array" ref="DN113">INDEX(DM:DM,MIN(IF(ISNUMBER(DM113:DM309),ROW(DM113:DM309),"")))</f>
        <v>5.331999999999999</v>
      </c>
      <c r="DO113" s="12">
        <f>IF('Données projet'!$A$166&gt;35,DO112+DN113-DW112,IF(A113&lt;'Données projet'!$A$166,$DL$205^A113,IF(A113='Données projet'!$A$166,'Données projet'!$B$166,DO112+DN113-DW112)))</f>
        <v>247.0999999999998</v>
      </c>
      <c r="DP113" s="17">
        <f>DO113*VLOOKUP('Données projet'!$B$14,Paramètres!$A$1:$I$89,3,0)*VLOOKUP('Données projet'!$B$14,Paramètres!$A$1:$I$89,5,0)</f>
        <v>147.7657999999999</v>
      </c>
      <c r="DQ113" s="13">
        <f t="shared" si="97"/>
        <v>38.07041305906651</v>
      </c>
      <c r="DR113" s="20">
        <f t="shared" si="70"/>
        <v>323.66473774454067</v>
      </c>
      <c r="DS113" s="59">
        <f t="shared" si="71"/>
        <v>616.99807107787399</v>
      </c>
      <c r="DT113" s="59">
        <f ca="1">AVERAGE(OFFSET($DS$3,0,0,'Données projet'!$E$14+1,1))-AVERAGE(OFFSET($H$3,0,0,'Données projet'!$E$14+1,1))</f>
        <v>145.97103392561058</v>
      </c>
      <c r="DU113" s="59">
        <f t="shared" si="98"/>
        <v>62.920713953681172</v>
      </c>
      <c r="DV113" s="15">
        <f>IF(ISNA(VLOOKUP(A113,'Données projet'!$A$165:$I$185,3,0)),0,VLOOKUP(A113,'Données projet'!$A$165:$I$185,3,0))</f>
        <v>6</v>
      </c>
      <c r="DW113" s="15">
        <f>IF(ISNA(VLOOKUP(A113,'Données projet'!$A$165:$I$185,4,0)),0,VLOOKUP(A113,'Données projet'!$A$165:$I$185,4,0))</f>
        <v>244.09</v>
      </c>
      <c r="DX113" s="16">
        <f>IF(ISNA(VLOOKUP(A113,'Données projet'!$A$165:$I$185,5,0)),0%,VLOOKUP(A113,'Données projet'!$A$165:$I$185,5,0)*VLOOKUP('Données projet'!$B$14,Paramètres!$A$1:$I$89,7,0))</f>
        <v>0.45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160.14914047175213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160.14914047175213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0.8600000000003547</v>
      </c>
      <c r="O114" s="13">
        <f>N114*VLOOKUP('Données projet'!$B$9,Paramètres!$A$1:$I$89,3,0)*VLOOKUP('Données projet'!$B$9,Paramètres!$A$1:$I$89,5,0)</f>
        <v>0.48074000000019829</v>
      </c>
      <c r="P114" s="13">
        <f t="shared" si="87"/>
        <v>0.24126147010950588</v>
      </c>
      <c r="Q114" s="20">
        <f t="shared" si="107"/>
        <v>1.2574858937744013</v>
      </c>
      <c r="R114" s="59">
        <f t="shared" si="55"/>
        <v>294.59081922710772</v>
      </c>
      <c r="S114" s="59">
        <f ca="1">AVERAGE(OFFSET($R$3,0,0,'Données projet'!$E$9+1,1))-AVERAGE(OFFSET($H$3,0,0,'Données projet'!$E$9+1,1))</f>
        <v>350.01600895263641</v>
      </c>
      <c r="T114" s="59">
        <f t="shared" si="88"/>
        <v>464.08921044376882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122.64490701101255</v>
      </c>
      <c r="AA114" s="21">
        <f>EXP(-LN(2)/25)*AA113+(1-EXP(-LN(2)/25))/(LN(2)/25)*Calculateur!V114*Calculateur!X114*VLOOKUP('Données projet'!$B$9,Paramètres!$A$1:$I$89,3,0)*0.475*44/12</f>
        <v>5.3526233896045357</v>
      </c>
      <c r="AB114" s="21">
        <f>EXP(-LN(2)/2)*AB113+(1-EXP(-LN(2)/2))/(LN(2)/2)*V114*Y114*VLOOKUP('Données projet'!$B$9,Paramètres!$A$1:$I$89,3,0)*0.475*44/12</f>
        <v>4.758501960527177E-13</v>
      </c>
      <c r="AC114" s="22">
        <f t="shared" si="57"/>
        <v>127.99753040061755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227.99999999999994</v>
      </c>
      <c r="AJ114" s="13">
        <f>AI114*VLOOKUP('Données projet'!$B$10,Paramètres!$A$1:$I$89,3,0)*VLOOKUP('Données projet'!$B$10,Paramètres!$A$1:$I$89,5,0)</f>
        <v>199.18079999999998</v>
      </c>
      <c r="AK114" s="13">
        <f t="shared" si="89"/>
        <v>49.564089376413683</v>
      </c>
      <c r="AL114" s="20">
        <f t="shared" si="58"/>
        <v>433.23068233058711</v>
      </c>
      <c r="AM114" s="59">
        <f t="shared" si="59"/>
        <v>726.56401566392037</v>
      </c>
      <c r="AN114" s="59">
        <f ca="1">AVERAGE(OFFSET($AM$3,0,0,'Données projet'!$E$10+1,1))-AVERAGE(OFFSET($H$3,0,0,'Données projet'!$E$10+1,1))</f>
        <v>242.48830542479988</v>
      </c>
      <c r="AO114" s="59">
        <f t="shared" si="90"/>
        <v>226.11219631227061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39.980399647104598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39.980399647104598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6.8850000000000025</v>
      </c>
      <c r="BD114" s="12">
        <f>IF('Données projet'!$A$88&gt;35,BD113+BC114-BL113,IF(A114&lt;'Données projet'!$A$88,$BA$205^A114,IF(A114='Données projet'!$A$88,'Données projet'!$B$88,BD113+BC114-BL113)))</f>
        <v>342.2799999999998</v>
      </c>
      <c r="BE114" s="13">
        <f>BD114*VLOOKUP('Données projet'!$B$11,Paramètres!$A$1:$I$89,3,0)*VLOOKUP('Données projet'!$B$11,Paramètres!$A$1:$I$89,5,0)</f>
        <v>347.07191999999981</v>
      </c>
      <c r="BF114" s="13">
        <f t="shared" si="91"/>
        <v>80.959294676962998</v>
      </c>
      <c r="BG114" s="20">
        <f t="shared" si="61"/>
        <v>745.4876988957102</v>
      </c>
      <c r="BH114" s="59">
        <f t="shared" si="62"/>
        <v>1038.8210322290436</v>
      </c>
      <c r="BI114" s="59">
        <f ca="1">AVERAGE(OFFSET($BH$3,0,0,'Données projet'!$E$11+1,1))-AVERAGE(OFFSET($H$3,0,0,'Données projet'!$E$11+1,1))</f>
        <v>402.5435069258703</v>
      </c>
      <c r="BJ114" s="59">
        <f t="shared" si="92"/>
        <v>163.60655195816349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88.674008114072436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88.674008114072436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6.8850000000000025</v>
      </c>
      <c r="BY114" s="12">
        <f>IF('Données projet'!$A$114&gt;35,BY113+BX114-CG113,IF(A114&lt;'Données projet'!$A$114,$BV$205^A114,IF(A114='Données projet'!$A$114,'Données projet'!$B$114,BY113+BX114-CG113)))</f>
        <v>342.2799999999998</v>
      </c>
      <c r="BZ114" s="13">
        <f>BY114*VLOOKUP('Données projet'!$B$12,Paramètres!$A$1:$I$89,3,0)*VLOOKUP('Données projet'!$B$12,Paramètres!$A$1:$I$89,5,0)</f>
        <v>309.69494399999979</v>
      </c>
      <c r="CA114" s="13">
        <f t="shared" si="93"/>
        <v>73.205118687418107</v>
      </c>
      <c r="CB114" s="20">
        <f t="shared" si="64"/>
        <v>666.88427584725275</v>
      </c>
      <c r="CC114" s="59">
        <f t="shared" si="65"/>
        <v>960.21760918058612</v>
      </c>
      <c r="CD114" s="59">
        <f ca="1">AVERAGE(OFFSET($CC$3,0,0,'Données projet'!$E$12+1,1))-AVERAGE(OFFSET($H$3,0,0,'Données projet'!$E$12+1,1))</f>
        <v>350.91577977538822</v>
      </c>
      <c r="CE114" s="59">
        <f t="shared" si="94"/>
        <v>142.87103313412547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79.124499547941568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79.124499547941568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266.99999999999983</v>
      </c>
      <c r="CU114" s="17">
        <f>CT114*VLOOKUP('Données projet'!$B$13,Paramètres!$A$1:$I$89,3,0)*VLOOKUP('Données projet'!$B$13,Paramètres!$A$1:$I$89,5,0)</f>
        <v>216.59039999999987</v>
      </c>
      <c r="CV114" s="13">
        <f t="shared" si="95"/>
        <v>53.373153688190904</v>
      </c>
      <c r="CW114" s="20">
        <f t="shared" si="67"/>
        <v>470.18652267359886</v>
      </c>
      <c r="CX114" s="59">
        <f t="shared" si="68"/>
        <v>763.51985600693217</v>
      </c>
      <c r="CY114" s="59">
        <f ca="1">AVERAGE(OFFSET($CX$3,0,0,'Données projet'!$E$13+1,1))-AVERAGE(OFFSET($H$3,0,0,'Données projet'!$E$13+1,1))</f>
        <v>230.38929580146208</v>
      </c>
      <c r="CZ114" s="59">
        <f t="shared" si="96"/>
        <v>227.1847788696258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23.942196375614973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23.942196375614973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3.009999999999792</v>
      </c>
      <c r="DP114" s="17">
        <f>DO114*VLOOKUP('Données projet'!$B$14,Paramètres!$A$1:$I$89,3,0)*VLOOKUP('Données projet'!$B$14,Paramètres!$A$1:$I$89,5,0)</f>
        <v>1.7999799999998758</v>
      </c>
      <c r="DQ114" s="13">
        <f t="shared" si="97"/>
        <v>0.77465189310357685</v>
      </c>
      <c r="DR114" s="20">
        <f t="shared" si="70"/>
        <v>4.4841505471551795</v>
      </c>
      <c r="DS114" s="59">
        <f t="shared" si="71"/>
        <v>297.81748388048851</v>
      </c>
      <c r="DT114" s="59">
        <f ca="1">AVERAGE(OFFSET($DS$3,0,0,'Données projet'!$E$14+1,1))-AVERAGE(OFFSET($H$3,0,0,'Données projet'!$E$14+1,1))</f>
        <v>145.97103392561058</v>
      </c>
      <c r="DU114" s="59">
        <f t="shared" si="98"/>
        <v>62.920713953681172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157.00871350843153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157.00871350843153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0.8600000000003547</v>
      </c>
      <c r="O115" s="13">
        <f>N115*VLOOKUP('Données projet'!$B$9,Paramètres!$A$1:$I$89,3,0)*VLOOKUP('Données projet'!$B$9,Paramètres!$A$1:$I$89,5,0)</f>
        <v>0.48074000000019829</v>
      </c>
      <c r="P115" s="13">
        <f t="shared" si="87"/>
        <v>0.24126147010950588</v>
      </c>
      <c r="Q115" s="20">
        <f t="shared" si="107"/>
        <v>1.2574858937744013</v>
      </c>
      <c r="R115" s="59">
        <f t="shared" si="55"/>
        <v>294.59081922710772</v>
      </c>
      <c r="S115" s="59">
        <f ca="1">AVERAGE(OFFSET($R$3,0,0,'Données projet'!$E$9+1,1))-AVERAGE(OFFSET($H$3,0,0,'Données projet'!$E$9+1,1))</f>
        <v>350.01600895263641</v>
      </c>
      <c r="T115" s="59">
        <f t="shared" si="88"/>
        <v>464.08921044376882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120.2399151905334</v>
      </c>
      <c r="AA115" s="21">
        <f>EXP(-LN(2)/25)*AA114+(1-EXP(-LN(2)/25))/(LN(2)/25)*Calculateur!V115*Calculateur!X115*VLOOKUP('Données projet'!$B$9,Paramètres!$A$1:$I$89,3,0)*0.475*44/12</f>
        <v>5.2062556215335691</v>
      </c>
      <c r="AB115" s="21">
        <f>EXP(-LN(2)/2)*AB114+(1-EXP(-LN(2)/2))/(LN(2)/2)*V115*Y115*VLOOKUP('Données projet'!$B$9,Paramètres!$A$1:$I$89,3,0)*0.475*44/12</f>
        <v>3.364769004578248E-13</v>
      </c>
      <c r="AC115" s="22">
        <f t="shared" si="57"/>
        <v>125.44617081206731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227.99999999999994</v>
      </c>
      <c r="AJ115" s="13">
        <f>AI115*VLOOKUP('Données projet'!$B$10,Paramètres!$A$1:$I$89,3,0)*VLOOKUP('Données projet'!$B$10,Paramètres!$A$1:$I$89,5,0)</f>
        <v>199.18079999999998</v>
      </c>
      <c r="AK115" s="13">
        <f t="shared" si="89"/>
        <v>49.564089376413683</v>
      </c>
      <c r="AL115" s="20">
        <f t="shared" si="58"/>
        <v>433.23068233058711</v>
      </c>
      <c r="AM115" s="59">
        <f t="shared" si="59"/>
        <v>726.56401566392037</v>
      </c>
      <c r="AN115" s="59">
        <f ca="1">AVERAGE(OFFSET($AM$3,0,0,'Données projet'!$E$10+1,1))-AVERAGE(OFFSET($H$3,0,0,'Données projet'!$E$10+1,1))</f>
        <v>242.48830542479988</v>
      </c>
      <c r="AO115" s="59">
        <f t="shared" si="90"/>
        <v>226.11219631227061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39.196408395660782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39.196408395660782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6.8850000000000025</v>
      </c>
      <c r="BD115" s="12">
        <f>IF('Données projet'!$A$88&gt;35,BD114+BC115-BL114,IF(A115&lt;'Données projet'!$A$88,$BA$205^A115,IF(A115='Données projet'!$A$88,'Données projet'!$B$88,BD114+BC115-BL114)))</f>
        <v>349.16499999999979</v>
      </c>
      <c r="BE115" s="13">
        <f>BD115*VLOOKUP('Données projet'!$B$11,Paramètres!$A$1:$I$89,3,0)*VLOOKUP('Données projet'!$B$11,Paramètres!$A$1:$I$89,5,0)</f>
        <v>354.05330999999984</v>
      </c>
      <c r="BF115" s="13">
        <f t="shared" si="91"/>
        <v>82.396569733099398</v>
      </c>
      <c r="BG115" s="20">
        <f t="shared" si="61"/>
        <v>760.1502072018144</v>
      </c>
      <c r="BH115" s="59">
        <f t="shared" si="62"/>
        <v>1053.4835405351478</v>
      </c>
      <c r="BI115" s="59">
        <f ca="1">AVERAGE(OFFSET($BH$3,0,0,'Données projet'!$E$11+1,1))-AVERAGE(OFFSET($H$3,0,0,'Données projet'!$E$11+1,1))</f>
        <v>402.5435069258703</v>
      </c>
      <c r="BJ115" s="59">
        <f t="shared" si="92"/>
        <v>163.60655195816349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86.935164900759901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86.935164900759901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6.8850000000000025</v>
      </c>
      <c r="BY115" s="12">
        <f>IF('Données projet'!$A$114&gt;35,BY114+BX115-CG114,IF(A115&lt;'Données projet'!$A$114,$BV$205^A115,IF(A115='Données projet'!$A$114,'Données projet'!$B$114,BY114+BX115-CG114)))</f>
        <v>349.16499999999979</v>
      </c>
      <c r="BZ115" s="13">
        <f>BY115*VLOOKUP('Données projet'!$B$12,Paramètres!$A$1:$I$89,3,0)*VLOOKUP('Données projet'!$B$12,Paramètres!$A$1:$I$89,5,0)</f>
        <v>315.92449199999982</v>
      </c>
      <c r="CA115" s="13">
        <f t="shared" si="93"/>
        <v>74.504733407269114</v>
      </c>
      <c r="CB115" s="20">
        <f t="shared" si="64"/>
        <v>679.99756758432659</v>
      </c>
      <c r="CC115" s="59">
        <f t="shared" si="65"/>
        <v>973.33090091765985</v>
      </c>
      <c r="CD115" s="59">
        <f ca="1">AVERAGE(OFFSET($CC$3,0,0,'Données projet'!$E$12+1,1))-AVERAGE(OFFSET($H$3,0,0,'Données projet'!$E$12+1,1))</f>
        <v>350.91577977538822</v>
      </c>
      <c r="CE115" s="59">
        <f t="shared" si="94"/>
        <v>142.87103313412547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77.572916372985759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77.572916372985759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266.99999999999983</v>
      </c>
      <c r="CU115" s="17">
        <f>CT115*VLOOKUP('Données projet'!$B$13,Paramètres!$A$1:$I$89,3,0)*VLOOKUP('Données projet'!$B$13,Paramètres!$A$1:$I$89,5,0)</f>
        <v>216.59039999999987</v>
      </c>
      <c r="CV115" s="13">
        <f t="shared" si="95"/>
        <v>53.373153688190904</v>
      </c>
      <c r="CW115" s="20">
        <f t="shared" si="67"/>
        <v>470.18652267359886</v>
      </c>
      <c r="CX115" s="59">
        <f t="shared" si="68"/>
        <v>763.51985600693217</v>
      </c>
      <c r="CY115" s="59">
        <f ca="1">AVERAGE(OFFSET($CX$3,0,0,'Données projet'!$E$13+1,1))-AVERAGE(OFFSET($H$3,0,0,'Données projet'!$E$13+1,1))</f>
        <v>230.38929580146208</v>
      </c>
      <c r="CZ115" s="59">
        <f t="shared" si="96"/>
        <v>227.1847788696258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23.472704507986997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23.472704507986997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3.009999999999792</v>
      </c>
      <c r="DP115" s="17">
        <f>DO115*VLOOKUP('Données projet'!$B$14,Paramètres!$A$1:$I$89,3,0)*VLOOKUP('Données projet'!$B$14,Paramètres!$A$1:$I$89,5,0)</f>
        <v>1.7999799999998758</v>
      </c>
      <c r="DQ115" s="13">
        <f t="shared" si="97"/>
        <v>0.77465189310357685</v>
      </c>
      <c r="DR115" s="20">
        <f t="shared" si="70"/>
        <v>4.4841505471551795</v>
      </c>
      <c r="DS115" s="59">
        <f t="shared" si="71"/>
        <v>297.81748388048851</v>
      </c>
      <c r="DT115" s="59">
        <f ca="1">AVERAGE(OFFSET($DS$3,0,0,'Données projet'!$E$14+1,1))-AVERAGE(OFFSET($H$3,0,0,'Données projet'!$E$14+1,1))</f>
        <v>145.97103392561058</v>
      </c>
      <c r="DU115" s="59">
        <f t="shared" si="98"/>
        <v>62.920713953681172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153.92986840239033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153.92986840239033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0.8600000000003547</v>
      </c>
      <c r="O116" s="13">
        <f>N116*VLOOKUP('Données projet'!$B$9,Paramètres!$A$1:$I$89,3,0)*VLOOKUP('Données projet'!$B$9,Paramètres!$A$1:$I$89,5,0)</f>
        <v>0.48074000000019829</v>
      </c>
      <c r="P116" s="13">
        <f t="shared" si="87"/>
        <v>0.24126147010950588</v>
      </c>
      <c r="Q116" s="20">
        <f t="shared" si="107"/>
        <v>1.2574858937744013</v>
      </c>
      <c r="R116" s="59">
        <f t="shared" si="55"/>
        <v>294.59081922710772</v>
      </c>
      <c r="S116" s="59">
        <f ca="1">AVERAGE(OFFSET($R$3,0,0,'Données projet'!$E$9+1,1))-AVERAGE(OFFSET($H$3,0,0,'Données projet'!$E$9+1,1))</f>
        <v>350.01600895263641</v>
      </c>
      <c r="T116" s="59">
        <f t="shared" si="88"/>
        <v>464.08921044376882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117.88208379275366</v>
      </c>
      <c r="AA116" s="21">
        <f>EXP(-LN(2)/25)*AA115+(1-EXP(-LN(2)/25))/(LN(2)/25)*Calculateur!V116*Calculateur!X116*VLOOKUP('Données projet'!$B$9,Paramètres!$A$1:$I$89,3,0)*0.475*44/12</f>
        <v>5.0638902877776495</v>
      </c>
      <c r="AB116" s="21">
        <f>EXP(-LN(2)/2)*AB115+(1-EXP(-LN(2)/2))/(LN(2)/2)*V116*Y116*VLOOKUP('Données projet'!$B$9,Paramètres!$A$1:$I$89,3,0)*0.475*44/12</f>
        <v>2.3792509802635885E-13</v>
      </c>
      <c r="AC116" s="22">
        <f t="shared" si="57"/>
        <v>122.94597408053156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227.99999999999994</v>
      </c>
      <c r="AJ116" s="13">
        <f>AI116*VLOOKUP('Données projet'!$B$10,Paramètres!$A$1:$I$89,3,0)*VLOOKUP('Données projet'!$B$10,Paramètres!$A$1:$I$89,5,0)</f>
        <v>199.18079999999998</v>
      </c>
      <c r="AK116" s="13">
        <f t="shared" si="89"/>
        <v>49.564089376413683</v>
      </c>
      <c r="AL116" s="20">
        <f t="shared" si="58"/>
        <v>433.23068233058711</v>
      </c>
      <c r="AM116" s="59">
        <f t="shared" si="59"/>
        <v>726.56401566392037</v>
      </c>
      <c r="AN116" s="59">
        <f ca="1">AVERAGE(OFFSET($AM$3,0,0,'Données projet'!$E$10+1,1))-AVERAGE(OFFSET($H$3,0,0,'Données projet'!$E$10+1,1))</f>
        <v>242.48830542479988</v>
      </c>
      <c r="AO116" s="59">
        <f t="shared" si="90"/>
        <v>226.11219631227061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38.427790734470328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38.427790734470328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356.05</v>
      </c>
      <c r="BB116" s="12">
        <f>VLOOKUP(A116,'Données projet'!$A$87:$I$107,9,0)</f>
        <v>6.8850000000000025</v>
      </c>
      <c r="BC116" s="12">
        <f t="array" ref="BC116">INDEX(BB:BB,MIN(IF(ISNUMBER(BB116:BB312),ROW(BB116:BB312),"")))</f>
        <v>6.8850000000000025</v>
      </c>
      <c r="BD116" s="12">
        <f>IF('Données projet'!$A$88&gt;35,BD115+BC116-BL115,IF(A116&lt;'Données projet'!$A$88,$BA$205^A116,IF(A116='Données projet'!$A$88,'Données projet'!$B$88,BD115+BC116-BL115)))</f>
        <v>356.04999999999978</v>
      </c>
      <c r="BE116" s="13">
        <f>BD116*VLOOKUP('Données projet'!$B$11,Paramètres!$A$1:$I$89,3,0)*VLOOKUP('Données projet'!$B$11,Paramètres!$A$1:$I$89,5,0)</f>
        <v>361.03469999999982</v>
      </c>
      <c r="BF116" s="13">
        <f t="shared" si="91"/>
        <v>83.830549469547279</v>
      </c>
      <c r="BG116" s="20">
        <f t="shared" si="61"/>
        <v>774.8069761594611</v>
      </c>
      <c r="BH116" s="59">
        <f t="shared" si="62"/>
        <v>1068.1403094927944</v>
      </c>
      <c r="BI116" s="59">
        <f ca="1">AVERAGE(OFFSET($BH$3,0,0,'Données projet'!$E$11+1,1))-AVERAGE(OFFSET($H$3,0,0,'Données projet'!$E$11+1,1))</f>
        <v>402.5435069258703</v>
      </c>
      <c r="BJ116" s="59">
        <f t="shared" si="92"/>
        <v>163.60655195816349</v>
      </c>
      <c r="BK116" s="15">
        <f>IF(ISNA(VLOOKUP(A116,'Données projet'!$A$87:$I$107,3,0)),0,VLOOKUP(A116,'Données projet'!$A$87:$I$107,3,0))</f>
        <v>9</v>
      </c>
      <c r="BL116" s="15">
        <f>IF(ISNA(VLOOKUP(A116,'Données projet'!$A$87:$I$107,4,0)),0,VLOOKUP(A116,'Données projet'!$A$87:$I$107,4,0))</f>
        <v>40.479999999999997</v>
      </c>
      <c r="BM116" s="16">
        <f>IF(ISNA(VLOOKUP(A116,'Données projet'!$A$87:$I$107,5,0)),0%,VLOOKUP(A116,'Données projet'!$A$87:$I$107,5,0)*VLOOKUP('Données projet'!$B$11,Paramètres!$A$1:$I$89,7,0))</f>
        <v>0.43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104.74207059117336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104.74207059117336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>
        <f>VLOOKUP(A116,'Données projet'!$A$113:$I$133,2,0)</f>
        <v>356.05</v>
      </c>
      <c r="BW116" s="12">
        <f>VLOOKUP(A116,'Données projet'!$A$113:$I$133,9,0)</f>
        <v>6.8850000000000025</v>
      </c>
      <c r="BX116" s="12">
        <f t="array" ref="BX116">INDEX(BW:BW,MIN(IF(ISNUMBER(BW116:BW312),ROW(BW116:BW312),"")))</f>
        <v>6.8850000000000025</v>
      </c>
      <c r="BY116" s="12">
        <f>IF('Données projet'!$A$114&gt;35,BY115+BX116-CG115,IF(A116&lt;'Données projet'!$A$114,$BV$205^A116,IF(A116='Données projet'!$A$114,'Données projet'!$B$114,BY115+BX116-CG115)))</f>
        <v>356.04999999999978</v>
      </c>
      <c r="BZ116" s="13">
        <f>BY116*VLOOKUP('Données projet'!$B$12,Paramètres!$A$1:$I$89,3,0)*VLOOKUP('Données projet'!$B$12,Paramètres!$A$1:$I$89,5,0)</f>
        <v>322.15403999999984</v>
      </c>
      <c r="CA116" s="13">
        <f t="shared" si="93"/>
        <v>75.801368428867079</v>
      </c>
      <c r="CB116" s="20">
        <f t="shared" si="64"/>
        <v>693.10566968027661</v>
      </c>
      <c r="CC116" s="59">
        <f t="shared" si="65"/>
        <v>986.43900301360986</v>
      </c>
      <c r="CD116" s="59">
        <f ca="1">AVERAGE(OFFSET($CC$3,0,0,'Données projet'!$E$12+1,1))-AVERAGE(OFFSET($H$3,0,0,'Données projet'!$E$12+1,1))</f>
        <v>350.91577977538822</v>
      </c>
      <c r="CE116" s="59">
        <f t="shared" si="94"/>
        <v>142.87103313412547</v>
      </c>
      <c r="CF116" s="15">
        <f>IF(ISNA(VLOOKUP(A116,'Données projet'!$A$113:$I$133,3,0)),0,VLOOKUP(A116,'Données projet'!$A$113:$I$133,3,0))</f>
        <v>9</v>
      </c>
      <c r="CG116" s="15">
        <f>IF(ISNA(VLOOKUP(A116,'Données projet'!$A$113:$I$133,4,0)),0,VLOOKUP(A116,'Données projet'!$A$113:$I$133,4,0))</f>
        <v>40.479999999999997</v>
      </c>
      <c r="CH116" s="16">
        <f>IF(ISNA(VLOOKUP(A116,'Données projet'!$A$113:$I$133,5,0)),0%,VLOOKUP(A116,'Données projet'!$A$113:$I$133,5,0)*VLOOKUP('Données projet'!$B$12,Paramètres!$A$1:$I$89,7,0))</f>
        <v>0.43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93.462155296739311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93.462155296739311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266.99999999999983</v>
      </c>
      <c r="CU116" s="17">
        <f>CT116*VLOOKUP('Données projet'!$B$13,Paramètres!$A$1:$I$89,3,0)*VLOOKUP('Données projet'!$B$13,Paramètres!$A$1:$I$89,5,0)</f>
        <v>216.59039999999987</v>
      </c>
      <c r="CV116" s="13">
        <f t="shared" si="95"/>
        <v>53.373153688190904</v>
      </c>
      <c r="CW116" s="20">
        <f t="shared" si="67"/>
        <v>470.18652267359886</v>
      </c>
      <c r="CX116" s="59">
        <f t="shared" si="68"/>
        <v>763.51985600693217</v>
      </c>
      <c r="CY116" s="59">
        <f ca="1">AVERAGE(OFFSET($CX$3,0,0,'Données projet'!$E$13+1,1))-AVERAGE(OFFSET($H$3,0,0,'Données projet'!$E$13+1,1))</f>
        <v>230.38929580146208</v>
      </c>
      <c r="CZ116" s="59">
        <f t="shared" si="96"/>
        <v>227.1847788696258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23.01241908952144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23.01241908952144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3.009999999999792</v>
      </c>
      <c r="DP116" s="17">
        <f>DO116*VLOOKUP('Données projet'!$B$14,Paramètres!$A$1:$I$89,3,0)*VLOOKUP('Données projet'!$B$14,Paramètres!$A$1:$I$89,5,0)</f>
        <v>1.7999799999998758</v>
      </c>
      <c r="DQ116" s="13">
        <f t="shared" si="97"/>
        <v>0.77465189310357685</v>
      </c>
      <c r="DR116" s="20">
        <f t="shared" si="70"/>
        <v>4.4841505471551795</v>
      </c>
      <c r="DS116" s="59">
        <f t="shared" si="71"/>
        <v>297.81748388048851</v>
      </c>
      <c r="DT116" s="59">
        <f ca="1">AVERAGE(OFFSET($DS$3,0,0,'Données projet'!$E$14+1,1))-AVERAGE(OFFSET($H$3,0,0,'Données projet'!$E$14+1,1))</f>
        <v>145.97103392561058</v>
      </c>
      <c r="DU116" s="59">
        <f t="shared" si="98"/>
        <v>62.920713953681172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150.91139757096852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150.91139757096852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0.8600000000003547</v>
      </c>
      <c r="O117" s="13">
        <f>N117*VLOOKUP('Données projet'!$B$9,Paramètres!$A$1:$I$89,3,0)*VLOOKUP('Données projet'!$B$9,Paramètres!$A$1:$I$89,5,0)</f>
        <v>0.48074000000019829</v>
      </c>
      <c r="P117" s="13">
        <f t="shared" si="87"/>
        <v>0.24126147010950588</v>
      </c>
      <c r="Q117" s="20">
        <f t="shared" si="107"/>
        <v>1.2574858937744013</v>
      </c>
      <c r="R117" s="59">
        <f t="shared" si="55"/>
        <v>294.59081922710772</v>
      </c>
      <c r="S117" s="59">
        <f ca="1">AVERAGE(OFFSET($R$3,0,0,'Données projet'!$E$9+1,1))-AVERAGE(OFFSET($H$3,0,0,'Données projet'!$E$9+1,1))</f>
        <v>350.01600895263641</v>
      </c>
      <c r="T117" s="59">
        <f t="shared" si="88"/>
        <v>464.08921044376882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115.57048803054924</v>
      </c>
      <c r="AA117" s="21">
        <f>EXP(-LN(2)/25)*AA116+(1-EXP(-LN(2)/25))/(LN(2)/25)*Calculateur!V117*Calculateur!X117*VLOOKUP('Données projet'!$B$9,Paramètres!$A$1:$I$89,3,0)*0.475*44/12</f>
        <v>4.9254179415599531</v>
      </c>
      <c r="AB117" s="21">
        <f>EXP(-LN(2)/2)*AB116+(1-EXP(-LN(2)/2))/(LN(2)/2)*V117*Y117*VLOOKUP('Données projet'!$B$9,Paramètres!$A$1:$I$89,3,0)*0.475*44/12</f>
        <v>1.682384502289124E-13</v>
      </c>
      <c r="AC117" s="22">
        <f t="shared" si="57"/>
        <v>120.49590597210937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227.99999999999994</v>
      </c>
      <c r="AJ117" s="13">
        <f>AI117*VLOOKUP('Données projet'!$B$10,Paramètres!$A$1:$I$89,3,0)*VLOOKUP('Données projet'!$B$10,Paramètres!$A$1:$I$89,5,0)</f>
        <v>199.18079999999998</v>
      </c>
      <c r="AK117" s="13">
        <f t="shared" si="89"/>
        <v>49.564089376413683</v>
      </c>
      <c r="AL117" s="20">
        <f t="shared" si="58"/>
        <v>433.23068233058711</v>
      </c>
      <c r="AM117" s="59">
        <f t="shared" si="59"/>
        <v>726.56401566392037</v>
      </c>
      <c r="AN117" s="59">
        <f ca="1">AVERAGE(OFFSET($AM$3,0,0,'Données projet'!$E$10+1,1))-AVERAGE(OFFSET($H$3,0,0,'Données projet'!$E$10+1,1))</f>
        <v>242.48830542479988</v>
      </c>
      <c r="AO117" s="59">
        <f t="shared" si="90"/>
        <v>226.11219631227061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37.674245196805337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37.674245196805337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7.4200000000000017</v>
      </c>
      <c r="BD117" s="12">
        <f>IF('Données projet'!$A$88&gt;35,BD116+BC117-BL116,IF(A117&lt;'Données projet'!$A$88,$BA$205^A117,IF(A117='Données projet'!$A$88,'Données projet'!$B$88,BD116+BC117-BL116)))</f>
        <v>322.98999999999978</v>
      </c>
      <c r="BE117" s="13">
        <f>BD117*VLOOKUP('Données projet'!$B$11,Paramètres!$A$1:$I$89,3,0)*VLOOKUP('Données projet'!$B$11,Paramètres!$A$1:$I$89,5,0)</f>
        <v>327.51185999999979</v>
      </c>
      <c r="BF117" s="13">
        <f t="shared" si="91"/>
        <v>76.914225265143855</v>
      </c>
      <c r="BG117" s="20">
        <f t="shared" si="61"/>
        <v>704.37543183679179</v>
      </c>
      <c r="BH117" s="59">
        <f t="shared" si="62"/>
        <v>997.70876517012516</v>
      </c>
      <c r="BI117" s="59">
        <f ca="1">AVERAGE(OFFSET($BH$3,0,0,'Données projet'!$E$11+1,1))-AVERAGE(OFFSET($H$3,0,0,'Données projet'!$E$11+1,1))</f>
        <v>402.5435069258703</v>
      </c>
      <c r="BJ117" s="59">
        <f t="shared" si="92"/>
        <v>163.60655195816349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102.68814247323526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102.68814247323526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7.4200000000000017</v>
      </c>
      <c r="BY117" s="12">
        <f>IF('Données projet'!$A$114&gt;35,BY116+BX117-CG116,IF(A117&lt;'Données projet'!$A$114,$BV$205^A117,IF(A117='Données projet'!$A$114,'Données projet'!$B$114,BY116+BX117-CG116)))</f>
        <v>322.98999999999978</v>
      </c>
      <c r="BZ117" s="13">
        <f>BY117*VLOOKUP('Données projet'!$B$12,Paramètres!$A$1:$I$89,3,0)*VLOOKUP('Données projet'!$B$12,Paramètres!$A$1:$I$89,5,0)</f>
        <v>292.24135199999978</v>
      </c>
      <c r="CA117" s="13">
        <f t="shared" si="93"/>
        <v>69.547480764896449</v>
      </c>
      <c r="CB117" s="20">
        <f t="shared" si="64"/>
        <v>630.11555039886105</v>
      </c>
      <c r="CC117" s="59">
        <f t="shared" si="65"/>
        <v>923.44888373219442</v>
      </c>
      <c r="CD117" s="59">
        <f ca="1">AVERAGE(OFFSET($CC$3,0,0,'Données projet'!$E$12+1,1))-AVERAGE(OFFSET($H$3,0,0,'Données projet'!$E$12+1,1))</f>
        <v>350.91577977538822</v>
      </c>
      <c r="CE117" s="59">
        <f t="shared" si="94"/>
        <v>142.87103313412547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91.629419437656082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91.629419437656082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266.99999999999983</v>
      </c>
      <c r="CU117" s="17">
        <f>CT117*VLOOKUP('Données projet'!$B$13,Paramètres!$A$1:$I$89,3,0)*VLOOKUP('Données projet'!$B$13,Paramètres!$A$1:$I$89,5,0)</f>
        <v>216.59039999999987</v>
      </c>
      <c r="CV117" s="13">
        <f t="shared" si="95"/>
        <v>53.373153688190904</v>
      </c>
      <c r="CW117" s="20">
        <f t="shared" si="67"/>
        <v>470.18652267359886</v>
      </c>
      <c r="CX117" s="59">
        <f t="shared" si="68"/>
        <v>763.51985600693217</v>
      </c>
      <c r="CY117" s="59">
        <f ca="1">AVERAGE(OFFSET($CX$3,0,0,'Données projet'!$E$13+1,1))-AVERAGE(OFFSET($H$3,0,0,'Données projet'!$E$13+1,1))</f>
        <v>230.38929580146208</v>
      </c>
      <c r="CZ117" s="59">
        <f t="shared" si="96"/>
        <v>227.1847788696258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22.561159587365612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22.561159587365612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3.009999999999792</v>
      </c>
      <c r="DP117" s="17">
        <f>DO117*VLOOKUP('Données projet'!$B$14,Paramètres!$A$1:$I$89,3,0)*VLOOKUP('Données projet'!$B$14,Paramètres!$A$1:$I$89,5,0)</f>
        <v>1.7999799999998758</v>
      </c>
      <c r="DQ117" s="13">
        <f t="shared" si="97"/>
        <v>0.77465189310357685</v>
      </c>
      <c r="DR117" s="20">
        <f t="shared" si="70"/>
        <v>4.4841505471551795</v>
      </c>
      <c r="DS117" s="59">
        <f t="shared" si="71"/>
        <v>297.81748388048851</v>
      </c>
      <c r="DT117" s="59">
        <f ca="1">AVERAGE(OFFSET($DS$3,0,0,'Données projet'!$E$14+1,1))-AVERAGE(OFFSET($H$3,0,0,'Données projet'!$E$14+1,1))</f>
        <v>145.97103392561058</v>
      </c>
      <c r="DU117" s="59">
        <f t="shared" si="98"/>
        <v>62.920713953681172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147.95211711146547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147.95211711146547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0.8600000000003547</v>
      </c>
      <c r="O118" s="13">
        <f>N118*VLOOKUP('Données projet'!$B$9,Paramètres!$A$1:$I$89,3,0)*VLOOKUP('Données projet'!$B$9,Paramètres!$A$1:$I$89,5,0)</f>
        <v>0.48074000000019829</v>
      </c>
      <c r="P118" s="13">
        <f t="shared" si="87"/>
        <v>0.24126147010950588</v>
      </c>
      <c r="Q118" s="20">
        <f t="shared" si="107"/>
        <v>1.2574858937744013</v>
      </c>
      <c r="R118" s="59">
        <f t="shared" si="55"/>
        <v>294.59081922710772</v>
      </c>
      <c r="S118" s="59">
        <f ca="1">AVERAGE(OFFSET($R$3,0,0,'Données projet'!$E$9+1,1))-AVERAGE(OFFSET($H$3,0,0,'Données projet'!$E$9+1,1))</f>
        <v>350.01600895263641</v>
      </c>
      <c r="T118" s="59">
        <f t="shared" si="88"/>
        <v>464.08921044376882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113.30422125130745</v>
      </c>
      <c r="AA118" s="21">
        <f>EXP(-LN(2)/25)*AA117+(1-EXP(-LN(2)/25))/(LN(2)/25)*Calculateur!V118*Calculateur!X118*VLOOKUP('Données projet'!$B$9,Paramètres!$A$1:$I$89,3,0)*0.475*44/12</f>
        <v>4.7907321289315234</v>
      </c>
      <c r="AB118" s="21">
        <f>EXP(-LN(2)/2)*AB117+(1-EXP(-LN(2)/2))/(LN(2)/2)*V118*Y118*VLOOKUP('Données projet'!$B$9,Paramètres!$A$1:$I$89,3,0)*0.475*44/12</f>
        <v>1.1896254901317942E-13</v>
      </c>
      <c r="AC118" s="22">
        <f t="shared" si="57"/>
        <v>118.09495338023909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227.99999999999994</v>
      </c>
      <c r="AJ118" s="13">
        <f>AI118*VLOOKUP('Données projet'!$B$10,Paramètres!$A$1:$I$89,3,0)*VLOOKUP('Données projet'!$B$10,Paramètres!$A$1:$I$89,5,0)</f>
        <v>199.18079999999998</v>
      </c>
      <c r="AK118" s="13">
        <f t="shared" si="89"/>
        <v>49.564089376413683</v>
      </c>
      <c r="AL118" s="20">
        <f t="shared" si="58"/>
        <v>433.23068233058711</v>
      </c>
      <c r="AM118" s="59">
        <f t="shared" si="59"/>
        <v>726.56401566392037</v>
      </c>
      <c r="AN118" s="59">
        <f ca="1">AVERAGE(OFFSET($AM$3,0,0,'Données projet'!$E$10+1,1))-AVERAGE(OFFSET($H$3,0,0,'Données projet'!$E$10+1,1))</f>
        <v>242.48830542479988</v>
      </c>
      <c r="AO118" s="59">
        <f t="shared" si="90"/>
        <v>226.11219631227061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36.935476227516567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36.935476227516567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7.4200000000000017</v>
      </c>
      <c r="BD118" s="12">
        <f>IF('Données projet'!$A$88&gt;35,BD117+BC118-BL117,IF(A118&lt;'Données projet'!$A$88,$BA$205^A118,IF(A118='Données projet'!$A$88,'Données projet'!$B$88,BD117+BC118-BL117)))</f>
        <v>330.4099999999998</v>
      </c>
      <c r="BE118" s="13">
        <f>BD118*VLOOKUP('Données projet'!$B$11,Paramètres!$A$1:$I$89,3,0)*VLOOKUP('Données projet'!$B$11,Paramètres!$A$1:$I$89,5,0)</f>
        <v>335.03573999999981</v>
      </c>
      <c r="BF118" s="13">
        <f t="shared" si="91"/>
        <v>78.473422543982579</v>
      </c>
      <c r="BG118" s="20">
        <f t="shared" si="61"/>
        <v>720.19512476410262</v>
      </c>
      <c r="BH118" s="59">
        <f t="shared" si="62"/>
        <v>1013.528458097436</v>
      </c>
      <c r="BI118" s="59">
        <f ca="1">AVERAGE(OFFSET($BH$3,0,0,'Données projet'!$E$11+1,1))-AVERAGE(OFFSET($H$3,0,0,'Données projet'!$E$11+1,1))</f>
        <v>402.5435069258703</v>
      </c>
      <c r="BJ118" s="59">
        <f t="shared" si="92"/>
        <v>163.60655195816349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100.67449063291747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100.67449063291747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7.4200000000000017</v>
      </c>
      <c r="BY118" s="12">
        <f>IF('Données projet'!$A$114&gt;35,BY117+BX118-CG117,IF(A118&lt;'Données projet'!$A$114,$BV$205^A118,IF(A118='Données projet'!$A$114,'Données projet'!$B$114,BY117+BX118-CG117)))</f>
        <v>330.4099999999998</v>
      </c>
      <c r="BZ118" s="13">
        <f>BY118*VLOOKUP('Données projet'!$B$12,Paramètres!$A$1:$I$89,3,0)*VLOOKUP('Données projet'!$B$12,Paramètres!$A$1:$I$89,5,0)</f>
        <v>298.95496799999978</v>
      </c>
      <c r="CA118" s="13">
        <f t="shared" si="93"/>
        <v>70.957340155469581</v>
      </c>
      <c r="CB118" s="20">
        <f t="shared" si="64"/>
        <v>644.26393670410914</v>
      </c>
      <c r="CC118" s="59">
        <f t="shared" si="65"/>
        <v>937.59727003744251</v>
      </c>
      <c r="CD118" s="59">
        <f ca="1">AVERAGE(OFFSET($CC$3,0,0,'Données projet'!$E$12+1,1))-AVERAGE(OFFSET($H$3,0,0,'Données projet'!$E$12+1,1))</f>
        <v>350.91577977538822</v>
      </c>
      <c r="CE118" s="59">
        <f t="shared" si="94"/>
        <v>142.87103313412547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89.832622410910986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89.832622410910986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266.99999999999983</v>
      </c>
      <c r="CU118" s="17">
        <f>CT118*VLOOKUP('Données projet'!$B$13,Paramètres!$A$1:$I$89,3,0)*VLOOKUP('Données projet'!$B$13,Paramètres!$A$1:$I$89,5,0)</f>
        <v>216.59039999999987</v>
      </c>
      <c r="CV118" s="13">
        <f t="shared" si="95"/>
        <v>53.373153688190904</v>
      </c>
      <c r="CW118" s="20">
        <f t="shared" si="67"/>
        <v>470.18652267359886</v>
      </c>
      <c r="CX118" s="59">
        <f t="shared" si="68"/>
        <v>763.51985600693217</v>
      </c>
      <c r="CY118" s="59">
        <f ca="1">AVERAGE(OFFSET($CX$3,0,0,'Données projet'!$E$13+1,1))-AVERAGE(OFFSET($H$3,0,0,'Données projet'!$E$13+1,1))</f>
        <v>230.38929580146208</v>
      </c>
      <c r="CZ118" s="59">
        <f t="shared" si="96"/>
        <v>227.1847788696258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22.118749008805938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22.118749008805938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3.009999999999792</v>
      </c>
      <c r="DP118" s="17">
        <f>DO118*VLOOKUP('Données projet'!$B$14,Paramètres!$A$1:$I$89,3,0)*VLOOKUP('Données projet'!$B$14,Paramètres!$A$1:$I$89,5,0)</f>
        <v>1.7999799999998758</v>
      </c>
      <c r="DQ118" s="13">
        <f t="shared" si="97"/>
        <v>0.77465189310357685</v>
      </c>
      <c r="DR118" s="20">
        <f t="shared" si="70"/>
        <v>4.4841505471551795</v>
      </c>
      <c r="DS118" s="59">
        <f t="shared" si="71"/>
        <v>297.81748388048851</v>
      </c>
      <c r="DT118" s="59">
        <f ca="1">AVERAGE(OFFSET($DS$3,0,0,'Données projet'!$E$14+1,1))-AVERAGE(OFFSET($H$3,0,0,'Données projet'!$E$14+1,1))</f>
        <v>145.97103392561058</v>
      </c>
      <c r="DU118" s="59">
        <f t="shared" si="98"/>
        <v>62.920713953681172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145.05086633679042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145.05086633679042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0.8600000000003547</v>
      </c>
      <c r="O119" s="13">
        <f>N119*VLOOKUP('Données projet'!$B$9,Paramètres!$A$1:$I$89,3,0)*VLOOKUP('Données projet'!$B$9,Paramètres!$A$1:$I$89,5,0)</f>
        <v>0.48074000000019829</v>
      </c>
      <c r="P119" s="13">
        <f t="shared" si="87"/>
        <v>0.24126147010950588</v>
      </c>
      <c r="Q119" s="20">
        <f t="shared" si="107"/>
        <v>1.2574858937744013</v>
      </c>
      <c r="R119" s="59">
        <f t="shared" si="55"/>
        <v>294.59081922710772</v>
      </c>
      <c r="S119" s="59">
        <f ca="1">AVERAGE(OFFSET($R$3,0,0,'Données projet'!$E$9+1,1))-AVERAGE(OFFSET($H$3,0,0,'Données projet'!$E$9+1,1))</f>
        <v>350.01600895263641</v>
      </c>
      <c r="T119" s="59">
        <f t="shared" si="88"/>
        <v>464.08921044376882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111.08239458132036</v>
      </c>
      <c r="AA119" s="21">
        <f>EXP(-LN(2)/25)*AA118+(1-EXP(-LN(2)/25))/(LN(2)/25)*Calculateur!V119*Calculateur!X119*VLOOKUP('Données projet'!$B$9,Paramètres!$A$1:$I$89,3,0)*0.475*44/12</f>
        <v>4.6597293069322374</v>
      </c>
      <c r="AB119" s="21">
        <f>EXP(-LN(2)/2)*AB118+(1-EXP(-LN(2)/2))/(LN(2)/2)*V119*Y119*VLOOKUP('Données projet'!$B$9,Paramètres!$A$1:$I$89,3,0)*0.475*44/12</f>
        <v>8.4119225114456201E-14</v>
      </c>
      <c r="AC119" s="22">
        <f t="shared" si="57"/>
        <v>115.74212388825268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227.99999999999994</v>
      </c>
      <c r="AJ119" s="13">
        <f>AI119*VLOOKUP('Données projet'!$B$10,Paramètres!$A$1:$I$89,3,0)*VLOOKUP('Données projet'!$B$10,Paramètres!$A$1:$I$89,5,0)</f>
        <v>199.18079999999998</v>
      </c>
      <c r="AK119" s="13">
        <f t="shared" si="89"/>
        <v>49.564089376413683</v>
      </c>
      <c r="AL119" s="20">
        <f t="shared" si="58"/>
        <v>433.23068233058711</v>
      </c>
      <c r="AM119" s="59">
        <f t="shared" si="59"/>
        <v>726.56401566392037</v>
      </c>
      <c r="AN119" s="59">
        <f ca="1">AVERAGE(OFFSET($AM$3,0,0,'Données projet'!$E$10+1,1))-AVERAGE(OFFSET($H$3,0,0,'Données projet'!$E$10+1,1))</f>
        <v>242.48830542479988</v>
      </c>
      <c r="AO119" s="59">
        <f t="shared" si="90"/>
        <v>226.11219631227061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36.211194067110966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36.211194067110966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7.4200000000000017</v>
      </c>
      <c r="BD119" s="12">
        <f>IF('Données projet'!$A$88&gt;35,BD118+BC119-BL118,IF(A119&lt;'Données projet'!$A$88,$BA$205^A119,IF(A119='Données projet'!$A$88,'Données projet'!$B$88,BD118+BC119-BL118)))</f>
        <v>337.82999999999981</v>
      </c>
      <c r="BE119" s="13">
        <f>BD119*VLOOKUP('Données projet'!$B$11,Paramètres!$A$1:$I$89,3,0)*VLOOKUP('Données projet'!$B$11,Paramètres!$A$1:$I$89,5,0)</f>
        <v>342.55961999999982</v>
      </c>
      <c r="BF119" s="13">
        <f t="shared" si="91"/>
        <v>80.028549059450995</v>
      </c>
      <c r="BG119" s="20">
        <f t="shared" si="61"/>
        <v>736.00772777854354</v>
      </c>
      <c r="BH119" s="59">
        <f t="shared" si="62"/>
        <v>1029.3410611118768</v>
      </c>
      <c r="BI119" s="59">
        <f ca="1">AVERAGE(OFFSET($BH$3,0,0,'Données projet'!$E$11+1,1))-AVERAGE(OFFSET($H$3,0,0,'Données projet'!$E$11+1,1))</f>
        <v>402.5435069258703</v>
      </c>
      <c r="BJ119" s="59">
        <f t="shared" si="92"/>
        <v>163.60655195816349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98.700325276981971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98.700325276981971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7.4200000000000017</v>
      </c>
      <c r="BY119" s="12">
        <f>IF('Données projet'!$A$114&gt;35,BY118+BX119-CG118,IF(A119&lt;'Données projet'!$A$114,$BV$205^A119,IF(A119='Données projet'!$A$114,'Données projet'!$B$114,BY118+BX119-CG118)))</f>
        <v>337.82999999999981</v>
      </c>
      <c r="BZ119" s="13">
        <f>BY119*VLOOKUP('Données projet'!$B$12,Paramètres!$A$1:$I$89,3,0)*VLOOKUP('Données projet'!$B$12,Paramètres!$A$1:$I$89,5,0)</f>
        <v>305.66858399999984</v>
      </c>
      <c r="CA119" s="13">
        <f t="shared" si="93"/>
        <v>72.36351867509552</v>
      </c>
      <c r="CB119" s="20">
        <f t="shared" si="64"/>
        <v>658.40591215912434</v>
      </c>
      <c r="CC119" s="59">
        <f t="shared" si="65"/>
        <v>951.73924549245771</v>
      </c>
      <c r="CD119" s="59">
        <f ca="1">AVERAGE(OFFSET($CC$3,0,0,'Données projet'!$E$12+1,1))-AVERAGE(OFFSET($H$3,0,0,'Données projet'!$E$12+1,1))</f>
        <v>350.91577977538822</v>
      </c>
      <c r="CE119" s="59">
        <f t="shared" si="94"/>
        <v>142.87103313412547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88.07105947792239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88.07105947792239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266.99999999999983</v>
      </c>
      <c r="CU119" s="17">
        <f>CT119*VLOOKUP('Données projet'!$B$13,Paramètres!$A$1:$I$89,3,0)*VLOOKUP('Données projet'!$B$13,Paramètres!$A$1:$I$89,5,0)</f>
        <v>216.59039999999987</v>
      </c>
      <c r="CV119" s="13">
        <f t="shared" si="95"/>
        <v>53.373153688190904</v>
      </c>
      <c r="CW119" s="20">
        <f t="shared" si="67"/>
        <v>470.18652267359886</v>
      </c>
      <c r="CX119" s="59">
        <f t="shared" si="68"/>
        <v>763.51985600693217</v>
      </c>
      <c r="CY119" s="59">
        <f ca="1">AVERAGE(OFFSET($CX$3,0,0,'Données projet'!$E$13+1,1))-AVERAGE(OFFSET($H$3,0,0,'Données projet'!$E$13+1,1))</f>
        <v>230.38929580146208</v>
      </c>
      <c r="CZ119" s="59">
        <f t="shared" si="96"/>
        <v>227.1847788696258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21.685013831848014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21.685013831848014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3.009999999999792</v>
      </c>
      <c r="DP119" s="17">
        <f>DO119*VLOOKUP('Données projet'!$B$14,Paramètres!$A$1:$I$89,3,0)*VLOOKUP('Données projet'!$B$14,Paramètres!$A$1:$I$89,5,0)</f>
        <v>1.7999799999998758</v>
      </c>
      <c r="DQ119" s="13">
        <f t="shared" si="97"/>
        <v>0.77465189310357685</v>
      </c>
      <c r="DR119" s="20">
        <f t="shared" si="70"/>
        <v>4.4841505471551795</v>
      </c>
      <c r="DS119" s="59">
        <f t="shared" si="71"/>
        <v>297.81748388048851</v>
      </c>
      <c r="DT119" s="59">
        <f ca="1">AVERAGE(OFFSET($DS$3,0,0,'Données projet'!$E$14+1,1))-AVERAGE(OFFSET($H$3,0,0,'Données projet'!$E$14+1,1))</f>
        <v>145.97103392561058</v>
      </c>
      <c r="DU119" s="59">
        <f t="shared" si="98"/>
        <v>62.920713953681172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142.20650732021852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142.20650732021852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0.8600000000003547</v>
      </c>
      <c r="O120" s="13">
        <f>N120*VLOOKUP('Données projet'!$B$9,Paramètres!$A$1:$I$89,3,0)*VLOOKUP('Données projet'!$B$9,Paramètres!$A$1:$I$89,5,0)</f>
        <v>0.48074000000019829</v>
      </c>
      <c r="P120" s="13">
        <f t="shared" si="87"/>
        <v>0.24126147010950588</v>
      </c>
      <c r="Q120" s="20">
        <f t="shared" si="107"/>
        <v>1.2574858937744013</v>
      </c>
      <c r="R120" s="59">
        <f t="shared" si="55"/>
        <v>294.59081922710772</v>
      </c>
      <c r="S120" s="59">
        <f ca="1">AVERAGE(OFFSET($R$3,0,0,'Données projet'!$E$9+1,1))-AVERAGE(OFFSET($H$3,0,0,'Données projet'!$E$9+1,1))</f>
        <v>350.01600895263641</v>
      </c>
      <c r="T120" s="59">
        <f t="shared" si="88"/>
        <v>464.08921044376882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108.90413657715125</v>
      </c>
      <c r="AA120" s="21">
        <f>EXP(-LN(2)/25)*AA119+(1-EXP(-LN(2)/25))/(LN(2)/25)*Calculateur!V120*Calculateur!X120*VLOOKUP('Données projet'!$B$9,Paramètres!$A$1:$I$89,3,0)*0.475*44/12</f>
        <v>4.5323087639896613</v>
      </c>
      <c r="AB120" s="21">
        <f>EXP(-LN(2)/2)*AB119+(1-EXP(-LN(2)/2))/(LN(2)/2)*V120*Y120*VLOOKUP('Données projet'!$B$9,Paramètres!$A$1:$I$89,3,0)*0.475*44/12</f>
        <v>5.9481274506589712E-14</v>
      </c>
      <c r="AC120" s="22">
        <f t="shared" si="57"/>
        <v>113.43644534114097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227.99999999999994</v>
      </c>
      <c r="AJ120" s="13">
        <f>AI120*VLOOKUP('Données projet'!$B$10,Paramètres!$A$1:$I$89,3,0)*VLOOKUP('Données projet'!$B$10,Paramètres!$A$1:$I$89,5,0)</f>
        <v>199.18079999999998</v>
      </c>
      <c r="AK120" s="13">
        <f t="shared" si="89"/>
        <v>49.564089376413683</v>
      </c>
      <c r="AL120" s="20">
        <f t="shared" si="58"/>
        <v>433.23068233058711</v>
      </c>
      <c r="AM120" s="59">
        <f t="shared" si="59"/>
        <v>726.56401566392037</v>
      </c>
      <c r="AN120" s="59">
        <f ca="1">AVERAGE(OFFSET($AM$3,0,0,'Données projet'!$E$10+1,1))-AVERAGE(OFFSET($H$3,0,0,'Données projet'!$E$10+1,1))</f>
        <v>242.48830542479988</v>
      </c>
      <c r="AO120" s="59">
        <f t="shared" si="90"/>
        <v>226.11219631227061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35.501114638102429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35.501114638102429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7.4200000000000017</v>
      </c>
      <c r="BD120" s="12">
        <f>IF('Données projet'!$A$88&gt;35,BD119+BC120-BL119,IF(A120&lt;'Données projet'!$A$88,$BA$205^A120,IF(A120='Données projet'!$A$88,'Données projet'!$B$88,BD119+BC120-BL119)))</f>
        <v>345.24999999999983</v>
      </c>
      <c r="BE120" s="13">
        <f>BD120*VLOOKUP('Données projet'!$B$11,Paramètres!$A$1:$I$89,3,0)*VLOOKUP('Données projet'!$B$11,Paramètres!$A$1:$I$89,5,0)</f>
        <v>350.08349999999984</v>
      </c>
      <c r="BF120" s="13">
        <f t="shared" si="91"/>
        <v>81.579704516537063</v>
      </c>
      <c r="BG120" s="20">
        <f t="shared" si="61"/>
        <v>751.8134145329683</v>
      </c>
      <c r="BH120" s="59">
        <f t="shared" si="62"/>
        <v>1045.1467478663017</v>
      </c>
      <c r="BI120" s="59">
        <f ca="1">AVERAGE(OFFSET($BH$3,0,0,'Données projet'!$E$11+1,1))-AVERAGE(OFFSET($H$3,0,0,'Données projet'!$E$11+1,1))</f>
        <v>402.5435069258703</v>
      </c>
      <c r="BJ120" s="59">
        <f t="shared" si="92"/>
        <v>163.60655195816349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96.764872099554395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96.764872099554395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7.4200000000000017</v>
      </c>
      <c r="BY120" s="12">
        <f>IF('Données projet'!$A$114&gt;35,BY119+BX120-CG119,IF(A120&lt;'Données projet'!$A$114,$BV$205^A120,IF(A120='Données projet'!$A$114,'Données projet'!$B$114,BY119+BX120-CG119)))</f>
        <v>345.24999999999983</v>
      </c>
      <c r="BZ120" s="13">
        <f>BY120*VLOOKUP('Données projet'!$B$12,Paramètres!$A$1:$I$89,3,0)*VLOOKUP('Données projet'!$B$12,Paramètres!$A$1:$I$89,5,0)</f>
        <v>312.38219999999984</v>
      </c>
      <c r="CA120" s="13">
        <f t="shared" si="93"/>
        <v>73.766106479148277</v>
      </c>
      <c r="CB120" s="20">
        <f t="shared" si="64"/>
        <v>672.54163378451631</v>
      </c>
      <c r="CC120" s="59">
        <f t="shared" si="65"/>
        <v>965.87496711784956</v>
      </c>
      <c r="CD120" s="59">
        <f ca="1">AVERAGE(OFFSET($CC$3,0,0,'Données projet'!$E$12+1,1))-AVERAGE(OFFSET($H$3,0,0,'Données projet'!$E$12+1,1))</f>
        <v>350.91577977538822</v>
      </c>
      <c r="CE120" s="59">
        <f t="shared" si="94"/>
        <v>142.87103313412547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86.344039719602392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86.344039719602392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266.99999999999983</v>
      </c>
      <c r="CU120" s="17">
        <f>CT120*VLOOKUP('Données projet'!$B$13,Paramètres!$A$1:$I$89,3,0)*VLOOKUP('Données projet'!$B$13,Paramètres!$A$1:$I$89,5,0)</f>
        <v>216.59039999999987</v>
      </c>
      <c r="CV120" s="13">
        <f t="shared" si="95"/>
        <v>53.373153688190904</v>
      </c>
      <c r="CW120" s="20">
        <f t="shared" si="67"/>
        <v>470.18652267359886</v>
      </c>
      <c r="CX120" s="59">
        <f t="shared" si="68"/>
        <v>763.51985600693217</v>
      </c>
      <c r="CY120" s="59">
        <f ca="1">AVERAGE(OFFSET($CX$3,0,0,'Données projet'!$E$13+1,1))-AVERAGE(OFFSET($H$3,0,0,'Données projet'!$E$13+1,1))</f>
        <v>230.38929580146208</v>
      </c>
      <c r="CZ120" s="59">
        <f t="shared" si="96"/>
        <v>227.1847788696258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21.259783937157898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21.259783937157898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3.009999999999792</v>
      </c>
      <c r="DP120" s="17">
        <f>DO120*VLOOKUP('Données projet'!$B$14,Paramètres!$A$1:$I$89,3,0)*VLOOKUP('Données projet'!$B$14,Paramètres!$A$1:$I$89,5,0)</f>
        <v>1.7999799999998758</v>
      </c>
      <c r="DQ120" s="13">
        <f t="shared" si="97"/>
        <v>0.77465189310357685</v>
      </c>
      <c r="DR120" s="20">
        <f t="shared" si="70"/>
        <v>4.4841505471551795</v>
      </c>
      <c r="DS120" s="59">
        <f t="shared" si="71"/>
        <v>297.81748388048851</v>
      </c>
      <c r="DT120" s="59">
        <f ca="1">AVERAGE(OFFSET($DS$3,0,0,'Données projet'!$E$14+1,1))-AVERAGE(OFFSET($H$3,0,0,'Données projet'!$E$14+1,1))</f>
        <v>145.97103392561058</v>
      </c>
      <c r="DU120" s="59">
        <f t="shared" si="98"/>
        <v>62.920713953681172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139.41792444907389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139.41792444907389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0.8600000000003547</v>
      </c>
      <c r="O121" s="13">
        <f>N121*VLOOKUP('Données projet'!$B$9,Paramètres!$A$1:$I$89,3,0)*VLOOKUP('Données projet'!$B$9,Paramètres!$A$1:$I$89,5,0)</f>
        <v>0.48074000000019829</v>
      </c>
      <c r="P121" s="13">
        <f t="shared" si="87"/>
        <v>0.24126147010950588</v>
      </c>
      <c r="Q121" s="20">
        <f t="shared" si="107"/>
        <v>1.2574858937744013</v>
      </c>
      <c r="R121" s="59">
        <f t="shared" si="55"/>
        <v>294.59081922710772</v>
      </c>
      <c r="S121" s="59">
        <f ca="1">AVERAGE(OFFSET($R$3,0,0,'Données projet'!$E$9+1,1))-AVERAGE(OFFSET($H$3,0,0,'Données projet'!$E$9+1,1))</f>
        <v>350.01600895263641</v>
      </c>
      <c r="T121" s="59">
        <f t="shared" si="88"/>
        <v>464.08921044376882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106.7685928838377</v>
      </c>
      <c r="AA121" s="21">
        <f>EXP(-LN(2)/25)*AA120+(1-EXP(-LN(2)/25))/(LN(2)/25)*Calculateur!V121*Calculateur!X121*VLOOKUP('Données projet'!$B$9,Paramètres!$A$1:$I$89,3,0)*0.475*44/12</f>
        <v>4.4083725424946048</v>
      </c>
      <c r="AB121" s="21">
        <f>EXP(-LN(2)/2)*AB120+(1-EXP(-LN(2)/2))/(LN(2)/2)*V121*Y121*VLOOKUP('Données projet'!$B$9,Paramètres!$A$1:$I$89,3,0)*0.475*44/12</f>
        <v>4.20596125572281E-14</v>
      </c>
      <c r="AC121" s="22">
        <f t="shared" si="57"/>
        <v>111.17696542633234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227.99999999999994</v>
      </c>
      <c r="AJ121" s="13">
        <f>AI121*VLOOKUP('Données projet'!$B$10,Paramètres!$A$1:$I$89,3,0)*VLOOKUP('Données projet'!$B$10,Paramètres!$A$1:$I$89,5,0)</f>
        <v>199.18079999999998</v>
      </c>
      <c r="AK121" s="13">
        <f t="shared" si="89"/>
        <v>49.564089376413683</v>
      </c>
      <c r="AL121" s="20">
        <f t="shared" si="58"/>
        <v>433.23068233058711</v>
      </c>
      <c r="AM121" s="59">
        <f t="shared" si="59"/>
        <v>726.56401566392037</v>
      </c>
      <c r="AN121" s="59">
        <f ca="1">AVERAGE(OFFSET($AM$3,0,0,'Données projet'!$E$10+1,1))-AVERAGE(OFFSET($H$3,0,0,'Données projet'!$E$10+1,1))</f>
        <v>242.48830542479988</v>
      </c>
      <c r="AO121" s="59">
        <f t="shared" si="90"/>
        <v>226.11219631227061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34.804959433591058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34.804959433591058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7.4200000000000017</v>
      </c>
      <c r="BD121" s="12">
        <f>IF('Données projet'!$A$88&gt;35,BD120+BC121-BL120,IF(A121&lt;'Données projet'!$A$88,$BA$205^A121,IF(A121='Données projet'!$A$88,'Données projet'!$B$88,BD120+BC121-BL120)))</f>
        <v>352.66999999999985</v>
      </c>
      <c r="BE121" s="13">
        <f>BD121*VLOOKUP('Données projet'!$B$11,Paramètres!$A$1:$I$89,3,0)*VLOOKUP('Données projet'!$B$11,Paramètres!$A$1:$I$89,5,0)</f>
        <v>357.60737999999986</v>
      </c>
      <c r="BF121" s="13">
        <f t="shared" si="91"/>
        <v>83.126984089770033</v>
      </c>
      <c r="BG121" s="20">
        <f t="shared" si="61"/>
        <v>767.61235078968241</v>
      </c>
      <c r="BH121" s="59">
        <f t="shared" si="62"/>
        <v>1060.9456841230158</v>
      </c>
      <c r="BI121" s="59">
        <f ca="1">AVERAGE(OFFSET($BH$3,0,0,'Données projet'!$E$11+1,1))-AVERAGE(OFFSET($H$3,0,0,'Données projet'!$E$11+1,1))</f>
        <v>402.5435069258703</v>
      </c>
      <c r="BJ121" s="59">
        <f t="shared" si="92"/>
        <v>163.60655195816349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94.867371978426306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94.867371978426306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7.4200000000000017</v>
      </c>
      <c r="BY121" s="12">
        <f>IF('Données projet'!$A$114&gt;35,BY120+BX121-CG120,IF(A121&lt;'Données projet'!$A$114,$BV$205^A121,IF(A121='Données projet'!$A$114,'Données projet'!$B$114,BY120+BX121-CG120)))</f>
        <v>352.66999999999985</v>
      </c>
      <c r="BZ121" s="13">
        <f>BY121*VLOOKUP('Données projet'!$B$12,Paramètres!$A$1:$I$89,3,0)*VLOOKUP('Données projet'!$B$12,Paramètres!$A$1:$I$89,5,0)</f>
        <v>319.09581599999984</v>
      </c>
      <c r="CA121" s="13">
        <f t="shared" si="93"/>
        <v>75.165189626464311</v>
      </c>
      <c r="CB121" s="20">
        <f t="shared" si="64"/>
        <v>686.6712514660918</v>
      </c>
      <c r="CC121" s="59">
        <f t="shared" si="65"/>
        <v>980.00458479942517</v>
      </c>
      <c r="CD121" s="59">
        <f ca="1">AVERAGE(OFFSET($CC$3,0,0,'Données projet'!$E$12+1,1))-AVERAGE(OFFSET($H$3,0,0,'Données projet'!$E$12+1,1))</f>
        <v>350.91577977538822</v>
      </c>
      <c r="CE121" s="59">
        <f t="shared" si="94"/>
        <v>142.87103313412547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84.650885765365018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84.650885765365018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266.99999999999983</v>
      </c>
      <c r="CU121" s="17">
        <f>CT121*VLOOKUP('Données projet'!$B$13,Paramètres!$A$1:$I$89,3,0)*VLOOKUP('Données projet'!$B$13,Paramètres!$A$1:$I$89,5,0)</f>
        <v>216.59039999999987</v>
      </c>
      <c r="CV121" s="13">
        <f t="shared" si="95"/>
        <v>53.373153688190904</v>
      </c>
      <c r="CW121" s="20">
        <f t="shared" si="67"/>
        <v>470.18652267359886</v>
      </c>
      <c r="CX121" s="59">
        <f t="shared" si="68"/>
        <v>763.51985600693217</v>
      </c>
      <c r="CY121" s="59">
        <f ca="1">AVERAGE(OFFSET($CX$3,0,0,'Données projet'!$E$13+1,1))-AVERAGE(OFFSET($H$3,0,0,'Données projet'!$E$13+1,1))</f>
        <v>230.38929580146208</v>
      </c>
      <c r="CZ121" s="59">
        <f t="shared" si="96"/>
        <v>227.1847788696258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20.842892541338031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20.842892541338031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3.009999999999792</v>
      </c>
      <c r="DP121" s="17">
        <f>DO121*VLOOKUP('Données projet'!$B$14,Paramètres!$A$1:$I$89,3,0)*VLOOKUP('Données projet'!$B$14,Paramètres!$A$1:$I$89,5,0)</f>
        <v>1.7999799999998758</v>
      </c>
      <c r="DQ121" s="13">
        <f t="shared" si="97"/>
        <v>0.77465189310357685</v>
      </c>
      <c r="DR121" s="20">
        <f t="shared" si="70"/>
        <v>4.4841505471551795</v>
      </c>
      <c r="DS121" s="59">
        <f t="shared" si="71"/>
        <v>297.81748388048851</v>
      </c>
      <c r="DT121" s="59">
        <f ca="1">AVERAGE(OFFSET($DS$3,0,0,'Données projet'!$E$14+1,1))-AVERAGE(OFFSET($H$3,0,0,'Données projet'!$E$14+1,1))</f>
        <v>145.97103392561058</v>
      </c>
      <c r="DU121" s="59">
        <f t="shared" si="98"/>
        <v>62.920713953681172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136.68402398716481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136.68402398716481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0.8600000000003547</v>
      </c>
      <c r="O122" s="13">
        <f>N122*VLOOKUP('Données projet'!$B$9,Paramètres!$A$1:$I$89,3,0)*VLOOKUP('Données projet'!$B$9,Paramètres!$A$1:$I$89,5,0)</f>
        <v>0.48074000000019829</v>
      </c>
      <c r="P122" s="13">
        <f t="shared" si="87"/>
        <v>0.24126147010950588</v>
      </c>
      <c r="Q122" s="20">
        <f t="shared" si="107"/>
        <v>1.2574858937744013</v>
      </c>
      <c r="R122" s="59">
        <f t="shared" si="55"/>
        <v>294.59081922710772</v>
      </c>
      <c r="S122" s="59">
        <f ca="1">AVERAGE(OFFSET($R$3,0,0,'Données projet'!$E$9+1,1))-AVERAGE(OFFSET($H$3,0,0,'Données projet'!$E$9+1,1))</f>
        <v>350.01600895263641</v>
      </c>
      <c r="T122" s="59">
        <f t="shared" si="88"/>
        <v>464.08921044376882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104.67492589979699</v>
      </c>
      <c r="AA122" s="21">
        <f>EXP(-LN(2)/25)*AA121+(1-EXP(-LN(2)/25))/(LN(2)/25)*Calculateur!V122*Calculateur!X122*VLOOKUP('Données projet'!$B$9,Paramètres!$A$1:$I$89,3,0)*0.475*44/12</f>
        <v>4.2878253634938535</v>
      </c>
      <c r="AB122" s="21">
        <f>EXP(-LN(2)/2)*AB121+(1-EXP(-LN(2)/2))/(LN(2)/2)*V122*Y122*VLOOKUP('Données projet'!$B$9,Paramètres!$A$1:$I$89,3,0)*0.475*44/12</f>
        <v>2.9740637253294856E-14</v>
      </c>
      <c r="AC122" s="22">
        <f t="shared" si="57"/>
        <v>108.96275126329087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227.99999999999994</v>
      </c>
      <c r="AJ122" s="13">
        <f>AI122*VLOOKUP('Données projet'!$B$10,Paramètres!$A$1:$I$89,3,0)*VLOOKUP('Données projet'!$B$10,Paramètres!$A$1:$I$89,5,0)</f>
        <v>199.18079999999998</v>
      </c>
      <c r="AK122" s="13">
        <f t="shared" si="89"/>
        <v>49.564089376413683</v>
      </c>
      <c r="AL122" s="20">
        <f t="shared" si="58"/>
        <v>433.23068233058711</v>
      </c>
      <c r="AM122" s="59">
        <f t="shared" si="59"/>
        <v>726.56401566392037</v>
      </c>
      <c r="AN122" s="59">
        <f ca="1">AVERAGE(OFFSET($AM$3,0,0,'Données projet'!$E$10+1,1))-AVERAGE(OFFSET($H$3,0,0,'Données projet'!$E$10+1,1))</f>
        <v>242.48830542479988</v>
      </c>
      <c r="AO122" s="59">
        <f t="shared" si="90"/>
        <v>226.11219631227061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34.122455408027406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34.122455408027406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7.4200000000000017</v>
      </c>
      <c r="BD122" s="12">
        <f>IF('Données projet'!$A$88&gt;35,BD121+BC122-BL121,IF(A122&lt;'Données projet'!$A$88,$BA$205^A122,IF(A122='Données projet'!$A$88,'Données projet'!$B$88,BD121+BC122-BL121)))</f>
        <v>360.08999999999986</v>
      </c>
      <c r="BE122" s="13">
        <f>BD122*VLOOKUP('Données projet'!$B$11,Paramètres!$A$1:$I$89,3,0)*VLOOKUP('Données projet'!$B$11,Paramètres!$A$1:$I$89,5,0)</f>
        <v>365.13125999999988</v>
      </c>
      <c r="BF122" s="13">
        <f t="shared" si="91"/>
        <v>84.670478719995344</v>
      </c>
      <c r="BG122" s="20">
        <f t="shared" si="61"/>
        <v>783.40469493732496</v>
      </c>
      <c r="BH122" s="59">
        <f t="shared" si="62"/>
        <v>1076.7380282706583</v>
      </c>
      <c r="BI122" s="59">
        <f ca="1">AVERAGE(OFFSET($BH$3,0,0,'Données projet'!$E$11+1,1))-AVERAGE(OFFSET($H$3,0,0,'Données projet'!$E$11+1,1))</f>
        <v>402.5435069258703</v>
      </c>
      <c r="BJ122" s="59">
        <f t="shared" si="92"/>
        <v>163.60655195816349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93.007080677312743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93.007080677312743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7.4200000000000017</v>
      </c>
      <c r="BY122" s="12">
        <f>IF('Données projet'!$A$114&gt;35,BY121+BX122-CG121,IF(A122&lt;'Données projet'!$A$114,$BV$205^A122,IF(A122='Données projet'!$A$114,'Données projet'!$B$114,BY121+BX122-CG121)))</f>
        <v>360.08999999999986</v>
      </c>
      <c r="BZ122" s="13">
        <f>BY122*VLOOKUP('Données projet'!$B$12,Paramètres!$A$1:$I$89,3,0)*VLOOKUP('Données projet'!$B$12,Paramètres!$A$1:$I$89,5,0)</f>
        <v>325.80943199999984</v>
      </c>
      <c r="CA122" s="13">
        <f t="shared" si="93"/>
        <v>76.560850347693389</v>
      </c>
      <c r="CB122" s="20">
        <f t="shared" si="64"/>
        <v>700.79490842223231</v>
      </c>
      <c r="CC122" s="59">
        <f t="shared" si="65"/>
        <v>994.12824175556557</v>
      </c>
      <c r="CD122" s="59">
        <f ca="1">AVERAGE(OFFSET($CC$3,0,0,'Données projet'!$E$12+1,1))-AVERAGE(OFFSET($H$3,0,0,'Données projet'!$E$12+1,1))</f>
        <v>350.91577977538822</v>
      </c>
      <c r="CE122" s="59">
        <f t="shared" si="94"/>
        <v>142.87103313412547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82.990933527448291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82.990933527448291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266.99999999999983</v>
      </c>
      <c r="CU122" s="17">
        <f>CT122*VLOOKUP('Données projet'!$B$13,Paramètres!$A$1:$I$89,3,0)*VLOOKUP('Données projet'!$B$13,Paramètres!$A$1:$I$89,5,0)</f>
        <v>216.59039999999987</v>
      </c>
      <c r="CV122" s="13">
        <f t="shared" si="95"/>
        <v>53.373153688190904</v>
      </c>
      <c r="CW122" s="20">
        <f t="shared" si="67"/>
        <v>470.18652267359886</v>
      </c>
      <c r="CX122" s="59">
        <f t="shared" si="68"/>
        <v>763.51985600693217</v>
      </c>
      <c r="CY122" s="59">
        <f ca="1">AVERAGE(OFFSET($CX$3,0,0,'Données projet'!$E$13+1,1))-AVERAGE(OFFSET($H$3,0,0,'Données projet'!$E$13+1,1))</f>
        <v>230.38929580146208</v>
      </c>
      <c r="CZ122" s="59">
        <f t="shared" si="96"/>
        <v>227.1847788696258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20.434176131511546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20.434176131511546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3.009999999999792</v>
      </c>
      <c r="DP122" s="17">
        <f>DO122*VLOOKUP('Données projet'!$B$14,Paramètres!$A$1:$I$89,3,0)*VLOOKUP('Données projet'!$B$14,Paramètres!$A$1:$I$89,5,0)</f>
        <v>1.7999799999998758</v>
      </c>
      <c r="DQ122" s="13">
        <f t="shared" si="97"/>
        <v>0.77465189310357685</v>
      </c>
      <c r="DR122" s="20">
        <f t="shared" si="70"/>
        <v>4.4841505471551795</v>
      </c>
      <c r="DS122" s="59">
        <f t="shared" si="71"/>
        <v>297.81748388048851</v>
      </c>
      <c r="DT122" s="59">
        <f ca="1">AVERAGE(OFFSET($DS$3,0,0,'Données projet'!$E$14+1,1))-AVERAGE(OFFSET($H$3,0,0,'Données projet'!$E$14+1,1))</f>
        <v>145.97103392561058</v>
      </c>
      <c r="DU122" s="59">
        <f t="shared" si="98"/>
        <v>62.920713953681172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134.00373364579912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134.00373364579912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0.8600000000003547</v>
      </c>
      <c r="O123" s="13">
        <f>N123*VLOOKUP('Données projet'!$B$9,Paramètres!$A$1:$I$89,3,0)*VLOOKUP('Données projet'!$B$9,Paramètres!$A$1:$I$89,5,0)</f>
        <v>0.48074000000019829</v>
      </c>
      <c r="P123" s="13">
        <f t="shared" si="87"/>
        <v>0.24126147010950588</v>
      </c>
      <c r="Q123" s="20">
        <f t="shared" si="107"/>
        <v>1.2574858937744013</v>
      </c>
      <c r="R123" s="59">
        <f t="shared" si="55"/>
        <v>294.59081922710772</v>
      </c>
      <c r="S123" s="59">
        <f ca="1">AVERAGE(OFFSET($R$3,0,0,'Données projet'!$E$9+1,1))-AVERAGE(OFFSET($H$3,0,0,'Données projet'!$E$9+1,1))</f>
        <v>350.01600895263641</v>
      </c>
      <c r="T123" s="59">
        <f t="shared" si="88"/>
        <v>464.08921044376882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102.62231444830256</v>
      </c>
      <c r="AA123" s="21">
        <f>EXP(-LN(2)/25)*AA122+(1-EXP(-LN(2)/25))/(LN(2)/25)*Calculateur!V123*Calculateur!X123*VLOOKUP('Données projet'!$B$9,Paramètres!$A$1:$I$89,3,0)*0.475*44/12</f>
        <v>4.1705745534421785</v>
      </c>
      <c r="AB123" s="21">
        <f>EXP(-LN(2)/2)*AB122+(1-EXP(-LN(2)/2))/(LN(2)/2)*V123*Y123*VLOOKUP('Données projet'!$B$9,Paramètres!$A$1:$I$89,3,0)*0.475*44/12</f>
        <v>2.102980627861405E-14</v>
      </c>
      <c r="AC123" s="22">
        <f t="shared" si="57"/>
        <v>106.79288900174475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227.99999999999994</v>
      </c>
      <c r="AJ123" s="13">
        <f>AI123*VLOOKUP('Données projet'!$B$10,Paramètres!$A$1:$I$89,3,0)*VLOOKUP('Données projet'!$B$10,Paramètres!$A$1:$I$89,5,0)</f>
        <v>199.18079999999998</v>
      </c>
      <c r="AK123" s="13">
        <f t="shared" si="89"/>
        <v>49.564089376413683</v>
      </c>
      <c r="AL123" s="20">
        <f t="shared" si="58"/>
        <v>433.23068233058711</v>
      </c>
      <c r="AM123" s="59">
        <f t="shared" si="59"/>
        <v>726.56401566392037</v>
      </c>
      <c r="AN123" s="59">
        <f ca="1">AVERAGE(OFFSET($AM$3,0,0,'Données projet'!$E$10+1,1))-AVERAGE(OFFSET($H$3,0,0,'Données projet'!$E$10+1,1))</f>
        <v>242.48830542479988</v>
      </c>
      <c r="AO123" s="59">
        <f t="shared" si="90"/>
        <v>226.11219631227061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33.453334870118709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33.453334870118709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7.4200000000000017</v>
      </c>
      <c r="BD123" s="12">
        <f>IF('Données projet'!$A$88&gt;35,BD122+BC123-BL122,IF(A123&lt;'Données projet'!$A$88,$BA$205^A123,IF(A123='Données projet'!$A$88,'Données projet'!$B$88,BD122+BC123-BL122)))</f>
        <v>367.50999999999988</v>
      </c>
      <c r="BE123" s="13">
        <f>BD123*VLOOKUP('Données projet'!$B$11,Paramètres!$A$1:$I$89,3,0)*VLOOKUP('Données projet'!$B$11,Paramètres!$A$1:$I$89,5,0)</f>
        <v>372.6551399999999</v>
      </c>
      <c r="BF123" s="13">
        <f t="shared" si="91"/>
        <v>86.210275385998216</v>
      </c>
      <c r="BG123" s="20">
        <f t="shared" si="61"/>
        <v>799.19059846394669</v>
      </c>
      <c r="BH123" s="59">
        <f t="shared" si="62"/>
        <v>1092.5239317972801</v>
      </c>
      <c r="BI123" s="59">
        <f ca="1">AVERAGE(OFFSET($BH$3,0,0,'Données projet'!$E$11+1,1))-AVERAGE(OFFSET($H$3,0,0,'Données projet'!$E$11+1,1))</f>
        <v>402.5435069258703</v>
      </c>
      <c r="BJ123" s="59">
        <f t="shared" si="92"/>
        <v>163.60655195816349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91.183268553948352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91.183268553948352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7.4200000000000017</v>
      </c>
      <c r="BY123" s="12">
        <f>IF('Données projet'!$A$114&gt;35,BY122+BX123-CG122,IF(A123&lt;'Données projet'!$A$114,$BV$205^A123,IF(A123='Données projet'!$A$114,'Données projet'!$B$114,BY122+BX123-CG122)))</f>
        <v>367.50999999999988</v>
      </c>
      <c r="BZ123" s="13">
        <f>BY123*VLOOKUP('Données projet'!$B$12,Paramètres!$A$1:$I$89,3,0)*VLOOKUP('Données projet'!$B$12,Paramètres!$A$1:$I$89,5,0)</f>
        <v>332.5230479999999</v>
      </c>
      <c r="CA123" s="13">
        <f t="shared" si="93"/>
        <v>77.953167290905341</v>
      </c>
      <c r="CB123" s="20">
        <f t="shared" si="64"/>
        <v>714.91274163165997</v>
      </c>
      <c r="CC123" s="59">
        <f t="shared" si="65"/>
        <v>1008.2460749649933</v>
      </c>
      <c r="CD123" s="59">
        <f ca="1">AVERAGE(OFFSET($CC$3,0,0,'Données projet'!$E$12+1,1))-AVERAGE(OFFSET($H$3,0,0,'Données projet'!$E$12+1,1))</f>
        <v>350.91577977538822</v>
      </c>
      <c r="CE123" s="59">
        <f t="shared" si="94"/>
        <v>142.87103313412547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81.363531940446222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81.363531940446222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266.99999999999983</v>
      </c>
      <c r="CU123" s="17">
        <f>CT123*VLOOKUP('Données projet'!$B$13,Paramètres!$A$1:$I$89,3,0)*VLOOKUP('Données projet'!$B$13,Paramètres!$A$1:$I$89,5,0)</f>
        <v>216.59039999999987</v>
      </c>
      <c r="CV123" s="13">
        <f t="shared" si="95"/>
        <v>53.373153688190904</v>
      </c>
      <c r="CW123" s="20">
        <f t="shared" si="67"/>
        <v>470.18652267359886</v>
      </c>
      <c r="CX123" s="59">
        <f t="shared" si="68"/>
        <v>763.51985600693217</v>
      </c>
      <c r="CY123" s="59">
        <f ca="1">AVERAGE(OFFSET($CX$3,0,0,'Données projet'!$E$13+1,1))-AVERAGE(OFFSET($H$3,0,0,'Données projet'!$E$13+1,1))</f>
        <v>230.38929580146208</v>
      </c>
      <c r="CZ123" s="59">
        <f t="shared" si="96"/>
        <v>227.1847788696258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20.033474401189366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20.033474401189366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3.009999999999792</v>
      </c>
      <c r="DP123" s="17">
        <f>DO123*VLOOKUP('Données projet'!$B$14,Paramètres!$A$1:$I$89,3,0)*VLOOKUP('Données projet'!$B$14,Paramètres!$A$1:$I$89,5,0)</f>
        <v>1.7999799999998758</v>
      </c>
      <c r="DQ123" s="13">
        <f t="shared" si="97"/>
        <v>0.77465189310357685</v>
      </c>
      <c r="DR123" s="20">
        <f t="shared" si="70"/>
        <v>4.4841505471551795</v>
      </c>
      <c r="DS123" s="59">
        <f t="shared" si="71"/>
        <v>297.81748388048851</v>
      </c>
      <c r="DT123" s="59">
        <f ca="1">AVERAGE(OFFSET($DS$3,0,0,'Données projet'!$E$14+1,1))-AVERAGE(OFFSET($H$3,0,0,'Données projet'!$E$14+1,1))</f>
        <v>145.97103392561058</v>
      </c>
      <c r="DU123" s="59">
        <f t="shared" si="98"/>
        <v>62.920713953681172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131.37600216321195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131.37600216321195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0.8600000000003547</v>
      </c>
      <c r="O124" s="13">
        <f>N124*VLOOKUP('Données projet'!$B$9,Paramètres!$A$1:$I$89,3,0)*VLOOKUP('Données projet'!$B$9,Paramètres!$A$1:$I$89,5,0)</f>
        <v>0.48074000000019829</v>
      </c>
      <c r="P124" s="13">
        <f t="shared" si="87"/>
        <v>0.24126147010950588</v>
      </c>
      <c r="Q124" s="20">
        <f t="shared" si="107"/>
        <v>1.2574858937744013</v>
      </c>
      <c r="R124" s="59">
        <f t="shared" si="55"/>
        <v>294.59081922710772</v>
      </c>
      <c r="S124" s="59">
        <f ca="1">AVERAGE(OFFSET($R$3,0,0,'Données projet'!$E$9+1,1))-AVERAGE(OFFSET($H$3,0,0,'Données projet'!$E$9+1,1))</f>
        <v>350.01600895263641</v>
      </c>
      <c r="T124" s="59">
        <f t="shared" si="88"/>
        <v>464.08921044376882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100.60995345540258</v>
      </c>
      <c r="AA124" s="21">
        <f>EXP(-LN(2)/25)*AA123+(1-EXP(-LN(2)/25))/(LN(2)/25)*Calculateur!V124*Calculateur!X124*VLOOKUP('Données projet'!$B$9,Paramètres!$A$1:$I$89,3,0)*0.475*44/12</f>
        <v>4.0565299729573185</v>
      </c>
      <c r="AB124" s="21">
        <f>EXP(-LN(2)/2)*AB123+(1-EXP(-LN(2)/2))/(LN(2)/2)*V124*Y124*VLOOKUP('Données projet'!$B$9,Paramètres!$A$1:$I$89,3,0)*0.475*44/12</f>
        <v>1.4870318626647428E-14</v>
      </c>
      <c r="AC124" s="22">
        <f t="shared" si="57"/>
        <v>104.66648342835991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227.99999999999994</v>
      </c>
      <c r="AJ124" s="13">
        <f>AI124*VLOOKUP('Données projet'!$B$10,Paramètres!$A$1:$I$89,3,0)*VLOOKUP('Données projet'!$B$10,Paramètres!$A$1:$I$89,5,0)</f>
        <v>199.18079999999998</v>
      </c>
      <c r="AK124" s="13">
        <f t="shared" si="89"/>
        <v>49.564089376413683</v>
      </c>
      <c r="AL124" s="20">
        <f t="shared" si="58"/>
        <v>433.23068233058711</v>
      </c>
      <c r="AM124" s="59">
        <f t="shared" si="59"/>
        <v>726.56401566392037</v>
      </c>
      <c r="AN124" s="59">
        <f ca="1">AVERAGE(OFFSET($AM$3,0,0,'Données projet'!$E$10+1,1))-AVERAGE(OFFSET($H$3,0,0,'Données projet'!$E$10+1,1))</f>
        <v>242.48830542479988</v>
      </c>
      <c r="AO124" s="59">
        <f t="shared" si="90"/>
        <v>226.11219631227061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32.797335377835175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32.797335377835175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7.4200000000000017</v>
      </c>
      <c r="BD124" s="12">
        <f>IF('Données projet'!$A$88&gt;35,BD123+BC124-BL123,IF(A124&lt;'Données projet'!$A$88,$BA$205^A124,IF(A124='Données projet'!$A$88,'Données projet'!$B$88,BD123+BC124-BL123)))</f>
        <v>374.92999999999989</v>
      </c>
      <c r="BE124" s="13">
        <f>BD124*VLOOKUP('Données projet'!$B$11,Paramètres!$A$1:$I$89,3,0)*VLOOKUP('Données projet'!$B$11,Paramètres!$A$1:$I$89,5,0)</f>
        <v>380.17901999999992</v>
      </c>
      <c r="BF124" s="13">
        <f t="shared" si="91"/>
        <v>87.746457353570278</v>
      </c>
      <c r="BG124" s="20">
        <f t="shared" si="61"/>
        <v>814.97020639080131</v>
      </c>
      <c r="BH124" s="59">
        <f t="shared" si="62"/>
        <v>1108.3035397241347</v>
      </c>
      <c r="BI124" s="59">
        <f ca="1">AVERAGE(OFFSET($BH$3,0,0,'Données projet'!$E$11+1,1))-AVERAGE(OFFSET($H$3,0,0,'Données projet'!$E$11+1,1))</f>
        <v>402.5435069258703</v>
      </c>
      <c r="BJ124" s="59">
        <f t="shared" si="92"/>
        <v>163.60655195816349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89.395220273907583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89.395220273907583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7.4200000000000017</v>
      </c>
      <c r="BY124" s="12">
        <f>IF('Données projet'!$A$114&gt;35,BY123+BX124-CG123,IF(A124&lt;'Données projet'!$A$114,$BV$205^A124,IF(A124='Données projet'!$A$114,'Données projet'!$B$114,BY123+BX124-CG123)))</f>
        <v>374.92999999999989</v>
      </c>
      <c r="BZ124" s="13">
        <f>BY124*VLOOKUP('Données projet'!$B$12,Paramètres!$A$1:$I$89,3,0)*VLOOKUP('Données projet'!$B$12,Paramètres!$A$1:$I$89,5,0)</f>
        <v>339.23666399999991</v>
      </c>
      <c r="CA124" s="13">
        <f t="shared" si="93"/>
        <v>79.342215746802893</v>
      </c>
      <c r="CB124" s="20">
        <f t="shared" si="64"/>
        <v>729.02488222568138</v>
      </c>
      <c r="CC124" s="59">
        <f t="shared" si="65"/>
        <v>1022.3582155590148</v>
      </c>
      <c r="CD124" s="59">
        <f ca="1">AVERAGE(OFFSET($CC$3,0,0,'Données projet'!$E$12+1,1))-AVERAGE(OFFSET($H$3,0,0,'Données projet'!$E$12+1,1))</f>
        <v>350.91577977538822</v>
      </c>
      <c r="CE124" s="59">
        <f t="shared" si="94"/>
        <v>142.87103313412547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79.768042705948304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79.768042705948304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266.99999999999983</v>
      </c>
      <c r="CU124" s="17">
        <f>CT124*VLOOKUP('Données projet'!$B$13,Paramètres!$A$1:$I$89,3,0)*VLOOKUP('Données projet'!$B$13,Paramètres!$A$1:$I$89,5,0)</f>
        <v>216.59039999999987</v>
      </c>
      <c r="CV124" s="13">
        <f t="shared" si="95"/>
        <v>53.373153688190904</v>
      </c>
      <c r="CW124" s="20">
        <f t="shared" si="67"/>
        <v>470.18652267359886</v>
      </c>
      <c r="CX124" s="59">
        <f t="shared" si="68"/>
        <v>763.51985600693217</v>
      </c>
      <c r="CY124" s="59">
        <f ca="1">AVERAGE(OFFSET($CX$3,0,0,'Données projet'!$E$13+1,1))-AVERAGE(OFFSET($H$3,0,0,'Données projet'!$E$13+1,1))</f>
        <v>230.38929580146208</v>
      </c>
      <c r="CZ124" s="59">
        <f t="shared" si="96"/>
        <v>227.1847788696258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19.64063018739488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19.64063018739488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3.009999999999792</v>
      </c>
      <c r="DP124" s="17">
        <f>DO124*VLOOKUP('Données projet'!$B$14,Paramètres!$A$1:$I$89,3,0)*VLOOKUP('Données projet'!$B$14,Paramètres!$A$1:$I$89,5,0)</f>
        <v>1.7999799999998758</v>
      </c>
      <c r="DQ124" s="13">
        <f t="shared" si="97"/>
        <v>0.77465189310357685</v>
      </c>
      <c r="DR124" s="20">
        <f t="shared" si="70"/>
        <v>4.4841505471551795</v>
      </c>
      <c r="DS124" s="59">
        <f t="shared" si="71"/>
        <v>297.81748388048851</v>
      </c>
      <c r="DT124" s="59">
        <f ca="1">AVERAGE(OFFSET($DS$3,0,0,'Données projet'!$E$14+1,1))-AVERAGE(OFFSET($H$3,0,0,'Données projet'!$E$14+1,1))</f>
        <v>145.97103392561058</v>
      </c>
      <c r="DU124" s="59">
        <f t="shared" si="98"/>
        <v>62.920713953681172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128.79979889224035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128.79979889224035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0.8600000000003547</v>
      </c>
      <c r="O125" s="13">
        <f>N125*VLOOKUP('Données projet'!$B$9,Paramètres!$A$1:$I$89,3,0)*VLOOKUP('Données projet'!$B$9,Paramètres!$A$1:$I$89,5,0)</f>
        <v>0.48074000000019829</v>
      </c>
      <c r="P125" s="13">
        <f t="shared" si="87"/>
        <v>0.24126147010950588</v>
      </c>
      <c r="Q125" s="20">
        <f t="shared" si="107"/>
        <v>1.2574858937744013</v>
      </c>
      <c r="R125" s="59">
        <f t="shared" si="55"/>
        <v>294.59081922710772</v>
      </c>
      <c r="S125" s="59">
        <f ca="1">AVERAGE(OFFSET($R$3,0,0,'Données projet'!$E$9+1,1))-AVERAGE(OFFSET($H$3,0,0,'Données projet'!$E$9+1,1))</f>
        <v>350.01600895263641</v>
      </c>
      <c r="T125" s="59">
        <f t="shared" si="88"/>
        <v>464.08921044376882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98.637053634154341</v>
      </c>
      <c r="AA125" s="21">
        <f>EXP(-LN(2)/25)*AA124+(1-EXP(-LN(2)/25))/(LN(2)/25)*Calculateur!V125*Calculateur!X125*VLOOKUP('Données projet'!$B$9,Paramètres!$A$1:$I$89,3,0)*0.475*44/12</f>
        <v>3.9456039475231606</v>
      </c>
      <c r="AB125" s="21">
        <f>EXP(-LN(2)/2)*AB124+(1-EXP(-LN(2)/2))/(LN(2)/2)*V125*Y125*VLOOKUP('Données projet'!$B$9,Paramètres!$A$1:$I$89,3,0)*0.475*44/12</f>
        <v>1.0514903139307025E-14</v>
      </c>
      <c r="AC125" s="22">
        <f t="shared" si="57"/>
        <v>102.58265758167751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227.99999999999994</v>
      </c>
      <c r="AJ125" s="13">
        <f>AI125*VLOOKUP('Données projet'!$B$10,Paramètres!$A$1:$I$89,3,0)*VLOOKUP('Données projet'!$B$10,Paramètres!$A$1:$I$89,5,0)</f>
        <v>199.18079999999998</v>
      </c>
      <c r="AK125" s="13">
        <f t="shared" si="89"/>
        <v>49.564089376413683</v>
      </c>
      <c r="AL125" s="20">
        <f t="shared" si="58"/>
        <v>433.23068233058711</v>
      </c>
      <c r="AM125" s="59">
        <f t="shared" si="59"/>
        <v>726.56401566392037</v>
      </c>
      <c r="AN125" s="59">
        <f ca="1">AVERAGE(OFFSET($AM$3,0,0,'Données projet'!$E$10+1,1))-AVERAGE(OFFSET($H$3,0,0,'Données projet'!$E$10+1,1))</f>
        <v>242.48830542479988</v>
      </c>
      <c r="AO125" s="59">
        <f t="shared" si="90"/>
        <v>226.11219631227061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32.154199635475138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32.154199635475138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7.4200000000000017</v>
      </c>
      <c r="BD125" s="12">
        <f>IF('Données projet'!$A$88&gt;35,BD124+BC125-BL124,IF(A125&lt;'Données projet'!$A$88,$BA$205^A125,IF(A125='Données projet'!$A$88,'Données projet'!$B$88,BD124+BC125-BL124)))</f>
        <v>382.34999999999991</v>
      </c>
      <c r="BE125" s="13">
        <f>BD125*VLOOKUP('Données projet'!$B$11,Paramètres!$A$1:$I$89,3,0)*VLOOKUP('Données projet'!$B$11,Paramètres!$A$1:$I$89,5,0)</f>
        <v>387.70289999999994</v>
      </c>
      <c r="BF125" s="13">
        <f t="shared" si="91"/>
        <v>89.279104404304348</v>
      </c>
      <c r="BG125" s="20">
        <f t="shared" si="61"/>
        <v>830.74365767082998</v>
      </c>
      <c r="BH125" s="59">
        <f t="shared" si="62"/>
        <v>1124.0769910041633</v>
      </c>
      <c r="BI125" s="59">
        <f ca="1">AVERAGE(OFFSET($BH$3,0,0,'Données projet'!$E$11+1,1))-AVERAGE(OFFSET($H$3,0,0,'Données projet'!$E$11+1,1))</f>
        <v>402.5435069258703</v>
      </c>
      <c r="BJ125" s="59">
        <f t="shared" si="92"/>
        <v>163.60655195816349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87.64223453003666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87.64223453003666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7.4200000000000017</v>
      </c>
      <c r="BY125" s="12">
        <f>IF('Données projet'!$A$114&gt;35,BY124+BX125-CG124,IF(A125&lt;'Données projet'!$A$114,$BV$205^A125,IF(A125='Données projet'!$A$114,'Données projet'!$B$114,BY124+BX125-CG124)))</f>
        <v>382.34999999999991</v>
      </c>
      <c r="BZ125" s="13">
        <f>BY125*VLOOKUP('Données projet'!$B$12,Paramètres!$A$1:$I$89,3,0)*VLOOKUP('Données projet'!$B$12,Paramètres!$A$1:$I$89,5,0)</f>
        <v>345.95027999999991</v>
      </c>
      <c r="CA125" s="13">
        <f t="shared" si="93"/>
        <v>80.728067855601395</v>
      </c>
      <c r="CB125" s="20">
        <f t="shared" si="64"/>
        <v>743.13145584850554</v>
      </c>
      <c r="CC125" s="59">
        <f t="shared" si="65"/>
        <v>1036.4647891818388</v>
      </c>
      <c r="CD125" s="59">
        <f ca="1">AVERAGE(OFFSET($CC$3,0,0,'Données projet'!$E$12+1,1))-AVERAGE(OFFSET($H$3,0,0,'Données projet'!$E$12+1,1))</f>
        <v>350.91577977538822</v>
      </c>
      <c r="CE125" s="59">
        <f t="shared" si="94"/>
        <v>142.87103313412547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78.203840042186556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78.203840042186556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266.99999999999983</v>
      </c>
      <c r="CU125" s="17">
        <f>CT125*VLOOKUP('Données projet'!$B$13,Paramètres!$A$1:$I$89,3,0)*VLOOKUP('Données projet'!$B$13,Paramètres!$A$1:$I$89,5,0)</f>
        <v>216.59039999999987</v>
      </c>
      <c r="CV125" s="13">
        <f t="shared" si="95"/>
        <v>53.373153688190904</v>
      </c>
      <c r="CW125" s="20">
        <f t="shared" si="67"/>
        <v>470.18652267359886</v>
      </c>
      <c r="CX125" s="59">
        <f t="shared" si="68"/>
        <v>763.51985600693217</v>
      </c>
      <c r="CY125" s="59">
        <f ca="1">AVERAGE(OFFSET($CX$3,0,0,'Données projet'!$E$13+1,1))-AVERAGE(OFFSET($H$3,0,0,'Données projet'!$E$13+1,1))</f>
        <v>230.38929580146208</v>
      </c>
      <c r="CZ125" s="59">
        <f t="shared" si="96"/>
        <v>227.1847788696258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19.255489409021592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19.255489409021592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3.009999999999792</v>
      </c>
      <c r="DP125" s="17">
        <f>DO125*VLOOKUP('Données projet'!$B$14,Paramètres!$A$1:$I$89,3,0)*VLOOKUP('Données projet'!$B$14,Paramètres!$A$1:$I$89,5,0)</f>
        <v>1.7999799999998758</v>
      </c>
      <c r="DQ125" s="13">
        <f t="shared" si="97"/>
        <v>0.77465189310357685</v>
      </c>
      <c r="DR125" s="20">
        <f t="shared" si="70"/>
        <v>4.4841505471551795</v>
      </c>
      <c r="DS125" s="59">
        <f t="shared" si="71"/>
        <v>297.81748388048851</v>
      </c>
      <c r="DT125" s="59">
        <f ca="1">AVERAGE(OFFSET($DS$3,0,0,'Données projet'!$E$14+1,1))-AVERAGE(OFFSET($H$3,0,0,'Données projet'!$E$14+1,1))</f>
        <v>145.97103392561058</v>
      </c>
      <c r="DU125" s="59">
        <f t="shared" si="98"/>
        <v>62.920713953681172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126.27411339608366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126.27411339608366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0.8600000000003547</v>
      </c>
      <c r="O126" s="13">
        <f>N126*VLOOKUP('Données projet'!$B$9,Paramètres!$A$1:$I$89,3,0)*VLOOKUP('Données projet'!$B$9,Paramètres!$A$1:$I$89,5,0)</f>
        <v>0.48074000000019829</v>
      </c>
      <c r="P126" s="13">
        <f t="shared" si="87"/>
        <v>0.24126147010950588</v>
      </c>
      <c r="Q126" s="20">
        <f t="shared" si="107"/>
        <v>1.2574858937744013</v>
      </c>
      <c r="R126" s="59">
        <f t="shared" si="55"/>
        <v>294.59081922710772</v>
      </c>
      <c r="S126" s="59">
        <f ca="1">AVERAGE(OFFSET($R$3,0,0,'Données projet'!$E$9+1,1))-AVERAGE(OFFSET($H$3,0,0,'Données projet'!$E$9+1,1))</f>
        <v>350.01600895263641</v>
      </c>
      <c r="T126" s="59">
        <f t="shared" si="88"/>
        <v>464.08921044376882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96.702841175050722</v>
      </c>
      <c r="AA126" s="21">
        <f>EXP(-LN(2)/25)*AA125+(1-EXP(-LN(2)/25))/(LN(2)/25)*Calculateur!V126*Calculateur!X126*VLOOKUP('Données projet'!$B$9,Paramètres!$A$1:$I$89,3,0)*0.475*44/12</f>
        <v>3.8377112000878459</v>
      </c>
      <c r="AB126" s="21">
        <f>EXP(-LN(2)/2)*AB125+(1-EXP(-LN(2)/2))/(LN(2)/2)*V126*Y126*VLOOKUP('Données projet'!$B$9,Paramètres!$A$1:$I$89,3,0)*0.475*44/12</f>
        <v>7.435159313323714E-15</v>
      </c>
      <c r="AC126" s="22">
        <f t="shared" si="57"/>
        <v>100.54055237513859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227.99999999999994</v>
      </c>
      <c r="AJ126" s="13">
        <f>AI126*VLOOKUP('Données projet'!$B$10,Paramètres!$A$1:$I$89,3,0)*VLOOKUP('Données projet'!$B$10,Paramètres!$A$1:$I$89,5,0)</f>
        <v>199.18079999999998</v>
      </c>
      <c r="AK126" s="13">
        <f t="shared" si="89"/>
        <v>49.564089376413683</v>
      </c>
      <c r="AL126" s="20">
        <f t="shared" si="58"/>
        <v>433.23068233058711</v>
      </c>
      <c r="AM126" s="59">
        <f t="shared" si="59"/>
        <v>726.56401566392037</v>
      </c>
      <c r="AN126" s="59">
        <f ca="1">AVERAGE(OFFSET($AM$3,0,0,'Données projet'!$E$10+1,1))-AVERAGE(OFFSET($H$3,0,0,'Données projet'!$E$10+1,1))</f>
        <v>242.48830542479988</v>
      </c>
      <c r="AO126" s="59">
        <f t="shared" si="90"/>
        <v>226.11219631227061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31.523675392748711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31.523675392748711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7.4200000000000017</v>
      </c>
      <c r="BD126" s="12">
        <f>IF('Données projet'!$A$88&gt;35,BD125+BC126-BL125,IF(A126&lt;'Données projet'!$A$88,$BA$205^A126,IF(A126='Données projet'!$A$88,'Données projet'!$B$88,BD125+BC126-BL125)))</f>
        <v>389.76999999999992</v>
      </c>
      <c r="BE126" s="13">
        <f>BD126*VLOOKUP('Données projet'!$B$11,Paramètres!$A$1:$I$89,3,0)*VLOOKUP('Données projet'!$B$11,Paramètres!$A$1:$I$89,5,0)</f>
        <v>395.22677999999996</v>
      </c>
      <c r="BF126" s="13">
        <f t="shared" si="91"/>
        <v>90.808293046125556</v>
      </c>
      <c r="BG126" s="20">
        <f t="shared" si="61"/>
        <v>846.51108555533528</v>
      </c>
      <c r="BH126" s="59">
        <f t="shared" si="62"/>
        <v>1139.8444188886685</v>
      </c>
      <c r="BI126" s="59">
        <f ca="1">AVERAGE(OFFSET($BH$3,0,0,'Données projet'!$E$11+1,1))-AVERAGE(OFFSET($H$3,0,0,'Données projet'!$E$11+1,1))</f>
        <v>402.5435069258703</v>
      </c>
      <c r="BJ126" s="59">
        <f t="shared" si="92"/>
        <v>163.60655195816349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85.923623767387312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85.923623767387312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7.4200000000000017</v>
      </c>
      <c r="BY126" s="12">
        <f>IF('Données projet'!$A$114&gt;35,BY125+BX126-CG125,IF(A126&lt;'Données projet'!$A$114,$BV$205^A126,IF(A126='Données projet'!$A$114,'Données projet'!$B$114,BY125+BX126-CG125)))</f>
        <v>389.76999999999992</v>
      </c>
      <c r="BZ126" s="13">
        <f>BY126*VLOOKUP('Données projet'!$B$12,Paramètres!$A$1:$I$89,3,0)*VLOOKUP('Données projet'!$B$12,Paramètres!$A$1:$I$89,5,0)</f>
        <v>352.66389599999991</v>
      </c>
      <c r="CA126" s="13">
        <f t="shared" si="93"/>
        <v>82.1107927973964</v>
      </c>
      <c r="CB126" s="20">
        <f t="shared" si="64"/>
        <v>757.23258298879853</v>
      </c>
      <c r="CC126" s="59">
        <f t="shared" si="65"/>
        <v>1050.5659163221319</v>
      </c>
      <c r="CD126" s="59">
        <f ca="1">AVERAGE(OFFSET($CC$3,0,0,'Données projet'!$E$12+1,1))-AVERAGE(OFFSET($H$3,0,0,'Données projet'!$E$12+1,1))</f>
        <v>350.91577977538822</v>
      </c>
      <c r="CE126" s="59">
        <f t="shared" si="94"/>
        <v>142.87103313412547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76.670310438591756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76.670310438591756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266.99999999999983</v>
      </c>
      <c r="CU126" s="17">
        <f>CT126*VLOOKUP('Données projet'!$B$13,Paramètres!$A$1:$I$89,3,0)*VLOOKUP('Données projet'!$B$13,Paramètres!$A$1:$I$89,5,0)</f>
        <v>216.59039999999987</v>
      </c>
      <c r="CV126" s="13">
        <f t="shared" si="95"/>
        <v>53.373153688190904</v>
      </c>
      <c r="CW126" s="20">
        <f t="shared" si="67"/>
        <v>470.18652267359886</v>
      </c>
      <c r="CX126" s="59">
        <f t="shared" si="68"/>
        <v>763.51985600693217</v>
      </c>
      <c r="CY126" s="59">
        <f ca="1">AVERAGE(OFFSET($CX$3,0,0,'Données projet'!$E$13+1,1))-AVERAGE(OFFSET($H$3,0,0,'Données projet'!$E$13+1,1))</f>
        <v>230.38929580146208</v>
      </c>
      <c r="CZ126" s="59">
        <f t="shared" si="96"/>
        <v>227.1847788696258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18.877901006399526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18.877901006399526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3.009999999999792</v>
      </c>
      <c r="DP126" s="17">
        <f>DO126*VLOOKUP('Données projet'!$B$14,Paramètres!$A$1:$I$89,3,0)*VLOOKUP('Données projet'!$B$14,Paramètres!$A$1:$I$89,5,0)</f>
        <v>1.7999799999998758</v>
      </c>
      <c r="DQ126" s="13">
        <f t="shared" si="97"/>
        <v>0.77465189310357685</v>
      </c>
      <c r="DR126" s="20">
        <f t="shared" si="70"/>
        <v>4.4841505471551795</v>
      </c>
      <c r="DS126" s="59">
        <f t="shared" si="71"/>
        <v>297.81748388048851</v>
      </c>
      <c r="DT126" s="59">
        <f ca="1">AVERAGE(OFFSET($DS$3,0,0,'Données projet'!$E$14+1,1))-AVERAGE(OFFSET($H$3,0,0,'Données projet'!$E$14+1,1))</f>
        <v>145.97103392561058</v>
      </c>
      <c r="DU126" s="59">
        <f t="shared" si="98"/>
        <v>62.920713953681172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123.79795505199058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123.79795505199058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0.8600000000003547</v>
      </c>
      <c r="O127" s="13">
        <f>N127*VLOOKUP('Données projet'!$B$9,Paramètres!$A$1:$I$89,3,0)*VLOOKUP('Données projet'!$B$9,Paramètres!$A$1:$I$89,5,0)</f>
        <v>0.48074000000019829</v>
      </c>
      <c r="P127" s="13">
        <f t="shared" si="87"/>
        <v>0.24126147010950588</v>
      </c>
      <c r="Q127" s="20">
        <f t="shared" si="107"/>
        <v>1.2574858937744013</v>
      </c>
      <c r="R127" s="59">
        <f t="shared" si="55"/>
        <v>294.59081922710772</v>
      </c>
      <c r="S127" s="59">
        <f ca="1">AVERAGE(OFFSET($R$3,0,0,'Données projet'!$E$9+1,1))-AVERAGE(OFFSET($H$3,0,0,'Données projet'!$E$9+1,1))</f>
        <v>350.01600895263641</v>
      </c>
      <c r="T127" s="59">
        <f t="shared" si="88"/>
        <v>464.08921044376882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94.806557442517018</v>
      </c>
      <c r="AA127" s="21">
        <f>EXP(-LN(2)/25)*AA126+(1-EXP(-LN(2)/25))/(LN(2)/25)*Calculateur!V127*Calculateur!X127*VLOOKUP('Données projet'!$B$9,Paramètres!$A$1:$I$89,3,0)*0.475*44/12</f>
        <v>3.7327687855049829</v>
      </c>
      <c r="AB127" s="21">
        <f>EXP(-LN(2)/2)*AB126+(1-EXP(-LN(2)/2))/(LN(2)/2)*V127*Y127*VLOOKUP('Données projet'!$B$9,Paramètres!$A$1:$I$89,3,0)*0.475*44/12</f>
        <v>5.2574515696535125E-15</v>
      </c>
      <c r="AC127" s="22">
        <f t="shared" si="57"/>
        <v>98.539326228022006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227.99999999999994</v>
      </c>
      <c r="AJ127" s="13">
        <f>AI127*VLOOKUP('Données projet'!$B$10,Paramètres!$A$1:$I$89,3,0)*VLOOKUP('Données projet'!$B$10,Paramètres!$A$1:$I$89,5,0)</f>
        <v>199.18079999999998</v>
      </c>
      <c r="AK127" s="13">
        <f t="shared" si="89"/>
        <v>49.564089376413683</v>
      </c>
      <c r="AL127" s="20">
        <f t="shared" si="58"/>
        <v>433.23068233058711</v>
      </c>
      <c r="AM127" s="59">
        <f t="shared" si="59"/>
        <v>726.56401566392037</v>
      </c>
      <c r="AN127" s="59">
        <f ca="1">AVERAGE(OFFSET($AM$3,0,0,'Données projet'!$E$10+1,1))-AVERAGE(OFFSET($H$3,0,0,'Données projet'!$E$10+1,1))</f>
        <v>242.48830542479988</v>
      </c>
      <c r="AO127" s="59">
        <f t="shared" si="90"/>
        <v>226.11219631227061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30.905515345840335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30.905515345840335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7.4200000000000017</v>
      </c>
      <c r="BD127" s="12">
        <f>IF('Données projet'!$A$88&gt;35,BD126+BC127-BL126,IF(A127&lt;'Données projet'!$A$88,$BA$205^A127,IF(A127='Données projet'!$A$88,'Données projet'!$B$88,BD126+BC127-BL126)))</f>
        <v>397.18999999999994</v>
      </c>
      <c r="BE127" s="13">
        <f>BD127*VLOOKUP('Données projet'!$B$11,Paramètres!$A$1:$I$89,3,0)*VLOOKUP('Données projet'!$B$11,Paramètres!$A$1:$I$89,5,0)</f>
        <v>402.75065999999998</v>
      </c>
      <c r="BF127" s="13">
        <f t="shared" si="91"/>
        <v>92.334096707338404</v>
      </c>
      <c r="BG127" s="20">
        <f t="shared" si="61"/>
        <v>862.27261793194759</v>
      </c>
      <c r="BH127" s="59">
        <f t="shared" si="62"/>
        <v>1155.605951265281</v>
      </c>
      <c r="BI127" s="59">
        <f ca="1">AVERAGE(OFFSET($BH$3,0,0,'Données projet'!$E$11+1,1))-AVERAGE(OFFSET($H$3,0,0,'Données projet'!$E$11+1,1))</f>
        <v>402.5435069258703</v>
      </c>
      <c r="BJ127" s="59">
        <f t="shared" si="92"/>
        <v>163.60655195816349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84.238713913544458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84.238713913544458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7.4200000000000017</v>
      </c>
      <c r="BY127" s="12">
        <f>IF('Données projet'!$A$114&gt;35,BY126+BX127-CG126,IF(A127&lt;'Données projet'!$A$114,$BV$205^A127,IF(A127='Données projet'!$A$114,'Données projet'!$B$114,BY126+BX127-CG126)))</f>
        <v>397.18999999999994</v>
      </c>
      <c r="BZ127" s="13">
        <f>BY127*VLOOKUP('Données projet'!$B$12,Paramètres!$A$1:$I$89,3,0)*VLOOKUP('Données projet'!$B$12,Paramètres!$A$1:$I$89,5,0)</f>
        <v>359.37751199999997</v>
      </c>
      <c r="CA127" s="13">
        <f t="shared" si="93"/>
        <v>83.49045696762505</v>
      </c>
      <c r="CB127" s="20">
        <f t="shared" si="64"/>
        <v>771.32837928528022</v>
      </c>
      <c r="CC127" s="59">
        <f t="shared" si="65"/>
        <v>1064.6617126186136</v>
      </c>
      <c r="CD127" s="59">
        <f ca="1">AVERAGE(OFFSET($CC$3,0,0,'Données projet'!$E$12+1,1))-AVERAGE(OFFSET($H$3,0,0,'Données projet'!$E$12+1,1))</f>
        <v>350.91577977538822</v>
      </c>
      <c r="CE127" s="59">
        <f t="shared" si="94"/>
        <v>142.87103313412547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75.166852415162751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75.166852415162751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266.99999999999983</v>
      </c>
      <c r="CU127" s="17">
        <f>CT127*VLOOKUP('Données projet'!$B$13,Paramètres!$A$1:$I$89,3,0)*VLOOKUP('Données projet'!$B$13,Paramètres!$A$1:$I$89,5,0)</f>
        <v>216.59039999999987</v>
      </c>
      <c r="CV127" s="13">
        <f t="shared" si="95"/>
        <v>53.373153688190904</v>
      </c>
      <c r="CW127" s="20">
        <f t="shared" si="67"/>
        <v>470.18652267359886</v>
      </c>
      <c r="CX127" s="59">
        <f t="shared" si="68"/>
        <v>763.51985600693217</v>
      </c>
      <c r="CY127" s="59">
        <f ca="1">AVERAGE(OFFSET($CX$3,0,0,'Données projet'!$E$13+1,1))-AVERAGE(OFFSET($H$3,0,0,'Données projet'!$E$13+1,1))</f>
        <v>230.38929580146208</v>
      </c>
      <c r="CZ127" s="59">
        <f t="shared" si="96"/>
        <v>227.1847788696258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18.507716882046694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18.507716882046694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3.009999999999792</v>
      </c>
      <c r="DP127" s="17">
        <f>DO127*VLOOKUP('Données projet'!$B$14,Paramètres!$A$1:$I$89,3,0)*VLOOKUP('Données projet'!$B$14,Paramètres!$A$1:$I$89,5,0)</f>
        <v>1.7999799999998758</v>
      </c>
      <c r="DQ127" s="13">
        <f t="shared" si="97"/>
        <v>0.77465189310357685</v>
      </c>
      <c r="DR127" s="20">
        <f t="shared" si="70"/>
        <v>4.4841505471551795</v>
      </c>
      <c r="DS127" s="59">
        <f t="shared" si="71"/>
        <v>297.81748388048851</v>
      </c>
      <c r="DT127" s="59">
        <f ca="1">AVERAGE(OFFSET($DS$3,0,0,'Données projet'!$E$14+1,1))-AVERAGE(OFFSET($H$3,0,0,'Données projet'!$E$14+1,1))</f>
        <v>145.97103392561058</v>
      </c>
      <c r="DU127" s="59">
        <f t="shared" si="98"/>
        <v>62.920713953681172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121.37035266271771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121.37035266271771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0.8600000000003547</v>
      </c>
      <c r="O128" s="13">
        <f>N128*VLOOKUP('Données projet'!$B$9,Paramètres!$A$1:$I$89,3,0)*VLOOKUP('Données projet'!$B$9,Paramètres!$A$1:$I$89,5,0)</f>
        <v>0.48074000000019829</v>
      </c>
      <c r="P128" s="13">
        <f t="shared" si="87"/>
        <v>0.24126147010950588</v>
      </c>
      <c r="Q128" s="20">
        <f t="shared" si="107"/>
        <v>1.2574858937744013</v>
      </c>
      <c r="R128" s="59">
        <f t="shared" si="55"/>
        <v>294.59081922710772</v>
      </c>
      <c r="S128" s="59">
        <f ca="1">AVERAGE(OFFSET($R$3,0,0,'Données projet'!$E$9+1,1))-AVERAGE(OFFSET($H$3,0,0,'Données projet'!$E$9+1,1))</f>
        <v>350.01600895263641</v>
      </c>
      <c r="T128" s="59">
        <f t="shared" si="88"/>
        <v>464.08921044376882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92.947458677359421</v>
      </c>
      <c r="AA128" s="21">
        <f>EXP(-LN(2)/25)*AA127+(1-EXP(-LN(2)/25))/(LN(2)/25)*Calculateur!V128*Calculateur!X128*VLOOKUP('Données projet'!$B$9,Paramètres!$A$1:$I$89,3,0)*0.475*44/12</f>
        <v>3.6306960267675703</v>
      </c>
      <c r="AB128" s="21">
        <f>EXP(-LN(2)/2)*AB127+(1-EXP(-LN(2)/2))/(LN(2)/2)*V128*Y128*VLOOKUP('Données projet'!$B$9,Paramètres!$A$1:$I$89,3,0)*0.475*44/12</f>
        <v>3.717579656661857E-15</v>
      </c>
      <c r="AC128" s="22">
        <f t="shared" si="57"/>
        <v>96.578154704126987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227.99999999999994</v>
      </c>
      <c r="AJ128" s="13">
        <f>AI128*VLOOKUP('Données projet'!$B$10,Paramètres!$A$1:$I$89,3,0)*VLOOKUP('Données projet'!$B$10,Paramètres!$A$1:$I$89,5,0)</f>
        <v>199.18079999999998</v>
      </c>
      <c r="AK128" s="13">
        <f t="shared" si="89"/>
        <v>49.564089376413683</v>
      </c>
      <c r="AL128" s="20">
        <f t="shared" si="58"/>
        <v>433.23068233058711</v>
      </c>
      <c r="AM128" s="59">
        <f t="shared" si="59"/>
        <v>726.56401566392037</v>
      </c>
      <c r="AN128" s="59">
        <f ca="1">AVERAGE(OFFSET($AM$3,0,0,'Données projet'!$E$10+1,1))-AVERAGE(OFFSET($H$3,0,0,'Données projet'!$E$10+1,1))</f>
        <v>242.48830542479988</v>
      </c>
      <c r="AO128" s="59">
        <f t="shared" si="90"/>
        <v>226.11219631227061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30.299477040411436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30.299477040411436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404.61</v>
      </c>
      <c r="BB128" s="12">
        <f>VLOOKUP(A128,'Données projet'!$A$87:$I$107,9,0)</f>
        <v>7.4200000000000017</v>
      </c>
      <c r="BC128" s="12">
        <f t="array" ref="BC128">INDEX(BB:BB,MIN(IF(ISNUMBER(BB128:BB324),ROW(BB128:BB324),"")))</f>
        <v>7.4200000000000017</v>
      </c>
      <c r="BD128" s="12">
        <f>IF('Données projet'!$A$88&gt;35,BD127+BC128-BL127,IF(A128&lt;'Données projet'!$A$88,$BA$205^A128,IF(A128='Données projet'!$A$88,'Données projet'!$B$88,BD127+BC128-BL127)))</f>
        <v>404.60999999999996</v>
      </c>
      <c r="BE128" s="13">
        <f>BD128*VLOOKUP('Données projet'!$B$11,Paramètres!$A$1:$I$89,3,0)*VLOOKUP('Données projet'!$B$11,Paramètres!$A$1:$I$89,5,0)</f>
        <v>410.27453999999994</v>
      </c>
      <c r="BF128" s="13">
        <f t="shared" si="91"/>
        <v>93.856585915764001</v>
      </c>
      <c r="BG128" s="20">
        <f t="shared" si="61"/>
        <v>878.02837763662217</v>
      </c>
      <c r="BH128" s="59">
        <f t="shared" si="62"/>
        <v>1171.3617109699555</v>
      </c>
      <c r="BI128" s="59">
        <f ca="1">AVERAGE(OFFSET($BH$3,0,0,'Données projet'!$E$11+1,1))-AVERAGE(OFFSET($H$3,0,0,'Données projet'!$E$11+1,1))</f>
        <v>402.5435069258703</v>
      </c>
      <c r="BJ128" s="59">
        <f t="shared" si="92"/>
        <v>163.60655195816349</v>
      </c>
      <c r="BK128" s="15">
        <f>IF(ISNA(VLOOKUP(A128,'Données projet'!$A$87:$I$107,3,0)),0,VLOOKUP(A128,'Données projet'!$A$87:$I$107,3,0))</f>
        <v>10</v>
      </c>
      <c r="BL128" s="15">
        <f>IF(ISNA(VLOOKUP(A128,'Données projet'!$A$87:$I$107,4,0)),0,VLOOKUP(A128,'Données projet'!$A$87:$I$107,4,0))</f>
        <v>61.5</v>
      </c>
      <c r="BM128" s="16">
        <f>IF(ISNA(VLOOKUP(A128,'Données projet'!$A$87:$I$107,5,0)),0%,VLOOKUP(A128,'Données projet'!$A$87:$I$107,5,0)*VLOOKUP('Données projet'!$B$11,Paramètres!$A$1:$I$89,7,0))</f>
        <v>0.43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112.23028659960528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112.23028659960528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>
        <f>VLOOKUP(A128,'Données projet'!$A$113:$I$133,2,0)</f>
        <v>404.61</v>
      </c>
      <c r="BW128" s="12">
        <f>VLOOKUP(A128,'Données projet'!$A$113:$I$133,9,0)</f>
        <v>7.4200000000000017</v>
      </c>
      <c r="BX128" s="12">
        <f t="array" ref="BX128">INDEX(BW:BW,MIN(IF(ISNUMBER(BW128:BW324),ROW(BW128:BW324),"")))</f>
        <v>7.4200000000000017</v>
      </c>
      <c r="BY128" s="12">
        <f>IF('Données projet'!$A$114&gt;35,BY127+BX128-CG127,IF(A128&lt;'Données projet'!$A$114,$BV$205^A128,IF(A128='Données projet'!$A$114,'Données projet'!$B$114,BY127+BX128-CG127)))</f>
        <v>404.60999999999996</v>
      </c>
      <c r="BZ128" s="13">
        <f>BY128*VLOOKUP('Données projet'!$B$12,Paramètres!$A$1:$I$89,3,0)*VLOOKUP('Données projet'!$B$12,Paramètres!$A$1:$I$89,5,0)</f>
        <v>366.09112799999997</v>
      </c>
      <c r="CA128" s="13">
        <f t="shared" si="93"/>
        <v>84.867124139045259</v>
      </c>
      <c r="CB128" s="20">
        <f t="shared" si="64"/>
        <v>785.41895580883693</v>
      </c>
      <c r="CC128" s="59">
        <f t="shared" si="65"/>
        <v>1078.7522891421702</v>
      </c>
      <c r="CD128" s="59">
        <f ca="1">AVERAGE(OFFSET($CC$3,0,0,'Données projet'!$E$12+1,1))-AVERAGE(OFFSET($H$3,0,0,'Données projet'!$E$12+1,1))</f>
        <v>350.91577977538822</v>
      </c>
      <c r="CE128" s="59">
        <f t="shared" si="94"/>
        <v>142.87103313412547</v>
      </c>
      <c r="CF128" s="15">
        <f>IF(ISNA(VLOOKUP(A128,'Données projet'!$A$113:$I$133,3,0)),0,VLOOKUP(A128,'Données projet'!$A$113:$I$133,3,0))</f>
        <v>10</v>
      </c>
      <c r="CG128" s="15">
        <f>IF(ISNA(VLOOKUP(A128,'Données projet'!$A$113:$I$133,4,0)),0,VLOOKUP(A128,'Données projet'!$A$113:$I$133,4,0))</f>
        <v>61.5</v>
      </c>
      <c r="CH128" s="16">
        <f>IF(ISNA(VLOOKUP(A128,'Données projet'!$A$113:$I$133,5,0)),0%,VLOOKUP(A128,'Données projet'!$A$113:$I$133,5,0)*VLOOKUP('Données projet'!$B$12,Paramètres!$A$1:$I$89,7,0))</f>
        <v>0.43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100.1439480427247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100.1439480427247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266.99999999999983</v>
      </c>
      <c r="CU128" s="17">
        <f>CT128*VLOOKUP('Données projet'!$B$13,Paramètres!$A$1:$I$89,3,0)*VLOOKUP('Données projet'!$B$13,Paramètres!$A$1:$I$89,5,0)</f>
        <v>216.59039999999987</v>
      </c>
      <c r="CV128" s="13">
        <f t="shared" si="95"/>
        <v>53.373153688190904</v>
      </c>
      <c r="CW128" s="20">
        <f t="shared" si="67"/>
        <v>470.18652267359886</v>
      </c>
      <c r="CX128" s="59">
        <f t="shared" si="68"/>
        <v>763.51985600693217</v>
      </c>
      <c r="CY128" s="59">
        <f ca="1">AVERAGE(OFFSET($CX$3,0,0,'Données projet'!$E$13+1,1))-AVERAGE(OFFSET($H$3,0,0,'Données projet'!$E$13+1,1))</f>
        <v>230.38929580146208</v>
      </c>
      <c r="CZ128" s="59">
        <f t="shared" si="96"/>
        <v>227.1847788696258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18.1447918425824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18.1447918425824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3.009999999999792</v>
      </c>
      <c r="DP128" s="17">
        <f>DO128*VLOOKUP('Données projet'!$B$14,Paramètres!$A$1:$I$89,3,0)*VLOOKUP('Données projet'!$B$14,Paramètres!$A$1:$I$89,5,0)</f>
        <v>1.7999799999998758</v>
      </c>
      <c r="DQ128" s="13">
        <f t="shared" si="97"/>
        <v>0.77465189310357685</v>
      </c>
      <c r="DR128" s="20">
        <f t="shared" si="70"/>
        <v>4.4841505471551795</v>
      </c>
      <c r="DS128" s="59">
        <f t="shared" si="71"/>
        <v>297.81748388048851</v>
      </c>
      <c r="DT128" s="59">
        <f ca="1">AVERAGE(OFFSET($DS$3,0,0,'Données projet'!$E$14+1,1))-AVERAGE(OFFSET($H$3,0,0,'Données projet'!$E$14+1,1))</f>
        <v>145.97103392561058</v>
      </c>
      <c r="DU128" s="59">
        <f t="shared" si="98"/>
        <v>62.920713953681172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118.99035407560721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118.99035407560721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0.8600000000003547</v>
      </c>
      <c r="O129" s="13">
        <f>N129*VLOOKUP('Données projet'!$B$9,Paramètres!$A$1:$I$89,3,0)*VLOOKUP('Données projet'!$B$9,Paramètres!$A$1:$I$89,5,0)</f>
        <v>0.48074000000019829</v>
      </c>
      <c r="P129" s="13">
        <f t="shared" si="87"/>
        <v>0.24126147010950588</v>
      </c>
      <c r="Q129" s="20">
        <f t="shared" si="107"/>
        <v>1.2574858937744013</v>
      </c>
      <c r="R129" s="59">
        <f t="shared" si="55"/>
        <v>294.59081922710772</v>
      </c>
      <c r="S129" s="59">
        <f ca="1">AVERAGE(OFFSET($R$3,0,0,'Données projet'!$E$9+1,1))-AVERAGE(OFFSET($H$3,0,0,'Données projet'!$E$9+1,1))</f>
        <v>350.01600895263641</v>
      </c>
      <c r="T129" s="59">
        <f t="shared" si="88"/>
        <v>464.08921044376882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91.124815705048292</v>
      </c>
      <c r="AA129" s="21">
        <f>EXP(-LN(2)/25)*AA128+(1-EXP(-LN(2)/25))/(LN(2)/25)*Calculateur!V129*Calculateur!X129*VLOOKUP('Données projet'!$B$9,Paramètres!$A$1:$I$89,3,0)*0.475*44/12</f>
        <v>3.5314144529856053</v>
      </c>
      <c r="AB129" s="21">
        <f>EXP(-LN(2)/2)*AB128+(1-EXP(-LN(2)/2))/(LN(2)/2)*V129*Y129*VLOOKUP('Données projet'!$B$9,Paramètres!$A$1:$I$89,3,0)*0.475*44/12</f>
        <v>2.6287257848267563E-15</v>
      </c>
      <c r="AC129" s="22">
        <f t="shared" si="57"/>
        <v>94.656230158033893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227.99999999999994</v>
      </c>
      <c r="AJ129" s="13">
        <f>AI129*VLOOKUP('Données projet'!$B$10,Paramètres!$A$1:$I$89,3,0)*VLOOKUP('Données projet'!$B$10,Paramètres!$A$1:$I$89,5,0)</f>
        <v>199.18079999999998</v>
      </c>
      <c r="AK129" s="13">
        <f t="shared" si="89"/>
        <v>49.564089376413683</v>
      </c>
      <c r="AL129" s="20">
        <f t="shared" si="58"/>
        <v>433.23068233058711</v>
      </c>
      <c r="AM129" s="59">
        <f t="shared" si="59"/>
        <v>726.56401566392037</v>
      </c>
      <c r="AN129" s="59">
        <f ca="1">AVERAGE(OFFSET($AM$3,0,0,'Données projet'!$E$10+1,1))-AVERAGE(OFFSET($H$3,0,0,'Données projet'!$E$10+1,1))</f>
        <v>242.48830542479988</v>
      </c>
      <c r="AO129" s="59">
        <f t="shared" si="90"/>
        <v>226.11219631227061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29.705322776505128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29.705322776505128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7.0766666666666636</v>
      </c>
      <c r="BD129" s="12">
        <f>IF('Données projet'!$A$88&gt;35,BD128+BC129-BL128,IF(A129&lt;'Données projet'!$A$88,$BA$205^A129,IF(A129='Données projet'!$A$88,'Données projet'!$B$88,BD128+BC129-BL128)))</f>
        <v>350.18666666666661</v>
      </c>
      <c r="BE129" s="13">
        <f>BD129*VLOOKUP('Données projet'!$B$11,Paramètres!$A$1:$I$89,3,0)*VLOOKUP('Données projet'!$B$11,Paramètres!$A$1:$I$89,5,0)</f>
        <v>355.08927999999997</v>
      </c>
      <c r="BF129" s="13">
        <f t="shared" si="91"/>
        <v>82.609564765812479</v>
      </c>
      <c r="BG129" s="20">
        <f t="shared" si="61"/>
        <v>762.32548796712342</v>
      </c>
      <c r="BH129" s="59">
        <f t="shared" si="62"/>
        <v>1055.6588213004568</v>
      </c>
      <c r="BI129" s="59">
        <f ca="1">AVERAGE(OFFSET($BH$3,0,0,'Données projet'!$E$11+1,1))-AVERAGE(OFFSET($H$3,0,0,'Données projet'!$E$11+1,1))</f>
        <v>402.5435069258703</v>
      </c>
      <c r="BJ129" s="59">
        <f t="shared" si="92"/>
        <v>163.60655195816349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110.0295191331026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110.0295191331026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7.0766666666666636</v>
      </c>
      <c r="BY129" s="12">
        <f>IF('Données projet'!$A$114&gt;35,BY128+BX129-CG128,IF(A129&lt;'Données projet'!$A$114,$BV$205^A129,IF(A129='Données projet'!$A$114,'Données projet'!$B$114,BY128+BX129-CG128)))</f>
        <v>350.18666666666661</v>
      </c>
      <c r="BZ129" s="13">
        <f>BY129*VLOOKUP('Données projet'!$B$12,Paramètres!$A$1:$I$89,3,0)*VLOOKUP('Données projet'!$B$12,Paramètres!$A$1:$I$89,5,0)</f>
        <v>316.84889599999997</v>
      </c>
      <c r="CA129" s="13">
        <f t="shared" si="93"/>
        <v>74.697328052662215</v>
      </c>
      <c r="CB129" s="20">
        <f t="shared" si="64"/>
        <v>681.94300689171985</v>
      </c>
      <c r="CC129" s="59">
        <f t="shared" si="65"/>
        <v>975.27634022505322</v>
      </c>
      <c r="CD129" s="59">
        <f ca="1">AVERAGE(OFFSET($CC$3,0,0,'Données projet'!$E$12+1,1))-AVERAGE(OFFSET($H$3,0,0,'Données projet'!$E$12+1,1))</f>
        <v>350.91577977538822</v>
      </c>
      <c r="CE129" s="59">
        <f t="shared" si="94"/>
        <v>142.87103313412547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98.180186303383849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98.180186303383849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266.99999999999983</v>
      </c>
      <c r="CU129" s="17">
        <f>CT129*VLOOKUP('Données projet'!$B$13,Paramètres!$A$1:$I$89,3,0)*VLOOKUP('Données projet'!$B$13,Paramètres!$A$1:$I$89,5,0)</f>
        <v>216.59039999999987</v>
      </c>
      <c r="CV129" s="13">
        <f t="shared" si="95"/>
        <v>53.373153688190904</v>
      </c>
      <c r="CW129" s="20">
        <f t="shared" si="67"/>
        <v>470.18652267359886</v>
      </c>
      <c r="CX129" s="59">
        <f t="shared" si="68"/>
        <v>763.51985600693217</v>
      </c>
      <c r="CY129" s="59">
        <f ca="1">AVERAGE(OFFSET($CX$3,0,0,'Données projet'!$E$13+1,1))-AVERAGE(OFFSET($H$3,0,0,'Données projet'!$E$13+1,1))</f>
        <v>230.38929580146208</v>
      </c>
      <c r="CZ129" s="59">
        <f t="shared" si="96"/>
        <v>227.1847788696258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17.788983541779587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17.788983541779587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3.009999999999792</v>
      </c>
      <c r="DP129" s="17">
        <f>DO129*VLOOKUP('Données projet'!$B$14,Paramètres!$A$1:$I$89,3,0)*VLOOKUP('Données projet'!$B$14,Paramètres!$A$1:$I$89,5,0)</f>
        <v>1.7999799999998758</v>
      </c>
      <c r="DQ129" s="13">
        <f t="shared" si="97"/>
        <v>0.77465189310357685</v>
      </c>
      <c r="DR129" s="20">
        <f t="shared" si="70"/>
        <v>4.4841505471551795</v>
      </c>
      <c r="DS129" s="59">
        <f t="shared" si="71"/>
        <v>297.81748388048851</v>
      </c>
      <c r="DT129" s="59">
        <f ca="1">AVERAGE(OFFSET($DS$3,0,0,'Données projet'!$E$14+1,1))-AVERAGE(OFFSET($H$3,0,0,'Données projet'!$E$14+1,1))</f>
        <v>145.97103392561058</v>
      </c>
      <c r="DU129" s="59">
        <f t="shared" si="98"/>
        <v>62.920713953681172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116.65702580913417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116.65702580913417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0.8600000000003547</v>
      </c>
      <c r="O130" s="13">
        <f>N130*VLOOKUP('Données projet'!$B$9,Paramètres!$A$1:$I$89,3,0)*VLOOKUP('Données projet'!$B$9,Paramètres!$A$1:$I$89,5,0)</f>
        <v>0.48074000000019829</v>
      </c>
      <c r="P130" s="13">
        <f t="shared" si="87"/>
        <v>0.24126147010950588</v>
      </c>
      <c r="Q130" s="20">
        <f t="shared" si="107"/>
        <v>1.2574858937744013</v>
      </c>
      <c r="R130" s="59">
        <f t="shared" si="55"/>
        <v>294.59081922710772</v>
      </c>
      <c r="S130" s="59">
        <f ca="1">AVERAGE(OFFSET($R$3,0,0,'Données projet'!$E$9+1,1))-AVERAGE(OFFSET($H$3,0,0,'Données projet'!$E$9+1,1))</f>
        <v>350.01600895263641</v>
      </c>
      <c r="T130" s="59">
        <f t="shared" si="88"/>
        <v>464.08921044376882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89.337913649721742</v>
      </c>
      <c r="AA130" s="21">
        <f>EXP(-LN(2)/25)*AA129+(1-EXP(-LN(2)/25))/(LN(2)/25)*Calculateur!V130*Calculateur!X130*VLOOKUP('Données projet'!$B$9,Paramètres!$A$1:$I$89,3,0)*0.475*44/12</f>
        <v>3.4348477390596992</v>
      </c>
      <c r="AB130" s="21">
        <f>EXP(-LN(2)/2)*AB129+(1-EXP(-LN(2)/2))/(LN(2)/2)*V130*Y130*VLOOKUP('Données projet'!$B$9,Paramètres!$A$1:$I$89,3,0)*0.475*44/12</f>
        <v>1.8587898283309285E-15</v>
      </c>
      <c r="AC130" s="22">
        <f t="shared" si="57"/>
        <v>92.772761388781447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227.99999999999994</v>
      </c>
      <c r="AJ130" s="13">
        <f>AI130*VLOOKUP('Données projet'!$B$10,Paramètres!$A$1:$I$89,3,0)*VLOOKUP('Données projet'!$B$10,Paramètres!$A$1:$I$89,5,0)</f>
        <v>199.18079999999998</v>
      </c>
      <c r="AK130" s="13">
        <f t="shared" si="89"/>
        <v>49.564089376413683</v>
      </c>
      <c r="AL130" s="20">
        <f t="shared" si="58"/>
        <v>433.23068233058711</v>
      </c>
      <c r="AM130" s="59">
        <f t="shared" si="59"/>
        <v>726.56401566392037</v>
      </c>
      <c r="AN130" s="59">
        <f ca="1">AVERAGE(OFFSET($AM$3,0,0,'Données projet'!$E$10+1,1))-AVERAGE(OFFSET($H$3,0,0,'Données projet'!$E$10+1,1))</f>
        <v>242.48830542479988</v>
      </c>
      <c r="AO130" s="59">
        <f t="shared" si="90"/>
        <v>226.11219631227061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29.122819515315708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29.122819515315708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7.0766666666666636</v>
      </c>
      <c r="BD130" s="12">
        <f>IF('Données projet'!$A$88&gt;35,BD129+BC130-BL129,IF(A130&lt;'Données projet'!$A$88,$BA$205^A130,IF(A130='Données projet'!$A$88,'Données projet'!$B$88,BD129+BC130-BL129)))</f>
        <v>357.26333333333326</v>
      </c>
      <c r="BE130" s="13">
        <f>BD130*VLOOKUP('Données projet'!$B$11,Paramètres!$A$1:$I$89,3,0)*VLOOKUP('Données projet'!$B$11,Paramètres!$A$1:$I$89,5,0)</f>
        <v>362.26501999999994</v>
      </c>
      <c r="BF130" s="13">
        <f t="shared" si="91"/>
        <v>84.082921443692101</v>
      </c>
      <c r="BG130" s="20">
        <f t="shared" si="61"/>
        <v>777.38933134776346</v>
      </c>
      <c r="BH130" s="59">
        <f t="shared" si="62"/>
        <v>1070.7226646810968</v>
      </c>
      <c r="BI130" s="59">
        <f ca="1">AVERAGE(OFFSET($BH$3,0,0,'Données projet'!$E$11+1,1))-AVERAGE(OFFSET($H$3,0,0,'Données projet'!$E$11+1,1))</f>
        <v>402.5435069258703</v>
      </c>
      <c r="BJ130" s="59">
        <f t="shared" si="92"/>
        <v>163.60655195816349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107.87190737428243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107.87190737428243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7.0766666666666636</v>
      </c>
      <c r="BY130" s="12">
        <f>IF('Données projet'!$A$114&gt;35,BY129+BX130-CG129,IF(A130&lt;'Données projet'!$A$114,$BV$205^A130,IF(A130='Données projet'!$A$114,'Données projet'!$B$114,BY129+BX130-CG129)))</f>
        <v>357.26333333333326</v>
      </c>
      <c r="BZ130" s="13">
        <f>BY130*VLOOKUP('Données projet'!$B$12,Paramètres!$A$1:$I$89,3,0)*VLOOKUP('Données projet'!$B$12,Paramètres!$A$1:$I$89,5,0)</f>
        <v>323.25186399999996</v>
      </c>
      <c r="CA130" s="13">
        <f t="shared" si="93"/>
        <v>76.029568543435275</v>
      </c>
      <c r="CB130" s="20">
        <f t="shared" si="64"/>
        <v>695.41516167981626</v>
      </c>
      <c r="CC130" s="59">
        <f t="shared" si="65"/>
        <v>988.74849501314952</v>
      </c>
      <c r="CD130" s="59">
        <f ca="1">AVERAGE(OFFSET($CC$3,0,0,'Données projet'!$E$12+1,1))-AVERAGE(OFFSET($H$3,0,0,'Données projet'!$E$12+1,1))</f>
        <v>350.91577977538822</v>
      </c>
      <c r="CE130" s="59">
        <f t="shared" si="94"/>
        <v>142.87103313412547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96.254932733975082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96.254932733975082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266.99999999999983</v>
      </c>
      <c r="CU130" s="17">
        <f>CT130*VLOOKUP('Données projet'!$B$13,Paramètres!$A$1:$I$89,3,0)*VLOOKUP('Données projet'!$B$13,Paramètres!$A$1:$I$89,5,0)</f>
        <v>216.59039999999987</v>
      </c>
      <c r="CV130" s="13">
        <f t="shared" si="95"/>
        <v>53.373153688190904</v>
      </c>
      <c r="CW130" s="20">
        <f t="shared" si="67"/>
        <v>470.18652267359886</v>
      </c>
      <c r="CX130" s="59">
        <f t="shared" si="68"/>
        <v>763.51985600693217</v>
      </c>
      <c r="CY130" s="59">
        <f ca="1">AVERAGE(OFFSET($CX$3,0,0,'Données projet'!$E$13+1,1))-AVERAGE(OFFSET($H$3,0,0,'Données projet'!$E$13+1,1))</f>
        <v>230.38929580146208</v>
      </c>
      <c r="CZ130" s="59">
        <f t="shared" si="96"/>
        <v>227.1847788696258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17.440152424733881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17.440152424733881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3.009999999999792</v>
      </c>
      <c r="DP130" s="17">
        <f>DO130*VLOOKUP('Données projet'!$B$14,Paramètres!$A$1:$I$89,3,0)*VLOOKUP('Données projet'!$B$14,Paramètres!$A$1:$I$89,5,0)</f>
        <v>1.7999799999998758</v>
      </c>
      <c r="DQ130" s="13">
        <f t="shared" si="97"/>
        <v>0.77465189310357685</v>
      </c>
      <c r="DR130" s="20">
        <f t="shared" si="70"/>
        <v>4.4841505471551795</v>
      </c>
      <c r="DS130" s="59">
        <f t="shared" si="71"/>
        <v>297.81748388048851</v>
      </c>
      <c r="DT130" s="59">
        <f ca="1">AVERAGE(OFFSET($DS$3,0,0,'Données projet'!$E$14+1,1))-AVERAGE(OFFSET($H$3,0,0,'Données projet'!$E$14+1,1))</f>
        <v>145.97103392561058</v>
      </c>
      <c r="DU130" s="59">
        <f t="shared" si="98"/>
        <v>62.920713953681172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114.36945268677694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114.36945268677694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0.8600000000003547</v>
      </c>
      <c r="O131" s="13">
        <f>N131*VLOOKUP('Données projet'!$B$9,Paramètres!$A$1:$I$89,3,0)*VLOOKUP('Données projet'!$B$9,Paramètres!$A$1:$I$89,5,0)</f>
        <v>0.48074000000019829</v>
      </c>
      <c r="P131" s="13">
        <f t="shared" si="87"/>
        <v>0.24126147010950588</v>
      </c>
      <c r="Q131" s="20">
        <f t="shared" ref="Q131:Q153" si="108">(O131+P131)*0.475*44/12</f>
        <v>1.2574858937744013</v>
      </c>
      <c r="R131" s="59">
        <f t="shared" ref="R131:R194" si="109">Q131+(I131+J131)*44/12</f>
        <v>294.59081922710772</v>
      </c>
      <c r="S131" s="59">
        <f ca="1">AVERAGE(OFFSET($R$3,0,0,'Données projet'!$E$9+1,1))-AVERAGE(OFFSET($H$3,0,0,'Données projet'!$E$9+1,1))</f>
        <v>350.01600895263641</v>
      </c>
      <c r="T131" s="59">
        <f t="shared" si="88"/>
        <v>464.08921044376882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87.586051653797512</v>
      </c>
      <c r="AA131" s="21">
        <f>EXP(-LN(2)/25)*AA130+(1-EXP(-LN(2)/25))/(LN(2)/25)*Calculateur!V131*Calculateur!X131*VLOOKUP('Données projet'!$B$9,Paramètres!$A$1:$I$89,3,0)*0.475*44/12</f>
        <v>3.3409216470043197</v>
      </c>
      <c r="AB131" s="21">
        <f>EXP(-LN(2)/2)*AB130+(1-EXP(-LN(2)/2))/(LN(2)/2)*V131*Y131*VLOOKUP('Données projet'!$B$9,Paramètres!$A$1:$I$89,3,0)*0.475*44/12</f>
        <v>1.3143628924133781E-15</v>
      </c>
      <c r="AC131" s="22">
        <f t="shared" si="57"/>
        <v>90.926973300801833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227.99999999999994</v>
      </c>
      <c r="AJ131" s="13">
        <f>AI131*VLOOKUP('Données projet'!$B$10,Paramètres!$A$1:$I$89,3,0)*VLOOKUP('Données projet'!$B$10,Paramètres!$A$1:$I$89,5,0)</f>
        <v>199.18079999999998</v>
      </c>
      <c r="AK131" s="13">
        <f t="shared" si="89"/>
        <v>49.564089376413683</v>
      </c>
      <c r="AL131" s="20">
        <f t="shared" si="58"/>
        <v>433.23068233058711</v>
      </c>
      <c r="AM131" s="59">
        <f t="shared" si="59"/>
        <v>726.56401566392037</v>
      </c>
      <c r="AN131" s="59">
        <f ca="1">AVERAGE(OFFSET($AM$3,0,0,'Données projet'!$E$10+1,1))-AVERAGE(OFFSET($H$3,0,0,'Données projet'!$E$10+1,1))</f>
        <v>242.48830542479988</v>
      </c>
      <c r="AO131" s="59">
        <f t="shared" si="90"/>
        <v>226.11219631227061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28.551738787786306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28.551738787786306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7.0766666666666636</v>
      </c>
      <c r="BD131" s="12">
        <f>IF('Données projet'!$A$88&gt;35,BD130+BC131-BL130,IF(A131&lt;'Données projet'!$A$88,$BA$205^A131,IF(A131='Données projet'!$A$88,'Données projet'!$B$88,BD130+BC131-BL130)))</f>
        <v>364.33999999999992</v>
      </c>
      <c r="BE131" s="13">
        <f>BD131*VLOOKUP('Données projet'!$B$11,Paramètres!$A$1:$I$89,3,0)*VLOOKUP('Données projet'!$B$11,Paramètres!$A$1:$I$89,5,0)</f>
        <v>369.4407599999999</v>
      </c>
      <c r="BF131" s="13">
        <f t="shared" si="91"/>
        <v>85.552884756211199</v>
      </c>
      <c r="BG131" s="20">
        <f t="shared" si="61"/>
        <v>792.44726461706762</v>
      </c>
      <c r="BH131" s="59">
        <f t="shared" si="62"/>
        <v>1085.780597950401</v>
      </c>
      <c r="BI131" s="59">
        <f ca="1">AVERAGE(OFFSET($BH$3,0,0,'Données projet'!$E$11+1,1))-AVERAGE(OFFSET($H$3,0,0,'Données projet'!$E$11+1,1))</f>
        <v>402.5435069258703</v>
      </c>
      <c r="BJ131" s="59">
        <f t="shared" si="92"/>
        <v>163.60655195816349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105.7566050660395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105.7566050660395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7.0766666666666636</v>
      </c>
      <c r="BY131" s="12">
        <f>IF('Données projet'!$A$114&gt;35,BY130+BX131-CG130,IF(A131&lt;'Données projet'!$A$114,$BV$205^A131,IF(A131='Données projet'!$A$114,'Données projet'!$B$114,BY130+BX131-CG130)))</f>
        <v>364.33999999999992</v>
      </c>
      <c r="BZ131" s="13">
        <f>BY131*VLOOKUP('Données projet'!$B$12,Paramètres!$A$1:$I$89,3,0)*VLOOKUP('Données projet'!$B$12,Paramètres!$A$1:$I$89,5,0)</f>
        <v>329.65483199999989</v>
      </c>
      <c r="CA131" s="13">
        <f t="shared" si="93"/>
        <v>77.358740680970413</v>
      </c>
      <c r="CB131" s="20">
        <f t="shared" si="64"/>
        <v>708.88197241935666</v>
      </c>
      <c r="CC131" s="59">
        <f t="shared" si="65"/>
        <v>1002.21530575269</v>
      </c>
      <c r="CD131" s="59">
        <f ca="1">AVERAGE(OFFSET($CC$3,0,0,'Données projet'!$E$12+1,1))-AVERAGE(OFFSET($H$3,0,0,'Données projet'!$E$12+1,1))</f>
        <v>350.91577977538822</v>
      </c>
      <c r="CE131" s="59">
        <f t="shared" si="94"/>
        <v>142.87103313412547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94.367432212773693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94.367432212773693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266.99999999999983</v>
      </c>
      <c r="CU131" s="17">
        <f>CT131*VLOOKUP('Données projet'!$B$13,Paramètres!$A$1:$I$89,3,0)*VLOOKUP('Données projet'!$B$13,Paramètres!$A$1:$I$89,5,0)</f>
        <v>216.59039999999987</v>
      </c>
      <c r="CV131" s="13">
        <f t="shared" si="95"/>
        <v>53.373153688190904</v>
      </c>
      <c r="CW131" s="20">
        <f t="shared" si="67"/>
        <v>470.18652267359886</v>
      </c>
      <c r="CX131" s="59">
        <f t="shared" si="68"/>
        <v>763.51985600693217</v>
      </c>
      <c r="CY131" s="59">
        <f ca="1">AVERAGE(OFFSET($CX$3,0,0,'Données projet'!$E$13+1,1))-AVERAGE(OFFSET($H$3,0,0,'Données projet'!$E$13+1,1))</f>
        <v>230.38929580146208</v>
      </c>
      <c r="CZ131" s="59">
        <f t="shared" si="96"/>
        <v>227.1847788696258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17.098161673127468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17.098161673127468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3.009999999999792</v>
      </c>
      <c r="DP131" s="17">
        <f>DO131*VLOOKUP('Données projet'!$B$14,Paramètres!$A$1:$I$89,3,0)*VLOOKUP('Données projet'!$B$14,Paramètres!$A$1:$I$89,5,0)</f>
        <v>1.7999799999998758</v>
      </c>
      <c r="DQ131" s="13">
        <f t="shared" si="97"/>
        <v>0.77465189310357685</v>
      </c>
      <c r="DR131" s="20">
        <f t="shared" si="70"/>
        <v>4.4841505471551795</v>
      </c>
      <c r="DS131" s="59">
        <f t="shared" si="71"/>
        <v>297.81748388048851</v>
      </c>
      <c r="DT131" s="59">
        <f ca="1">AVERAGE(OFFSET($DS$3,0,0,'Données projet'!$E$14+1,1))-AVERAGE(OFFSET($H$3,0,0,'Données projet'!$E$14+1,1))</f>
        <v>145.97103392561058</v>
      </c>
      <c r="DU131" s="59">
        <f t="shared" si="98"/>
        <v>62.920713953681172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112.1267374780673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112.1267374780673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0.8600000000003547</v>
      </c>
      <c r="O132" s="13">
        <f>N132*VLOOKUP('Données projet'!$B$9,Paramètres!$A$1:$I$89,3,0)*VLOOKUP('Données projet'!$B$9,Paramètres!$A$1:$I$89,5,0)</f>
        <v>0.48074000000019829</v>
      </c>
      <c r="P132" s="13">
        <f t="shared" si="87"/>
        <v>0.24126147010950588</v>
      </c>
      <c r="Q132" s="20">
        <f t="shared" si="108"/>
        <v>1.2574858937744013</v>
      </c>
      <c r="R132" s="59">
        <f t="shared" si="109"/>
        <v>294.59081922710772</v>
      </c>
      <c r="S132" s="59">
        <f ca="1">AVERAGE(OFFSET($R$3,0,0,'Données projet'!$E$9+1,1))-AVERAGE(OFFSET($H$3,0,0,'Données projet'!$E$9+1,1))</f>
        <v>350.01600895263641</v>
      </c>
      <c r="T132" s="59">
        <f t="shared" si="88"/>
        <v>464.08921044376882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85.868542603083043</v>
      </c>
      <c r="AA132" s="21">
        <f>EXP(-LN(2)/25)*AA131+(1-EXP(-LN(2)/25))/(LN(2)/25)*Calculateur!V132*Calculateur!X132*VLOOKUP('Données projet'!$B$9,Paramètres!$A$1:$I$89,3,0)*0.475*44/12</f>
        <v>3.2495639688755529</v>
      </c>
      <c r="AB132" s="21">
        <f>EXP(-LN(2)/2)*AB131+(1-EXP(-LN(2)/2))/(LN(2)/2)*V132*Y132*VLOOKUP('Données projet'!$B$9,Paramètres!$A$1:$I$89,3,0)*0.475*44/12</f>
        <v>9.2939491416546425E-16</v>
      </c>
      <c r="AC132" s="22">
        <f t="shared" ref="AC132:AC153" si="111">SUM(Z132:AB132)</f>
        <v>89.118106571958592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227.99999999999994</v>
      </c>
      <c r="AJ132" s="13">
        <f>AI132*VLOOKUP('Données projet'!$B$10,Paramètres!$A$1:$I$89,3,0)*VLOOKUP('Données projet'!$B$10,Paramètres!$A$1:$I$89,5,0)</f>
        <v>199.18079999999998</v>
      </c>
      <c r="AK132" s="13">
        <f t="shared" si="89"/>
        <v>49.564089376413683</v>
      </c>
      <c r="AL132" s="20">
        <f t="shared" ref="AL132:AL153" si="112">(AJ132+AK132)*0.475*44/12</f>
        <v>433.23068233058711</v>
      </c>
      <c r="AM132" s="59">
        <f t="shared" ref="AM132:AM195" si="113">AL132+(AD132+AE132)*44/12</f>
        <v>726.56401566392037</v>
      </c>
      <c r="AN132" s="59">
        <f ca="1">AVERAGE(OFFSET($AM$3,0,0,'Données projet'!$E$10+1,1))-AVERAGE(OFFSET($H$3,0,0,'Données projet'!$E$10+1,1))</f>
        <v>242.48830542479988</v>
      </c>
      <c r="AO132" s="59">
        <f t="shared" si="90"/>
        <v>226.11219631227061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27.991856604998905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27.991856604998905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7.0766666666666636</v>
      </c>
      <c r="BD132" s="12">
        <f>IF('Données projet'!$A$88&gt;35,BD131+BC132-BL131,IF(A132&lt;'Données projet'!$A$88,$BA$205^A132,IF(A132='Données projet'!$A$88,'Données projet'!$B$88,BD131+BC132-BL131)))</f>
        <v>371.41666666666657</v>
      </c>
      <c r="BE132" s="13">
        <f>BD132*VLOOKUP('Données projet'!$B$11,Paramètres!$A$1:$I$89,3,0)*VLOOKUP('Données projet'!$B$11,Paramètres!$A$1:$I$89,5,0)</f>
        <v>376.61649999999997</v>
      </c>
      <c r="BF132" s="13">
        <f t="shared" si="91"/>
        <v>87.019528211705165</v>
      </c>
      <c r="BG132" s="20">
        <f t="shared" ref="BG132:BG153" si="115">(BE132+BF132)*0.475*44/12</f>
        <v>807.49941580205314</v>
      </c>
      <c r="BH132" s="59">
        <f t="shared" ref="BH132:BH195" si="116">BG132+(AY132+AZ132)*44/12</f>
        <v>1100.8327491353864</v>
      </c>
      <c r="BI132" s="59">
        <f ca="1">AVERAGE(OFFSET($BH$3,0,0,'Données projet'!$E$11+1,1))-AVERAGE(OFFSET($H$3,0,0,'Données projet'!$E$11+1,1))</f>
        <v>402.5435069258703</v>
      </c>
      <c r="BJ132" s="59">
        <f t="shared" si="92"/>
        <v>163.60655195816349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103.6827825458542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103.6827825458542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7.0766666666666636</v>
      </c>
      <c r="BY132" s="12">
        <f>IF('Données projet'!$A$114&gt;35,BY131+BX132-CG131,IF(A132&lt;'Données projet'!$A$114,$BV$205^A132,IF(A132='Données projet'!$A$114,'Données projet'!$B$114,BY131+BX132-CG131)))</f>
        <v>371.41666666666657</v>
      </c>
      <c r="BZ132" s="13">
        <f>BY132*VLOOKUP('Données projet'!$B$12,Paramètres!$A$1:$I$89,3,0)*VLOOKUP('Données projet'!$B$12,Paramètres!$A$1:$I$89,5,0)</f>
        <v>336.05779999999993</v>
      </c>
      <c r="CA132" s="13">
        <f t="shared" si="93"/>
        <v>78.684910933070114</v>
      </c>
      <c r="CB132" s="20">
        <f t="shared" ref="CB132:CB153" si="118">(BZ132+CA132)*0.475*44/12</f>
        <v>722.34355487509686</v>
      </c>
      <c r="CC132" s="59">
        <f t="shared" ref="CC132:CC195" si="119">CB132+(BT132+BU132)*44/12</f>
        <v>1015.6768882084302</v>
      </c>
      <c r="CD132" s="59">
        <f ca="1">AVERAGE(OFFSET($CC$3,0,0,'Données projet'!$E$12+1,1))-AVERAGE(OFFSET($H$3,0,0,'Données projet'!$E$12+1,1))</f>
        <v>350.91577977538822</v>
      </c>
      <c r="CE132" s="59">
        <f t="shared" si="94"/>
        <v>142.87103313412547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92.51694442553142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92.51694442553142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266.99999999999983</v>
      </c>
      <c r="CU132" s="17">
        <f>CT132*VLOOKUP('Données projet'!$B$13,Paramètres!$A$1:$I$89,3,0)*VLOOKUP('Données projet'!$B$13,Paramètres!$A$1:$I$89,5,0)</f>
        <v>216.59039999999987</v>
      </c>
      <c r="CV132" s="13">
        <f t="shared" si="95"/>
        <v>53.373153688190904</v>
      </c>
      <c r="CW132" s="20">
        <f t="shared" ref="CW132:CW153" si="121">(CU132+CV132)*0.475*44/12</f>
        <v>470.18652267359886</v>
      </c>
      <c r="CX132" s="59">
        <f t="shared" ref="CX132:CX195" si="122">CW132+(CO132+CP132)*44/12</f>
        <v>763.51985600693217</v>
      </c>
      <c r="CY132" s="59">
        <f ca="1">AVERAGE(OFFSET($CX$3,0,0,'Données projet'!$E$13+1,1))-AVERAGE(OFFSET($H$3,0,0,'Données projet'!$E$13+1,1))</f>
        <v>230.38929580146208</v>
      </c>
      <c r="CZ132" s="59">
        <f t="shared" si="96"/>
        <v>227.1847788696258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16.762877151566297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16.762877151566297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3.009999999999792</v>
      </c>
      <c r="DP132" s="17">
        <f>DO132*VLOOKUP('Données projet'!$B$14,Paramètres!$A$1:$I$89,3,0)*VLOOKUP('Données projet'!$B$14,Paramètres!$A$1:$I$89,5,0)</f>
        <v>1.7999799999998758</v>
      </c>
      <c r="DQ132" s="13">
        <f t="shared" si="97"/>
        <v>0.77465189310357685</v>
      </c>
      <c r="DR132" s="20">
        <f t="shared" ref="DR132:DR153" si="124">(DP132+DQ132)*0.475*44/12</f>
        <v>4.4841505471551795</v>
      </c>
      <c r="DS132" s="59">
        <f t="shared" ref="DS132:DS195" si="125">DR132+(DJ132+DK132)*44/12</f>
        <v>297.81748388048851</v>
      </c>
      <c r="DT132" s="59">
        <f ca="1">AVERAGE(OFFSET($DS$3,0,0,'Données projet'!$E$14+1,1))-AVERAGE(OFFSET($H$3,0,0,'Données projet'!$E$14+1,1))</f>
        <v>145.97103392561058</v>
      </c>
      <c r="DU132" s="59">
        <f t="shared" si="98"/>
        <v>62.920713953681172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109.92800054667926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109.92800054667926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0.8600000000003547</v>
      </c>
      <c r="O133" s="13">
        <f>N133*VLOOKUP('Données projet'!$B$9,Paramètres!$A$1:$I$89,3,0)*VLOOKUP('Données projet'!$B$9,Paramètres!$A$1:$I$89,5,0)</f>
        <v>0.48074000000019829</v>
      </c>
      <c r="P133" s="13">
        <f t="shared" ref="P133:P196" si="141">EXP(-1.0587+0.8836*LN(O133)+0.284)</f>
        <v>0.24126147010950588</v>
      </c>
      <c r="Q133" s="20">
        <f t="shared" si="108"/>
        <v>1.2574858937744013</v>
      </c>
      <c r="R133" s="59">
        <f t="shared" si="109"/>
        <v>294.59081922710772</v>
      </c>
      <c r="S133" s="59">
        <f ca="1">AVERAGE(OFFSET($R$3,0,0,'Données projet'!$E$9+1,1))-AVERAGE(OFFSET($H$3,0,0,'Données projet'!$E$9+1,1))</f>
        <v>350.01600895263641</v>
      </c>
      <c r="T133" s="59">
        <f t="shared" ref="T133:T196" si="142">$T$3</f>
        <v>464.08921044376882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84.184712857276011</v>
      </c>
      <c r="AA133" s="21">
        <f>EXP(-LN(2)/25)*AA132+(1-EXP(-LN(2)/25))/(LN(2)/25)*Calculateur!V133*Calculateur!X133*VLOOKUP('Données projet'!$B$9,Paramètres!$A$1:$I$89,3,0)*0.475*44/12</f>
        <v>3.1607044712595087</v>
      </c>
      <c r="AB133" s="21">
        <f>EXP(-LN(2)/2)*AB132+(1-EXP(-LN(2)/2))/(LN(2)/2)*V133*Y133*VLOOKUP('Données projet'!$B$9,Paramètres!$A$1:$I$89,3,0)*0.475*44/12</f>
        <v>6.5718144620668907E-16</v>
      </c>
      <c r="AC133" s="22">
        <f t="shared" si="111"/>
        <v>87.345417328535518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227.99999999999994</v>
      </c>
      <c r="AJ133" s="13">
        <f>AI133*VLOOKUP('Données projet'!$B$10,Paramètres!$A$1:$I$89,3,0)*VLOOKUP('Données projet'!$B$10,Paramètres!$A$1:$I$89,5,0)</f>
        <v>199.18079999999998</v>
      </c>
      <c r="AK133" s="13">
        <f t="shared" ref="AK133:AK153" si="143">EXP(-1.0587+0.8836*LN(AJ133)+0.284)</f>
        <v>49.564089376413683</v>
      </c>
      <c r="AL133" s="20">
        <f t="shared" si="112"/>
        <v>433.23068233058711</v>
      </c>
      <c r="AM133" s="59">
        <f t="shared" si="113"/>
        <v>726.56401566392037</v>
      </c>
      <c r="AN133" s="59">
        <f ca="1">AVERAGE(OFFSET($AM$3,0,0,'Données projet'!$E$10+1,1))-AVERAGE(OFFSET($H$3,0,0,'Données projet'!$E$10+1,1))</f>
        <v>242.48830542479988</v>
      </c>
      <c r="AO133" s="59">
        <f t="shared" ref="AO133:AO196" si="144">$AO$3</f>
        <v>226.11219631227061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27.44295337032155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27.44295337032155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7.0766666666666636</v>
      </c>
      <c r="BD133" s="12">
        <f>IF('Données projet'!$A$88&gt;35,BD132+BC133-BL132,IF(A133&lt;'Données projet'!$A$88,$BA$205^A133,IF(A133='Données projet'!$A$88,'Données projet'!$B$88,BD132+BC133-BL132)))</f>
        <v>378.49333333333323</v>
      </c>
      <c r="BE133" s="13">
        <f>BD133*VLOOKUP('Données projet'!$B$11,Paramètres!$A$1:$I$89,3,0)*VLOOKUP('Données projet'!$B$11,Paramètres!$A$1:$I$89,5,0)</f>
        <v>383.79223999999994</v>
      </c>
      <c r="BF133" s="13">
        <f t="shared" ref="BF133:BF153" si="145">EXP(-1.0587+0.8836*LN(BE133)+0.284)</f>
        <v>88.482922357096811</v>
      </c>
      <c r="BG133" s="20">
        <f t="shared" si="115"/>
        <v>822.54590777194346</v>
      </c>
      <c r="BH133" s="59">
        <f t="shared" si="116"/>
        <v>1115.8792411052768</v>
      </c>
      <c r="BI133" s="59">
        <f ca="1">AVERAGE(OFFSET($BH$3,0,0,'Données projet'!$E$11+1,1))-AVERAGE(OFFSET($H$3,0,0,'Données projet'!$E$11+1,1))</f>
        <v>402.5435069258703</v>
      </c>
      <c r="BJ133" s="59">
        <f t="shared" ref="BJ133:BJ196" si="146">$BJ$3</f>
        <v>163.60655195816349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101.64962642038289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101.64962642038289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7.0766666666666636</v>
      </c>
      <c r="BY133" s="12">
        <f>IF('Données projet'!$A$114&gt;35,BY132+BX133-CG132,IF(A133&lt;'Données projet'!$A$114,$BV$205^A133,IF(A133='Données projet'!$A$114,'Données projet'!$B$114,BY132+BX133-CG132)))</f>
        <v>378.49333333333323</v>
      </c>
      <c r="BZ133" s="13">
        <f>BY133*VLOOKUP('Données projet'!$B$12,Paramètres!$A$1:$I$89,3,0)*VLOOKUP('Données projet'!$B$12,Paramètres!$A$1:$I$89,5,0)</f>
        <v>342.46076799999992</v>
      </c>
      <c r="CA133" s="13">
        <f t="shared" ref="CA133:CA153" si="147">EXP(-1.0587+0.8836*LN(BZ133)+0.284)</f>
        <v>80.008143089764673</v>
      </c>
      <c r="CB133" s="20">
        <f t="shared" si="118"/>
        <v>735.80002014800664</v>
      </c>
      <c r="CC133" s="59">
        <f t="shared" si="119"/>
        <v>1029.13335348134</v>
      </c>
      <c r="CD133" s="59">
        <f ca="1">AVERAGE(OFFSET($CC$3,0,0,'Données projet'!$E$12+1,1))-AVERAGE(OFFSET($H$3,0,0,'Données projet'!$E$12+1,1))</f>
        <v>350.91577977538822</v>
      </c>
      <c r="CE133" s="59">
        <f t="shared" ref="CE133:CE196" si="148">$CE$3</f>
        <v>142.87103313412547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90.702743575110873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90.702743575110873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266.99999999999983</v>
      </c>
      <c r="CU133" s="17">
        <f>CT133*VLOOKUP('Données projet'!$B$13,Paramètres!$A$1:$I$89,3,0)*VLOOKUP('Données projet'!$B$13,Paramètres!$A$1:$I$89,5,0)</f>
        <v>216.59039999999987</v>
      </c>
      <c r="CV133" s="13">
        <f t="shared" ref="CV133:CV153" si="149">EXP(-1.0587+0.8836*LN(CU133)+0.284)</f>
        <v>53.373153688190904</v>
      </c>
      <c r="CW133" s="20">
        <f t="shared" si="121"/>
        <v>470.18652267359886</v>
      </c>
      <c r="CX133" s="59">
        <f t="shared" si="122"/>
        <v>763.51985600693217</v>
      </c>
      <c r="CY133" s="59">
        <f ca="1">AVERAGE(OFFSET($CX$3,0,0,'Données projet'!$E$13+1,1))-AVERAGE(OFFSET($H$3,0,0,'Données projet'!$E$13+1,1))</f>
        <v>230.38929580146208</v>
      </c>
      <c r="CZ133" s="59">
        <f t="shared" ref="CZ133:CZ196" si="150">$CZ$3</f>
        <v>227.1847788696258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16.434167354969574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16.434167354969574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3.009999999999792</v>
      </c>
      <c r="DP133" s="17">
        <f>DO133*VLOOKUP('Données projet'!$B$14,Paramètres!$A$1:$I$89,3,0)*VLOOKUP('Données projet'!$B$14,Paramètres!$A$1:$I$89,5,0)</f>
        <v>1.7999799999998758</v>
      </c>
      <c r="DQ133" s="13">
        <f t="shared" ref="DQ133:DQ153" si="151">EXP(-1.0587+0.8836*LN(DP133)+0.284)</f>
        <v>0.77465189310357685</v>
      </c>
      <c r="DR133" s="20">
        <f t="shared" si="124"/>
        <v>4.4841505471551795</v>
      </c>
      <c r="DS133" s="59">
        <f t="shared" si="125"/>
        <v>297.81748388048851</v>
      </c>
      <c r="DT133" s="59">
        <f ca="1">AVERAGE(OFFSET($DS$3,0,0,'Données projet'!$E$14+1,1))-AVERAGE(OFFSET($H$3,0,0,'Données projet'!$E$14+1,1))</f>
        <v>145.97103392561058</v>
      </c>
      <c r="DU133" s="59">
        <f t="shared" ref="DU133:DU196" si="152">$DU$3</f>
        <v>62.920713953681172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107.77237950541863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107.77237950541863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0.8600000000003547</v>
      </c>
      <c r="O134" s="13">
        <f>N134*VLOOKUP('Données projet'!$B$9,Paramètres!$A$1:$I$89,3,0)*VLOOKUP('Données projet'!$B$9,Paramètres!$A$1:$I$89,5,0)</f>
        <v>0.48074000000019829</v>
      </c>
      <c r="P134" s="13">
        <f t="shared" si="141"/>
        <v>0.24126147010950588</v>
      </c>
      <c r="Q134" s="20">
        <f t="shared" si="108"/>
        <v>1.2574858937744013</v>
      </c>
      <c r="R134" s="59">
        <f t="shared" si="109"/>
        <v>294.59081922710772</v>
      </c>
      <c r="S134" s="59">
        <f ca="1">AVERAGE(OFFSET($R$3,0,0,'Données projet'!$E$9+1,1))-AVERAGE(OFFSET($H$3,0,0,'Données projet'!$E$9+1,1))</f>
        <v>350.01600895263641</v>
      </c>
      <c r="T134" s="59">
        <f t="shared" si="142"/>
        <v>464.08921044376882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82.533901985749523</v>
      </c>
      <c r="AA134" s="21">
        <f>EXP(-LN(2)/25)*AA133+(1-EXP(-LN(2)/25))/(LN(2)/25)*Calculateur!V134*Calculateur!X134*VLOOKUP('Données projet'!$B$9,Paramètres!$A$1:$I$89,3,0)*0.475*44/12</f>
        <v>3.0742748412786933</v>
      </c>
      <c r="AB134" s="21">
        <f>EXP(-LN(2)/2)*AB133+(1-EXP(-LN(2)/2))/(LN(2)/2)*V134*Y134*VLOOKUP('Données projet'!$B$9,Paramètres!$A$1:$I$89,3,0)*0.475*44/12</f>
        <v>4.6469745708273212E-16</v>
      </c>
      <c r="AC134" s="22">
        <f t="shared" si="111"/>
        <v>85.608176827028217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227.99999999999994</v>
      </c>
      <c r="AJ134" s="13">
        <f>AI134*VLOOKUP('Données projet'!$B$10,Paramètres!$A$1:$I$89,3,0)*VLOOKUP('Données projet'!$B$10,Paramètres!$A$1:$I$89,5,0)</f>
        <v>199.18079999999998</v>
      </c>
      <c r="AK134" s="13">
        <f t="shared" si="143"/>
        <v>49.564089376413683</v>
      </c>
      <c r="AL134" s="20">
        <f t="shared" si="112"/>
        <v>433.23068233058711</v>
      </c>
      <c r="AM134" s="59">
        <f t="shared" si="113"/>
        <v>726.56401566392037</v>
      </c>
      <c r="AN134" s="59">
        <f ca="1">AVERAGE(OFFSET($AM$3,0,0,'Données projet'!$E$10+1,1))-AVERAGE(OFFSET($H$3,0,0,'Données projet'!$E$10+1,1))</f>
        <v>242.48830542479988</v>
      </c>
      <c r="AO134" s="59">
        <f t="shared" si="144"/>
        <v>226.11219631227061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26.904813793278308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26.904813793278308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7.0766666666666636</v>
      </c>
      <c r="BD134" s="12">
        <f>IF('Données projet'!$A$88&gt;35,BD133+BC134-BL133,IF(A134&lt;'Données projet'!$A$88,$BA$205^A134,IF(A134='Données projet'!$A$88,'Données projet'!$B$88,BD133+BC134-BL133)))</f>
        <v>385.56999999999988</v>
      </c>
      <c r="BE134" s="13">
        <f>BD134*VLOOKUP('Données projet'!$B$11,Paramètres!$A$1:$I$89,3,0)*VLOOKUP('Données projet'!$B$11,Paramètres!$A$1:$I$89,5,0)</f>
        <v>390.9679799999999</v>
      </c>
      <c r="BF134" s="13">
        <f t="shared" si="145"/>
        <v>89.943134950301456</v>
      </c>
      <c r="BG134" s="20">
        <f t="shared" si="115"/>
        <v>837.58685853844145</v>
      </c>
      <c r="BH134" s="59">
        <f t="shared" si="116"/>
        <v>1130.9201918717747</v>
      </c>
      <c r="BI134" s="59">
        <f ca="1">AVERAGE(OFFSET($BH$3,0,0,'Données projet'!$E$11+1,1))-AVERAGE(OFFSET($H$3,0,0,'Données projet'!$E$11+1,1))</f>
        <v>402.5435069258703</v>
      </c>
      <c r="BJ134" s="59">
        <f t="shared" si="146"/>
        <v>163.60655195816349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99.656339246429283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99.656339246429283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7.0766666666666636</v>
      </c>
      <c r="BY134" s="12">
        <f>IF('Données projet'!$A$114&gt;35,BY133+BX134-CG133,IF(A134&lt;'Données projet'!$A$114,$BV$205^A134,IF(A134='Données projet'!$A$114,'Données projet'!$B$114,BY133+BX134-CG133)))</f>
        <v>385.56999999999988</v>
      </c>
      <c r="BZ134" s="13">
        <f>BY134*VLOOKUP('Données projet'!$B$12,Paramètres!$A$1:$I$89,3,0)*VLOOKUP('Données projet'!$B$12,Paramètres!$A$1:$I$89,5,0)</f>
        <v>348.86373599999985</v>
      </c>
      <c r="CA134" s="13">
        <f t="shared" si="147"/>
        <v>81.328498419204323</v>
      </c>
      <c r="CB134" s="20">
        <f t="shared" si="118"/>
        <v>749.2514749467806</v>
      </c>
      <c r="CC134" s="59">
        <f t="shared" si="119"/>
        <v>1042.584808280114</v>
      </c>
      <c r="CD134" s="59">
        <f ca="1">AVERAGE(OFFSET($CC$3,0,0,'Données projet'!$E$12+1,1))-AVERAGE(OFFSET($H$3,0,0,'Données projet'!$E$12+1,1))</f>
        <v>350.91577977538822</v>
      </c>
      <c r="CE134" s="59">
        <f t="shared" si="148"/>
        <v>142.87103313412547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88.924118096813814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88.924118096813814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266.99999999999983</v>
      </c>
      <c r="CU134" s="17">
        <f>CT134*VLOOKUP('Données projet'!$B$13,Paramètres!$A$1:$I$89,3,0)*VLOOKUP('Données projet'!$B$13,Paramètres!$A$1:$I$89,5,0)</f>
        <v>216.59039999999987</v>
      </c>
      <c r="CV134" s="13">
        <f t="shared" si="149"/>
        <v>53.373153688190904</v>
      </c>
      <c r="CW134" s="20">
        <f t="shared" si="121"/>
        <v>470.18652267359886</v>
      </c>
      <c r="CX134" s="59">
        <f t="shared" si="122"/>
        <v>763.51985600693217</v>
      </c>
      <c r="CY134" s="59">
        <f ca="1">AVERAGE(OFFSET($CX$3,0,0,'Données projet'!$E$13+1,1))-AVERAGE(OFFSET($H$3,0,0,'Données projet'!$E$13+1,1))</f>
        <v>230.38929580146208</v>
      </c>
      <c r="CZ134" s="59">
        <f t="shared" si="150"/>
        <v>227.1847788696258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16.111903356990933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16.111903356990933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3.009999999999792</v>
      </c>
      <c r="DP134" s="17">
        <f>DO134*VLOOKUP('Données projet'!$B$14,Paramètres!$A$1:$I$89,3,0)*VLOOKUP('Données projet'!$B$14,Paramètres!$A$1:$I$89,5,0)</f>
        <v>1.7999799999998758</v>
      </c>
      <c r="DQ134" s="13">
        <f t="shared" si="151"/>
        <v>0.77465189310357685</v>
      </c>
      <c r="DR134" s="20">
        <f t="shared" si="124"/>
        <v>4.4841505471551795</v>
      </c>
      <c r="DS134" s="59">
        <f t="shared" si="125"/>
        <v>297.81748388048851</v>
      </c>
      <c r="DT134" s="59">
        <f ca="1">AVERAGE(OFFSET($DS$3,0,0,'Données projet'!$E$14+1,1))-AVERAGE(OFFSET($H$3,0,0,'Données projet'!$E$14+1,1))</f>
        <v>145.97103392561058</v>
      </c>
      <c r="DU134" s="59">
        <f t="shared" si="152"/>
        <v>62.920713953681172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105.6590288779781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105.6590288779781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0.8600000000003547</v>
      </c>
      <c r="O135" s="13">
        <f>N135*VLOOKUP('Données projet'!$B$9,Paramètres!$A$1:$I$89,3,0)*VLOOKUP('Données projet'!$B$9,Paramètres!$A$1:$I$89,5,0)</f>
        <v>0.48074000000019829</v>
      </c>
      <c r="P135" s="13">
        <f t="shared" si="141"/>
        <v>0.24126147010950588</v>
      </c>
      <c r="Q135" s="20">
        <f t="shared" si="108"/>
        <v>1.2574858937744013</v>
      </c>
      <c r="R135" s="59">
        <f t="shared" si="109"/>
        <v>294.59081922710772</v>
      </c>
      <c r="S135" s="59">
        <f ca="1">AVERAGE(OFFSET($R$3,0,0,'Données projet'!$E$9+1,1))-AVERAGE(OFFSET($H$3,0,0,'Données projet'!$E$9+1,1))</f>
        <v>350.01600895263641</v>
      </c>
      <c r="T135" s="59">
        <f t="shared" si="142"/>
        <v>464.08921044376882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80.915462508518459</v>
      </c>
      <c r="AA135" s="21">
        <f>EXP(-LN(2)/25)*AA134+(1-EXP(-LN(2)/25))/(LN(2)/25)*Calculateur!V135*Calculateur!X135*VLOOKUP('Données projet'!$B$9,Paramètres!$A$1:$I$89,3,0)*0.475*44/12</f>
        <v>2.9902086340748397</v>
      </c>
      <c r="AB135" s="21">
        <f>EXP(-LN(2)/2)*AB134+(1-EXP(-LN(2)/2))/(LN(2)/2)*V135*Y135*VLOOKUP('Données projet'!$B$9,Paramètres!$A$1:$I$89,3,0)*0.475*44/12</f>
        <v>3.2859072310334453E-16</v>
      </c>
      <c r="AC135" s="22">
        <f t="shared" si="111"/>
        <v>83.905671142593292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227.99999999999994</v>
      </c>
      <c r="AJ135" s="13">
        <f>AI135*VLOOKUP('Données projet'!$B$10,Paramètres!$A$1:$I$89,3,0)*VLOOKUP('Données projet'!$B$10,Paramètres!$A$1:$I$89,5,0)</f>
        <v>199.18079999999998</v>
      </c>
      <c r="AK135" s="13">
        <f t="shared" si="143"/>
        <v>49.564089376413683</v>
      </c>
      <c r="AL135" s="20">
        <f t="shared" si="112"/>
        <v>433.23068233058711</v>
      </c>
      <c r="AM135" s="59">
        <f t="shared" si="113"/>
        <v>726.56401566392037</v>
      </c>
      <c r="AN135" s="59">
        <f ca="1">AVERAGE(OFFSET($AM$3,0,0,'Données projet'!$E$10+1,1))-AVERAGE(OFFSET($H$3,0,0,'Données projet'!$E$10+1,1))</f>
        <v>242.48830542479988</v>
      </c>
      <c r="AO135" s="59">
        <f t="shared" si="144"/>
        <v>226.11219631227061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26.377226805108151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26.377226805108151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7.0766666666666636</v>
      </c>
      <c r="BD135" s="12">
        <f>IF('Données projet'!$A$88&gt;35,BD134+BC135-BL134,IF(A135&lt;'Données projet'!$A$88,$BA$205^A135,IF(A135='Données projet'!$A$88,'Données projet'!$B$88,BD134+BC135-BL134)))</f>
        <v>392.64666666666653</v>
      </c>
      <c r="BE135" s="13">
        <f>BD135*VLOOKUP('Données projet'!$B$11,Paramètres!$A$1:$I$89,3,0)*VLOOKUP('Données projet'!$B$11,Paramètres!$A$1:$I$89,5,0)</f>
        <v>398.14371999999992</v>
      </c>
      <c r="BF135" s="13">
        <f t="shared" si="145"/>
        <v>91.400231119617558</v>
      </c>
      <c r="BG135" s="20">
        <f t="shared" si="115"/>
        <v>852.62238153333374</v>
      </c>
      <c r="BH135" s="59">
        <f t="shared" si="116"/>
        <v>1145.955714866667</v>
      </c>
      <c r="BI135" s="59">
        <f ca="1">AVERAGE(OFFSET($BH$3,0,0,'Données projet'!$E$11+1,1))-AVERAGE(OFFSET($H$3,0,0,'Données projet'!$E$11+1,1))</f>
        <v>402.5435069258703</v>
      </c>
      <c r="BJ135" s="59">
        <f t="shared" si="146"/>
        <v>163.60655195816349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97.702139218171794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97.702139218171794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7.0766666666666636</v>
      </c>
      <c r="BY135" s="12">
        <f>IF('Données projet'!$A$114&gt;35,BY134+BX135-CG134,IF(A135&lt;'Données projet'!$A$114,$BV$205^A135,IF(A135='Données projet'!$A$114,'Données projet'!$B$114,BY134+BX135-CG134)))</f>
        <v>392.64666666666653</v>
      </c>
      <c r="BZ135" s="13">
        <f>BY135*VLOOKUP('Données projet'!$B$12,Paramètres!$A$1:$I$89,3,0)*VLOOKUP('Données projet'!$B$12,Paramètres!$A$1:$I$89,5,0)</f>
        <v>355.26670399999983</v>
      </c>
      <c r="CA135" s="13">
        <f t="shared" si="147"/>
        <v>82.646035811783975</v>
      </c>
      <c r="CB135" s="20">
        <f t="shared" si="118"/>
        <v>762.69802183885679</v>
      </c>
      <c r="CC135" s="59">
        <f t="shared" si="119"/>
        <v>1056.0313551721902</v>
      </c>
      <c r="CD135" s="59">
        <f ca="1">AVERAGE(OFFSET($CC$3,0,0,'Données projet'!$E$12+1,1))-AVERAGE(OFFSET($H$3,0,0,'Données projet'!$E$12+1,1))</f>
        <v>350.91577977538822</v>
      </c>
      <c r="CE135" s="59">
        <f t="shared" si="148"/>
        <v>142.87103313412547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87.180370379291745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87.180370379291745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266.99999999999983</v>
      </c>
      <c r="CU135" s="17">
        <f>CT135*VLOOKUP('Données projet'!$B$13,Paramètres!$A$1:$I$89,3,0)*VLOOKUP('Données projet'!$B$13,Paramètres!$A$1:$I$89,5,0)</f>
        <v>216.59039999999987</v>
      </c>
      <c r="CV135" s="13">
        <f t="shared" si="149"/>
        <v>53.373153688190904</v>
      </c>
      <c r="CW135" s="20">
        <f t="shared" si="121"/>
        <v>470.18652267359886</v>
      </c>
      <c r="CX135" s="59">
        <f t="shared" si="122"/>
        <v>763.51985600693217</v>
      </c>
      <c r="CY135" s="59">
        <f ca="1">AVERAGE(OFFSET($CX$3,0,0,'Données projet'!$E$13+1,1))-AVERAGE(OFFSET($H$3,0,0,'Données projet'!$E$13+1,1))</f>
        <v>230.38929580146208</v>
      </c>
      <c r="CZ135" s="59">
        <f t="shared" si="150"/>
        <v>227.1847788696258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15.795958759451024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15.795958759451024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3.009999999999792</v>
      </c>
      <c r="DP135" s="17">
        <f>DO135*VLOOKUP('Données projet'!$B$14,Paramètres!$A$1:$I$89,3,0)*VLOOKUP('Données projet'!$B$14,Paramètres!$A$1:$I$89,5,0)</f>
        <v>1.7999799999998758</v>
      </c>
      <c r="DQ135" s="13">
        <f t="shared" si="151"/>
        <v>0.77465189310357685</v>
      </c>
      <c r="DR135" s="20">
        <f t="shared" si="124"/>
        <v>4.4841505471551795</v>
      </c>
      <c r="DS135" s="59">
        <f t="shared" si="125"/>
        <v>297.81748388048851</v>
      </c>
      <c r="DT135" s="59">
        <f ca="1">AVERAGE(OFFSET($DS$3,0,0,'Données projet'!$E$14+1,1))-AVERAGE(OFFSET($H$3,0,0,'Données projet'!$E$14+1,1))</f>
        <v>145.97103392561058</v>
      </c>
      <c r="DU135" s="59">
        <f t="shared" si="152"/>
        <v>62.920713953681172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103.58711976732509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103.58711976732509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0.8600000000003547</v>
      </c>
      <c r="O136" s="13">
        <f>N136*VLOOKUP('Données projet'!$B$9,Paramètres!$A$1:$I$89,3,0)*VLOOKUP('Données projet'!$B$9,Paramètres!$A$1:$I$89,5,0)</f>
        <v>0.48074000000019829</v>
      </c>
      <c r="P136" s="13">
        <f t="shared" si="141"/>
        <v>0.24126147010950588</v>
      </c>
      <c r="Q136" s="20">
        <f t="shared" si="108"/>
        <v>1.2574858937744013</v>
      </c>
      <c r="R136" s="59">
        <f t="shared" si="109"/>
        <v>294.59081922710772</v>
      </c>
      <c r="S136" s="59">
        <f ca="1">AVERAGE(OFFSET($R$3,0,0,'Données projet'!$E$9+1,1))-AVERAGE(OFFSET($H$3,0,0,'Données projet'!$E$9+1,1))</f>
        <v>350.01600895263641</v>
      </c>
      <c r="T136" s="59">
        <f t="shared" si="142"/>
        <v>464.08921044376882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79.328759642285277</v>
      </c>
      <c r="AA136" s="21">
        <f>EXP(-LN(2)/25)*AA135+(1-EXP(-LN(2)/25))/(LN(2)/25)*Calculateur!V136*Calculateur!X136*VLOOKUP('Données projet'!$B$9,Paramètres!$A$1:$I$89,3,0)*0.475*44/12</f>
        <v>2.9084412217278253</v>
      </c>
      <c r="AB136" s="21">
        <f>EXP(-LN(2)/2)*AB135+(1-EXP(-LN(2)/2))/(LN(2)/2)*V136*Y136*VLOOKUP('Données projet'!$B$9,Paramètres!$A$1:$I$89,3,0)*0.475*44/12</f>
        <v>2.3234872854136606E-16</v>
      </c>
      <c r="AC136" s="22">
        <f t="shared" si="111"/>
        <v>82.237200864013104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227.99999999999994</v>
      </c>
      <c r="AJ136" s="13">
        <f>AI136*VLOOKUP('Données projet'!$B$10,Paramètres!$A$1:$I$89,3,0)*VLOOKUP('Données projet'!$B$10,Paramètres!$A$1:$I$89,5,0)</f>
        <v>199.18079999999998</v>
      </c>
      <c r="AK136" s="13">
        <f t="shared" si="143"/>
        <v>49.564089376413683</v>
      </c>
      <c r="AL136" s="20">
        <f t="shared" si="112"/>
        <v>433.23068233058711</v>
      </c>
      <c r="AM136" s="59">
        <f t="shared" si="113"/>
        <v>726.56401566392037</v>
      </c>
      <c r="AN136" s="59">
        <f ca="1">AVERAGE(OFFSET($AM$3,0,0,'Données projet'!$E$10+1,1))-AVERAGE(OFFSET($H$3,0,0,'Données projet'!$E$10+1,1))</f>
        <v>242.48830542479988</v>
      </c>
      <c r="AO136" s="59">
        <f t="shared" si="144"/>
        <v>226.11219631227061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25.859985475979723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25.859985475979723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7.0766666666666636</v>
      </c>
      <c r="BD136" s="12">
        <f>IF('Données projet'!$A$88&gt;35,BD135+BC136-BL135,IF(A136&lt;'Données projet'!$A$88,$BA$205^A136,IF(A136='Données projet'!$A$88,'Données projet'!$B$88,BD135+BC136-BL135)))</f>
        <v>399.72333333333319</v>
      </c>
      <c r="BE136" s="13">
        <f>BD136*VLOOKUP('Données projet'!$B$11,Paramètres!$A$1:$I$89,3,0)*VLOOKUP('Données projet'!$B$11,Paramètres!$A$1:$I$89,5,0)</f>
        <v>405.31945999999988</v>
      </c>
      <c r="BF136" s="13">
        <f t="shared" si="145"/>
        <v>92.854273511301201</v>
      </c>
      <c r="BG136" s="20">
        <f t="shared" si="115"/>
        <v>867.6525858655159</v>
      </c>
      <c r="BH136" s="59">
        <f t="shared" si="116"/>
        <v>1160.9859191988492</v>
      </c>
      <c r="BI136" s="59">
        <f ca="1">AVERAGE(OFFSET($BH$3,0,0,'Données projet'!$E$11+1,1))-AVERAGE(OFFSET($H$3,0,0,'Données projet'!$E$11+1,1))</f>
        <v>402.5435069258703</v>
      </c>
      <c r="BJ136" s="59">
        <f t="shared" si="146"/>
        <v>163.60655195816349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95.786259860524112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95.786259860524112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7.0766666666666636</v>
      </c>
      <c r="BY136" s="12">
        <f>IF('Données projet'!$A$114&gt;35,BY135+BX136-CG135,IF(A136&lt;'Données projet'!$A$114,$BV$205^A136,IF(A136='Données projet'!$A$114,'Données projet'!$B$114,BY135+BX136-CG135)))</f>
        <v>399.72333333333319</v>
      </c>
      <c r="BZ136" s="13">
        <f>BY136*VLOOKUP('Données projet'!$B$12,Paramètres!$A$1:$I$89,3,0)*VLOOKUP('Données projet'!$B$12,Paramètres!$A$1:$I$89,5,0)</f>
        <v>361.66967199999988</v>
      </c>
      <c r="CA136" s="13">
        <f t="shared" si="147"/>
        <v>83.960811913582532</v>
      </c>
      <c r="CB136" s="20">
        <f t="shared" si="118"/>
        <v>776.13975948282268</v>
      </c>
      <c r="CC136" s="59">
        <f t="shared" si="119"/>
        <v>1069.4730928161559</v>
      </c>
      <c r="CD136" s="59">
        <f ca="1">AVERAGE(OFFSET($CC$3,0,0,'Données projet'!$E$12+1,1))-AVERAGE(OFFSET($H$3,0,0,'Données projet'!$E$12+1,1))</f>
        <v>350.91577977538822</v>
      </c>
      <c r="CE136" s="59">
        <f t="shared" si="148"/>
        <v>142.87103313412547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85.470816490929195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85.470816490929195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266.99999999999983</v>
      </c>
      <c r="CU136" s="17">
        <f>CT136*VLOOKUP('Données projet'!$B$13,Paramètres!$A$1:$I$89,3,0)*VLOOKUP('Données projet'!$B$13,Paramètres!$A$1:$I$89,5,0)</f>
        <v>216.59039999999987</v>
      </c>
      <c r="CV136" s="13">
        <f t="shared" si="149"/>
        <v>53.373153688190904</v>
      </c>
      <c r="CW136" s="20">
        <f t="shared" si="121"/>
        <v>470.18652267359886</v>
      </c>
      <c r="CX136" s="59">
        <f t="shared" si="122"/>
        <v>763.51985600693217</v>
      </c>
      <c r="CY136" s="59">
        <f ca="1">AVERAGE(OFFSET($CX$3,0,0,'Données projet'!$E$13+1,1))-AVERAGE(OFFSET($H$3,0,0,'Données projet'!$E$13+1,1))</f>
        <v>230.38929580146208</v>
      </c>
      <c r="CZ136" s="59">
        <f t="shared" si="150"/>
        <v>227.1847788696258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15.486209642761697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15.486209642761697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3.009999999999792</v>
      </c>
      <c r="DP136" s="17">
        <f>DO136*VLOOKUP('Données projet'!$B$14,Paramètres!$A$1:$I$89,3,0)*VLOOKUP('Données projet'!$B$14,Paramètres!$A$1:$I$89,5,0)</f>
        <v>1.7999799999998758</v>
      </c>
      <c r="DQ136" s="13">
        <f t="shared" si="151"/>
        <v>0.77465189310357685</v>
      </c>
      <c r="DR136" s="20">
        <f t="shared" si="124"/>
        <v>4.4841505471551795</v>
      </c>
      <c r="DS136" s="59">
        <f t="shared" si="125"/>
        <v>297.81748388048851</v>
      </c>
      <c r="DT136" s="59">
        <f ca="1">AVERAGE(OFFSET($DS$3,0,0,'Données projet'!$E$14+1,1))-AVERAGE(OFFSET($H$3,0,0,'Données projet'!$E$14+1,1))</f>
        <v>145.97103392561058</v>
      </c>
      <c r="DU136" s="59">
        <f t="shared" si="152"/>
        <v>62.920713953681172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101.55583953059221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101.55583953059221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0.8600000000003547</v>
      </c>
      <c r="O137" s="13">
        <f>N137*VLOOKUP('Données projet'!$B$9,Paramètres!$A$1:$I$89,3,0)*VLOOKUP('Données projet'!$B$9,Paramètres!$A$1:$I$89,5,0)</f>
        <v>0.48074000000019829</v>
      </c>
      <c r="P137" s="13">
        <f t="shared" si="141"/>
        <v>0.24126147010950588</v>
      </c>
      <c r="Q137" s="20">
        <f t="shared" si="108"/>
        <v>1.2574858937744013</v>
      </c>
      <c r="R137" s="59">
        <f t="shared" si="109"/>
        <v>294.59081922710772</v>
      </c>
      <c r="S137" s="59">
        <f ca="1">AVERAGE(OFFSET($R$3,0,0,'Données projet'!$E$9+1,1))-AVERAGE(OFFSET($H$3,0,0,'Données projet'!$E$9+1,1))</f>
        <v>350.01600895263641</v>
      </c>
      <c r="T137" s="59">
        <f t="shared" si="142"/>
        <v>464.08921044376882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77.773171051465752</v>
      </c>
      <c r="AA137" s="21">
        <f>EXP(-LN(2)/25)*AA136+(1-EXP(-LN(2)/25))/(LN(2)/25)*Calculateur!V137*Calculateur!X137*VLOOKUP('Données projet'!$B$9,Paramètres!$A$1:$I$89,3,0)*0.475*44/12</f>
        <v>2.8289097435714012</v>
      </c>
      <c r="AB137" s="21">
        <f>EXP(-LN(2)/2)*AB136+(1-EXP(-LN(2)/2))/(LN(2)/2)*V137*Y137*VLOOKUP('Données projet'!$B$9,Paramètres!$A$1:$I$89,3,0)*0.475*44/12</f>
        <v>1.6429536155167227E-16</v>
      </c>
      <c r="AC137" s="22">
        <f t="shared" si="111"/>
        <v>80.602080795037153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227.99999999999994</v>
      </c>
      <c r="AJ137" s="13">
        <f>AI137*VLOOKUP('Données projet'!$B$10,Paramètres!$A$1:$I$89,3,0)*VLOOKUP('Données projet'!$B$10,Paramètres!$A$1:$I$89,5,0)</f>
        <v>199.18079999999998</v>
      </c>
      <c r="AK137" s="13">
        <f t="shared" si="143"/>
        <v>49.564089376413683</v>
      </c>
      <c r="AL137" s="20">
        <f t="shared" si="112"/>
        <v>433.23068233058711</v>
      </c>
      <c r="AM137" s="59">
        <f t="shared" si="113"/>
        <v>726.56401566392037</v>
      </c>
      <c r="AN137" s="59">
        <f ca="1">AVERAGE(OFFSET($AM$3,0,0,'Données projet'!$E$10+1,1))-AVERAGE(OFFSET($H$3,0,0,'Données projet'!$E$10+1,1))</f>
        <v>242.48830542479988</v>
      </c>
      <c r="AO137" s="59">
        <f t="shared" si="144"/>
        <v>226.11219631227061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25.352886933829442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25.352886933829442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7.0766666666666636</v>
      </c>
      <c r="BD137" s="12">
        <f>IF('Données projet'!$A$88&gt;35,BD136+BC137-BL136,IF(A137&lt;'Données projet'!$A$88,$BA$205^A137,IF(A137='Données projet'!$A$88,'Données projet'!$B$88,BD136+BC137-BL136)))</f>
        <v>406.79999999999984</v>
      </c>
      <c r="BE137" s="13">
        <f>BD137*VLOOKUP('Données projet'!$B$11,Paramètres!$A$1:$I$89,3,0)*VLOOKUP('Données projet'!$B$11,Paramètres!$A$1:$I$89,5,0)</f>
        <v>412.49519999999984</v>
      </c>
      <c r="BF137" s="13">
        <f t="shared" si="145"/>
        <v>94.305322426393545</v>
      </c>
      <c r="BG137" s="20">
        <f t="shared" si="115"/>
        <v>882.67757655930188</v>
      </c>
      <c r="BH137" s="59">
        <f t="shared" si="116"/>
        <v>1176.0109098926353</v>
      </c>
      <c r="BI137" s="59">
        <f ca="1">AVERAGE(OFFSET($BH$3,0,0,'Données projet'!$E$11+1,1))-AVERAGE(OFFSET($H$3,0,0,'Données projet'!$E$11+1,1))</f>
        <v>402.5435069258703</v>
      </c>
      <c r="BJ137" s="59">
        <f t="shared" si="146"/>
        <v>163.60655195816349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93.907949728508868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93.907949728508868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7.0766666666666636</v>
      </c>
      <c r="BY137" s="12">
        <f>IF('Données projet'!$A$114&gt;35,BY136+BX137-CG136,IF(A137&lt;'Données projet'!$A$114,$BV$205^A137,IF(A137='Données projet'!$A$114,'Données projet'!$B$114,BY136+BX137-CG136)))</f>
        <v>406.79999999999984</v>
      </c>
      <c r="BZ137" s="13">
        <f>BY137*VLOOKUP('Données projet'!$B$12,Paramètres!$A$1:$I$89,3,0)*VLOOKUP('Données projet'!$B$12,Paramètres!$A$1:$I$89,5,0)</f>
        <v>368.07263999999986</v>
      </c>
      <c r="CA137" s="13">
        <f t="shared" si="147"/>
        <v>85.272881250085916</v>
      </c>
      <c r="CB137" s="20">
        <f t="shared" si="118"/>
        <v>789.57678284389931</v>
      </c>
      <c r="CC137" s="59">
        <f t="shared" si="119"/>
        <v>1082.9101161772326</v>
      </c>
      <c r="CD137" s="59">
        <f ca="1">AVERAGE(OFFSET($CC$3,0,0,'Données projet'!$E$12+1,1))-AVERAGE(OFFSET($H$3,0,0,'Données projet'!$E$12+1,1))</f>
        <v>350.91577977538822</v>
      </c>
      <c r="CE137" s="59">
        <f t="shared" si="148"/>
        <v>142.87103313412547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83.794785911592527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83.794785911592527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266.99999999999983</v>
      </c>
      <c r="CU137" s="17">
        <f>CT137*VLOOKUP('Données projet'!$B$13,Paramètres!$A$1:$I$89,3,0)*VLOOKUP('Données projet'!$B$13,Paramètres!$A$1:$I$89,5,0)</f>
        <v>216.59039999999987</v>
      </c>
      <c r="CV137" s="13">
        <f t="shared" si="149"/>
        <v>53.373153688190904</v>
      </c>
      <c r="CW137" s="20">
        <f t="shared" si="121"/>
        <v>470.18652267359886</v>
      </c>
      <c r="CX137" s="59">
        <f t="shared" si="122"/>
        <v>763.51985600693217</v>
      </c>
      <c r="CY137" s="59">
        <f ca="1">AVERAGE(OFFSET($CX$3,0,0,'Données projet'!$E$13+1,1))-AVERAGE(OFFSET($H$3,0,0,'Données projet'!$E$13+1,1))</f>
        <v>230.38929580146208</v>
      </c>
      <c r="CZ137" s="59">
        <f t="shared" si="150"/>
        <v>227.1847788696258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15.182534517322342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15.182534517322342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3.009999999999792</v>
      </c>
      <c r="DP137" s="17">
        <f>DO137*VLOOKUP('Données projet'!$B$14,Paramètres!$A$1:$I$89,3,0)*VLOOKUP('Données projet'!$B$14,Paramètres!$A$1:$I$89,5,0)</f>
        <v>1.7999799999998758</v>
      </c>
      <c r="DQ137" s="13">
        <f t="shared" si="151"/>
        <v>0.77465189310357685</v>
      </c>
      <c r="DR137" s="20">
        <f t="shared" si="124"/>
        <v>4.4841505471551795</v>
      </c>
      <c r="DS137" s="59">
        <f t="shared" si="125"/>
        <v>297.81748388048851</v>
      </c>
      <c r="DT137" s="59">
        <f ca="1">AVERAGE(OFFSET($DS$3,0,0,'Données projet'!$E$14+1,1))-AVERAGE(OFFSET($H$3,0,0,'Données projet'!$E$14+1,1))</f>
        <v>145.97103392561058</v>
      </c>
      <c r="DU137" s="59">
        <f t="shared" si="152"/>
        <v>62.920713953681172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99.564391460343046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99.564391460343046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0.8600000000003547</v>
      </c>
      <c r="O138" s="13">
        <f>N138*VLOOKUP('Données projet'!$B$9,Paramètres!$A$1:$I$89,3,0)*VLOOKUP('Données projet'!$B$9,Paramètres!$A$1:$I$89,5,0)</f>
        <v>0.48074000000019829</v>
      </c>
      <c r="P138" s="13">
        <f t="shared" si="141"/>
        <v>0.24126147010950588</v>
      </c>
      <c r="Q138" s="20">
        <f t="shared" si="108"/>
        <v>1.2574858937744013</v>
      </c>
      <c r="R138" s="59">
        <f t="shared" si="109"/>
        <v>294.59081922710772</v>
      </c>
      <c r="S138" s="59">
        <f ca="1">AVERAGE(OFFSET($R$3,0,0,'Données projet'!$E$9+1,1))-AVERAGE(OFFSET($H$3,0,0,'Données projet'!$E$9+1,1))</f>
        <v>350.01600895263641</v>
      </c>
      <c r="T138" s="59">
        <f t="shared" si="142"/>
        <v>464.08921044376882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76.248086604096841</v>
      </c>
      <c r="AA138" s="21">
        <f>EXP(-LN(2)/25)*AA137+(1-EXP(-LN(2)/25))/(LN(2)/25)*Calculateur!V138*Calculateur!X138*VLOOKUP('Données projet'!$B$9,Paramètres!$A$1:$I$89,3,0)*0.475*44/12</f>
        <v>2.7515530578675436</v>
      </c>
      <c r="AB138" s="21">
        <f>EXP(-LN(2)/2)*AB137+(1-EXP(-LN(2)/2))/(LN(2)/2)*V138*Y138*VLOOKUP('Données projet'!$B$9,Paramètres!$A$1:$I$89,3,0)*0.475*44/12</f>
        <v>1.1617436427068303E-16</v>
      </c>
      <c r="AC138" s="22">
        <f t="shared" si="111"/>
        <v>78.99963966196438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227.99999999999994</v>
      </c>
      <c r="AJ138" s="13">
        <f>AI138*VLOOKUP('Données projet'!$B$10,Paramètres!$A$1:$I$89,3,0)*VLOOKUP('Données projet'!$B$10,Paramètres!$A$1:$I$89,5,0)</f>
        <v>199.18079999999998</v>
      </c>
      <c r="AK138" s="13">
        <f t="shared" si="143"/>
        <v>49.564089376413683</v>
      </c>
      <c r="AL138" s="20">
        <f t="shared" si="112"/>
        <v>433.23068233058711</v>
      </c>
      <c r="AM138" s="59">
        <f t="shared" si="113"/>
        <v>726.56401566392037</v>
      </c>
      <c r="AN138" s="59">
        <f ca="1">AVERAGE(OFFSET($AM$3,0,0,'Données projet'!$E$10+1,1))-AVERAGE(OFFSET($H$3,0,0,'Données projet'!$E$10+1,1))</f>
        <v>242.48830542479988</v>
      </c>
      <c r="AO138" s="59">
        <f t="shared" si="144"/>
        <v>226.11219631227061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24.855732284791159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24.855732284791159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7.0766666666666636</v>
      </c>
      <c r="BD138" s="12">
        <f>IF('Données projet'!$A$88&gt;35,BD137+BC138-BL137,IF(A138&lt;'Données projet'!$A$88,$BA$205^A138,IF(A138='Données projet'!$A$88,'Données projet'!$B$88,BD137+BC138-BL137)))</f>
        <v>413.87666666666649</v>
      </c>
      <c r="BE138" s="13">
        <f>BD138*VLOOKUP('Données projet'!$B$11,Paramètres!$A$1:$I$89,3,0)*VLOOKUP('Données projet'!$B$11,Paramètres!$A$1:$I$89,5,0)</f>
        <v>419.67093999999986</v>
      </c>
      <c r="BF138" s="13">
        <f t="shared" si="145"/>
        <v>95.753435947758391</v>
      </c>
      <c r="BG138" s="20">
        <f t="shared" si="115"/>
        <v>897.69745477567892</v>
      </c>
      <c r="BH138" s="59">
        <f t="shared" si="116"/>
        <v>1191.0307881090123</v>
      </c>
      <c r="BI138" s="59">
        <f ca="1">AVERAGE(OFFSET($BH$3,0,0,'Données projet'!$E$11+1,1))-AVERAGE(OFFSET($H$3,0,0,'Données projet'!$E$11+1,1))</f>
        <v>402.5435069258703</v>
      </c>
      <c r="BJ138" s="59">
        <f t="shared" si="146"/>
        <v>163.60655195816349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92.066472112526398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92.066472112526398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7.0766666666666636</v>
      </c>
      <c r="BY138" s="12">
        <f>IF('Données projet'!$A$114&gt;35,BY137+BX138-CG137,IF(A138&lt;'Données projet'!$A$114,$BV$205^A138,IF(A138='Données projet'!$A$114,'Données projet'!$B$114,BY137+BX138-CG137)))</f>
        <v>413.87666666666649</v>
      </c>
      <c r="BZ138" s="13">
        <f>BY138*VLOOKUP('Données projet'!$B$12,Paramètres!$A$1:$I$89,3,0)*VLOOKUP('Données projet'!$B$12,Paramètres!$A$1:$I$89,5,0)</f>
        <v>374.4756079999998</v>
      </c>
      <c r="CA138" s="13">
        <f t="shared" si="147"/>
        <v>86.582296341056733</v>
      </c>
      <c r="CB138" s="20">
        <f t="shared" si="118"/>
        <v>803.00918339400687</v>
      </c>
      <c r="CC138" s="59">
        <f t="shared" si="119"/>
        <v>1096.3425167273401</v>
      </c>
      <c r="CD138" s="59">
        <f ca="1">AVERAGE(OFFSET($CC$3,0,0,'Données projet'!$E$12+1,1))-AVERAGE(OFFSET($H$3,0,0,'Données projet'!$E$12+1,1))</f>
        <v>350.91577977538822</v>
      </c>
      <c r="CE138" s="59">
        <f t="shared" si="148"/>
        <v>142.87103313412547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82.151621269638937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82.151621269638937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266.99999999999983</v>
      </c>
      <c r="CU138" s="17">
        <f>CT138*VLOOKUP('Données projet'!$B$13,Paramètres!$A$1:$I$89,3,0)*VLOOKUP('Données projet'!$B$13,Paramètres!$A$1:$I$89,5,0)</f>
        <v>216.59039999999987</v>
      </c>
      <c r="CV138" s="13">
        <f t="shared" si="149"/>
        <v>53.373153688190904</v>
      </c>
      <c r="CW138" s="20">
        <f t="shared" si="121"/>
        <v>470.18652267359886</v>
      </c>
      <c r="CX138" s="59">
        <f t="shared" si="122"/>
        <v>763.51985600693217</v>
      </c>
      <c r="CY138" s="59">
        <f ca="1">AVERAGE(OFFSET($CX$3,0,0,'Données projet'!$E$13+1,1))-AVERAGE(OFFSET($H$3,0,0,'Données projet'!$E$13+1,1))</f>
        <v>230.38929580146208</v>
      </c>
      <c r="CZ138" s="59">
        <f t="shared" si="150"/>
        <v>227.1847788696258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14.884814275869315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14.884814275869315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3.009999999999792</v>
      </c>
      <c r="DP138" s="17">
        <f>DO138*VLOOKUP('Données projet'!$B$14,Paramètres!$A$1:$I$89,3,0)*VLOOKUP('Données projet'!$B$14,Paramètres!$A$1:$I$89,5,0)</f>
        <v>1.7999799999998758</v>
      </c>
      <c r="DQ138" s="13">
        <f t="shared" si="151"/>
        <v>0.77465189310357685</v>
      </c>
      <c r="DR138" s="20">
        <f t="shared" si="124"/>
        <v>4.4841505471551795</v>
      </c>
      <c r="DS138" s="59">
        <f t="shared" si="125"/>
        <v>297.81748388048851</v>
      </c>
      <c r="DT138" s="59">
        <f ca="1">AVERAGE(OFFSET($DS$3,0,0,'Données projet'!$E$14+1,1))-AVERAGE(OFFSET($H$3,0,0,'Données projet'!$E$14+1,1))</f>
        <v>145.97103392561058</v>
      </c>
      <c r="DU138" s="59">
        <f t="shared" si="152"/>
        <v>62.920713953681172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97.611994472088085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97.611994472088085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0.8600000000003547</v>
      </c>
      <c r="O139" s="13">
        <f>N139*VLOOKUP('Données projet'!$B$9,Paramètres!$A$1:$I$89,3,0)*VLOOKUP('Données projet'!$B$9,Paramètres!$A$1:$I$89,5,0)</f>
        <v>0.48074000000019829</v>
      </c>
      <c r="P139" s="13">
        <f t="shared" si="141"/>
        <v>0.24126147010950588</v>
      </c>
      <c r="Q139" s="20">
        <f t="shared" si="108"/>
        <v>1.2574858937744013</v>
      </c>
      <c r="R139" s="59">
        <f t="shared" si="109"/>
        <v>294.59081922710772</v>
      </c>
      <c r="S139" s="59">
        <f ca="1">AVERAGE(OFFSET($R$3,0,0,'Données projet'!$E$9+1,1))-AVERAGE(OFFSET($H$3,0,0,'Données projet'!$E$9+1,1))</f>
        <v>350.01600895263641</v>
      </c>
      <c r="T139" s="59">
        <f t="shared" si="142"/>
        <v>464.08921044376882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74.752908132531175</v>
      </c>
      <c r="AA139" s="21">
        <f>EXP(-LN(2)/25)*AA138+(1-EXP(-LN(2)/25))/(LN(2)/25)*Calculateur!V139*Calculateur!X139*VLOOKUP('Données projet'!$B$9,Paramètres!$A$1:$I$89,3,0)*0.475*44/12</f>
        <v>2.6763116948022692</v>
      </c>
      <c r="AB139" s="21">
        <f>EXP(-LN(2)/2)*AB138+(1-EXP(-LN(2)/2))/(LN(2)/2)*V139*Y139*VLOOKUP('Données projet'!$B$9,Paramètres!$A$1:$I$89,3,0)*0.475*44/12</f>
        <v>8.2147680775836134E-17</v>
      </c>
      <c r="AC139" s="22">
        <f t="shared" si="111"/>
        <v>77.429219827333441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227.99999999999994</v>
      </c>
      <c r="AJ139" s="13">
        <f>AI139*VLOOKUP('Données projet'!$B$10,Paramètres!$A$1:$I$89,3,0)*VLOOKUP('Données projet'!$B$10,Paramètres!$A$1:$I$89,5,0)</f>
        <v>199.18079999999998</v>
      </c>
      <c r="AK139" s="13">
        <f t="shared" si="143"/>
        <v>49.564089376413683</v>
      </c>
      <c r="AL139" s="20">
        <f t="shared" si="112"/>
        <v>433.23068233058711</v>
      </c>
      <c r="AM139" s="59">
        <f t="shared" si="113"/>
        <v>726.56401566392037</v>
      </c>
      <c r="AN139" s="59">
        <f ca="1">AVERAGE(OFFSET($AM$3,0,0,'Données projet'!$E$10+1,1))-AVERAGE(OFFSET($H$3,0,0,'Données projet'!$E$10+1,1))</f>
        <v>242.48830542479988</v>
      </c>
      <c r="AO139" s="59">
        <f t="shared" si="144"/>
        <v>226.11219631227061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24.368326535186124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24.368326535186124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7.0766666666666636</v>
      </c>
      <c r="BD139" s="12">
        <f>IF('Données projet'!$A$88&gt;35,BD138+BC139-BL138,IF(A139&lt;'Données projet'!$A$88,$BA$205^A139,IF(A139='Données projet'!$A$88,'Données projet'!$B$88,BD138+BC139-BL138)))</f>
        <v>420.95333333333315</v>
      </c>
      <c r="BE139" s="13">
        <f>BD139*VLOOKUP('Données projet'!$B$11,Paramètres!$A$1:$I$89,3,0)*VLOOKUP('Données projet'!$B$11,Paramètres!$A$1:$I$89,5,0)</f>
        <v>426.84667999999982</v>
      </c>
      <c r="BF139" s="13">
        <f t="shared" si="145"/>
        <v>97.198670058184987</v>
      </c>
      <c r="BG139" s="20">
        <f t="shared" si="115"/>
        <v>912.71231801800513</v>
      </c>
      <c r="BH139" s="59">
        <f t="shared" si="116"/>
        <v>1206.0456513513384</v>
      </c>
      <c r="BI139" s="59">
        <f ca="1">AVERAGE(OFFSET($BH$3,0,0,'Données projet'!$E$11+1,1))-AVERAGE(OFFSET($H$3,0,0,'Données projet'!$E$11+1,1))</f>
        <v>402.5435069258703</v>
      </c>
      <c r="BJ139" s="59">
        <f t="shared" si="146"/>
        <v>163.60655195816349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90.261104749402904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90.261104749402904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7.0766666666666636</v>
      </c>
      <c r="BY139" s="12">
        <f>IF('Données projet'!$A$114&gt;35,BY138+BX139-CG138,IF(A139&lt;'Données projet'!$A$114,$BV$205^A139,IF(A139='Données projet'!$A$114,'Données projet'!$B$114,BY138+BX139-CG138)))</f>
        <v>420.95333333333315</v>
      </c>
      <c r="BZ139" s="13">
        <f>BY139*VLOOKUP('Données projet'!$B$12,Paramètres!$A$1:$I$89,3,0)*VLOOKUP('Données projet'!$B$12,Paramètres!$A$1:$I$89,5,0)</f>
        <v>380.87857599999984</v>
      </c>
      <c r="CA139" s="13">
        <f t="shared" si="147"/>
        <v>87.889107807325459</v>
      </c>
      <c r="CB139" s="20">
        <f t="shared" si="118"/>
        <v>816.43704929775822</v>
      </c>
      <c r="CC139" s="59">
        <f t="shared" si="119"/>
        <v>1109.7703826310915</v>
      </c>
      <c r="CD139" s="59">
        <f ca="1">AVERAGE(OFFSET($CC$3,0,0,'Données projet'!$E$12+1,1))-AVERAGE(OFFSET($H$3,0,0,'Données projet'!$E$12+1,1))</f>
        <v>350.91577977538822</v>
      </c>
      <c r="CE139" s="59">
        <f t="shared" si="148"/>
        <v>142.87103313412547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80.540678084082586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80.540678084082586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266.99999999999983</v>
      </c>
      <c r="CU139" s="17">
        <f>CT139*VLOOKUP('Données projet'!$B$13,Paramètres!$A$1:$I$89,3,0)*VLOOKUP('Données projet'!$B$13,Paramètres!$A$1:$I$89,5,0)</f>
        <v>216.59039999999987</v>
      </c>
      <c r="CV139" s="13">
        <f t="shared" si="149"/>
        <v>53.373153688190904</v>
      </c>
      <c r="CW139" s="20">
        <f t="shared" si="121"/>
        <v>470.18652267359886</v>
      </c>
      <c r="CX139" s="59">
        <f t="shared" si="122"/>
        <v>763.51985600693217</v>
      </c>
      <c r="CY139" s="59">
        <f ca="1">AVERAGE(OFFSET($CX$3,0,0,'Données projet'!$E$13+1,1))-AVERAGE(OFFSET($H$3,0,0,'Données projet'!$E$13+1,1))</f>
        <v>230.38929580146208</v>
      </c>
      <c r="CZ139" s="59">
        <f t="shared" si="150"/>
        <v>227.1847788696258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14.592932146759765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14.592932146759765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3.009999999999792</v>
      </c>
      <c r="DP139" s="17">
        <f>DO139*VLOOKUP('Données projet'!$B$14,Paramètres!$A$1:$I$89,3,0)*VLOOKUP('Données projet'!$B$14,Paramètres!$A$1:$I$89,5,0)</f>
        <v>1.7999799999998758</v>
      </c>
      <c r="DQ139" s="13">
        <f t="shared" si="151"/>
        <v>0.77465189310357685</v>
      </c>
      <c r="DR139" s="20">
        <f t="shared" si="124"/>
        <v>4.4841505471551795</v>
      </c>
      <c r="DS139" s="59">
        <f t="shared" si="125"/>
        <v>297.81748388048851</v>
      </c>
      <c r="DT139" s="59">
        <f ca="1">AVERAGE(OFFSET($DS$3,0,0,'Données projet'!$E$14+1,1))-AVERAGE(OFFSET($H$3,0,0,'Données projet'!$E$14+1,1))</f>
        <v>145.97103392561058</v>
      </c>
      <c r="DU139" s="59">
        <f t="shared" si="152"/>
        <v>62.920713953681172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95.69788279792823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95.69788279792823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0.8600000000003547</v>
      </c>
      <c r="O140" s="13">
        <f>N140*VLOOKUP('Données projet'!$B$9,Paramètres!$A$1:$I$89,3,0)*VLOOKUP('Données projet'!$B$9,Paramètres!$A$1:$I$89,5,0)</f>
        <v>0.48074000000019829</v>
      </c>
      <c r="P140" s="13">
        <f t="shared" si="141"/>
        <v>0.24126147010950588</v>
      </c>
      <c r="Q140" s="20">
        <f t="shared" si="108"/>
        <v>1.2574858937744013</v>
      </c>
      <c r="R140" s="59">
        <f t="shared" si="109"/>
        <v>294.59081922710772</v>
      </c>
      <c r="S140" s="59">
        <f ca="1">AVERAGE(OFFSET($R$3,0,0,'Données projet'!$E$9+1,1))-AVERAGE(OFFSET($H$3,0,0,'Données projet'!$E$9+1,1))</f>
        <v>350.01600895263641</v>
      </c>
      <c r="T140" s="59">
        <f t="shared" si="142"/>
        <v>464.08921044376882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73.287049198824093</v>
      </c>
      <c r="AA140" s="21">
        <f>EXP(-LN(2)/25)*AA139+(1-EXP(-LN(2)/25))/(LN(2)/25)*Calculateur!V140*Calculateur!X140*VLOOKUP('Données projet'!$B$9,Paramètres!$A$1:$I$89,3,0)*0.475*44/12</f>
        <v>2.6031278107667859</v>
      </c>
      <c r="AB140" s="21">
        <f>EXP(-LN(2)/2)*AB139+(1-EXP(-LN(2)/2))/(LN(2)/2)*V140*Y140*VLOOKUP('Données projet'!$B$9,Paramètres!$A$1:$I$89,3,0)*0.475*44/12</f>
        <v>5.8087182135341516E-17</v>
      </c>
      <c r="AC140" s="22">
        <f t="shared" si="111"/>
        <v>75.890177009590872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227.99999999999994</v>
      </c>
      <c r="AJ140" s="13">
        <f>AI140*VLOOKUP('Données projet'!$B$10,Paramètres!$A$1:$I$89,3,0)*VLOOKUP('Données projet'!$B$10,Paramètres!$A$1:$I$89,5,0)</f>
        <v>199.18079999999998</v>
      </c>
      <c r="AK140" s="13">
        <f t="shared" si="143"/>
        <v>49.564089376413683</v>
      </c>
      <c r="AL140" s="20">
        <f t="shared" si="112"/>
        <v>433.23068233058711</v>
      </c>
      <c r="AM140" s="59">
        <f t="shared" si="113"/>
        <v>726.56401566392037</v>
      </c>
      <c r="AN140" s="59">
        <f ca="1">AVERAGE(OFFSET($AM$3,0,0,'Données projet'!$E$10+1,1))-AVERAGE(OFFSET($H$3,0,0,'Données projet'!$E$10+1,1))</f>
        <v>242.48830542479988</v>
      </c>
      <c r="AO140" s="59">
        <f t="shared" si="144"/>
        <v>226.11219631227061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23.890478515042691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23.890478515042691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>
        <f>VLOOKUP(A140,'Données projet'!$A$87:$I$107,2,0)</f>
        <v>428.03</v>
      </c>
      <c r="BB140" s="12">
        <f>VLOOKUP(A140,'Données projet'!$A$87:$I$107,9,0)</f>
        <v>7.0766666666666636</v>
      </c>
      <c r="BC140" s="12">
        <f t="array" ref="BC140">INDEX(BB:BB,MIN(IF(ISNUMBER(BB140:BB336),ROW(BB140:BB336),"")))</f>
        <v>7.0766666666666636</v>
      </c>
      <c r="BD140" s="12">
        <f>IF('Données projet'!$A$88&gt;35,BD139+BC140-BL139,IF(A140&lt;'Données projet'!$A$88,$BA$205^A140,IF(A140='Données projet'!$A$88,'Données projet'!$B$88,BD139+BC140-BL139)))</f>
        <v>428.0299999999998</v>
      </c>
      <c r="BE140" s="13">
        <f>BD140*VLOOKUP('Données projet'!$B$11,Paramètres!$A$1:$I$89,3,0)*VLOOKUP('Données projet'!$B$11,Paramètres!$A$1:$I$89,5,0)</f>
        <v>434.02241999999978</v>
      </c>
      <c r="BF140" s="13">
        <f t="shared" si="145"/>
        <v>98.641078750323345</v>
      </c>
      <c r="BG140" s="20">
        <f t="shared" si="115"/>
        <v>927.72226032347942</v>
      </c>
      <c r="BH140" s="59">
        <f t="shared" si="116"/>
        <v>1221.0555936568128</v>
      </c>
      <c r="BI140" s="59">
        <f ca="1">AVERAGE(OFFSET($BH$3,0,0,'Données projet'!$E$11+1,1))-AVERAGE(OFFSET($H$3,0,0,'Données projet'!$E$11+1,1))</f>
        <v>402.5435069258703</v>
      </c>
      <c r="BJ140" s="59">
        <f t="shared" si="146"/>
        <v>163.60655195816349</v>
      </c>
      <c r="BK140" s="15">
        <f>IF(ISNA(VLOOKUP(A140,'Données projet'!$A$87:$I$107,3,0)),0,VLOOKUP(A140,'Données projet'!$A$87:$I$107,3,0))</f>
        <v>11</v>
      </c>
      <c r="BL140" s="15">
        <f>IF(ISNA(VLOOKUP(A140,'Données projet'!$A$87:$I$107,4,0)),0,VLOOKUP(A140,'Données projet'!$A$87:$I$107,4,0))</f>
        <v>65.53</v>
      </c>
      <c r="BM140" s="16">
        <f>IF(ISNA(VLOOKUP(A140,'Données projet'!$A$87:$I$107,5,0)),0%,VLOOKUP(A140,'Données projet'!$A$87:$I$107,5,0)*VLOOKUP('Données projet'!$B$11,Paramètres!$A$1:$I$89,7,0))</f>
        <v>0.43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120.07707101985059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120.07707101985059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>
        <f>VLOOKUP(A140,'Données projet'!$A$113:$I$133,2,0)</f>
        <v>428.03</v>
      </c>
      <c r="BW140" s="12">
        <f>VLOOKUP(A140,'Données projet'!$A$113:$I$133,9,0)</f>
        <v>7.0766666666666636</v>
      </c>
      <c r="BX140" s="12">
        <f t="array" ref="BX140">INDEX(BW:BW,MIN(IF(ISNUMBER(BW140:BW336),ROW(BW140:BW336),"")))</f>
        <v>7.0766666666666636</v>
      </c>
      <c r="BY140" s="12">
        <f>IF('Données projet'!$A$114&gt;35,BY139+BX140-CG139,IF(A140&lt;'Données projet'!$A$114,$BV$205^A140,IF(A140='Données projet'!$A$114,'Données projet'!$B$114,BY139+BX140-CG139)))</f>
        <v>428.0299999999998</v>
      </c>
      <c r="BZ140" s="13">
        <f>BY140*VLOOKUP('Données projet'!$B$12,Paramètres!$A$1:$I$89,3,0)*VLOOKUP('Données projet'!$B$12,Paramètres!$A$1:$I$89,5,0)</f>
        <v>387.28154399999983</v>
      </c>
      <c r="CA140" s="13">
        <f t="shared" si="147"/>
        <v>89.193364470196286</v>
      </c>
      <c r="CB140" s="20">
        <f t="shared" si="118"/>
        <v>829.86046558559156</v>
      </c>
      <c r="CC140" s="59">
        <f t="shared" si="119"/>
        <v>1123.1937989189248</v>
      </c>
      <c r="CD140" s="59">
        <f ca="1">AVERAGE(OFFSET($CC$3,0,0,'Données projet'!$E$12+1,1))-AVERAGE(OFFSET($H$3,0,0,'Données projet'!$E$12+1,1))</f>
        <v>350.91577977538822</v>
      </c>
      <c r="CE140" s="59">
        <f t="shared" si="148"/>
        <v>142.87103313412547</v>
      </c>
      <c r="CF140" s="15">
        <f>IF(ISNA(VLOOKUP(A140,'Données projet'!$A$113:$I$133,3,0)),0,VLOOKUP(A140,'Données projet'!$A$113:$I$133,3,0))</f>
        <v>11</v>
      </c>
      <c r="CG140" s="15">
        <f>IF(ISNA(VLOOKUP(A140,'Données projet'!$A$113:$I$133,4,0)),0,VLOOKUP(A140,'Données projet'!$A$113:$I$133,4,0))</f>
        <v>65.53</v>
      </c>
      <c r="CH140" s="16">
        <f>IF(ISNA(VLOOKUP(A140,'Données projet'!$A$113:$I$133,5,0)),0%,VLOOKUP(A140,'Données projet'!$A$113:$I$133,5,0)*VLOOKUP('Données projet'!$B$12,Paramètres!$A$1:$I$89,7,0))</f>
        <v>0.43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107.14569414078976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107.14569414078976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266.99999999999983</v>
      </c>
      <c r="CU140" s="17">
        <f>CT140*VLOOKUP('Données projet'!$B$13,Paramètres!$A$1:$I$89,3,0)*VLOOKUP('Données projet'!$B$13,Paramètres!$A$1:$I$89,5,0)</f>
        <v>216.59039999999987</v>
      </c>
      <c r="CV140" s="13">
        <f t="shared" si="149"/>
        <v>53.373153688190904</v>
      </c>
      <c r="CW140" s="20">
        <f t="shared" si="121"/>
        <v>470.18652267359886</v>
      </c>
      <c r="CX140" s="59">
        <f t="shared" si="122"/>
        <v>763.51985600693217</v>
      </c>
      <c r="CY140" s="59">
        <f ca="1">AVERAGE(OFFSET($CX$3,0,0,'Données projet'!$E$13+1,1))-AVERAGE(OFFSET($H$3,0,0,'Données projet'!$E$13+1,1))</f>
        <v>230.38929580146208</v>
      </c>
      <c r="CZ140" s="59">
        <f t="shared" si="150"/>
        <v>227.1847788696258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14.306773648171534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14.306773648171534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3.009999999999792</v>
      </c>
      <c r="DP140" s="17">
        <f>DO140*VLOOKUP('Données projet'!$B$14,Paramètres!$A$1:$I$89,3,0)*VLOOKUP('Données projet'!$B$14,Paramètres!$A$1:$I$89,5,0)</f>
        <v>1.7999799999998758</v>
      </c>
      <c r="DQ140" s="13">
        <f t="shared" si="151"/>
        <v>0.77465189310357685</v>
      </c>
      <c r="DR140" s="20">
        <f t="shared" si="124"/>
        <v>4.4841505471551795</v>
      </c>
      <c r="DS140" s="59">
        <f t="shared" si="125"/>
        <v>297.81748388048851</v>
      </c>
      <c r="DT140" s="59">
        <f ca="1">AVERAGE(OFFSET($DS$3,0,0,'Données projet'!$E$14+1,1))-AVERAGE(OFFSET($H$3,0,0,'Données projet'!$E$14+1,1))</f>
        <v>145.97103392561058</v>
      </c>
      <c r="DU140" s="59">
        <f t="shared" si="152"/>
        <v>62.920713953681172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93.821305686205804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93.821305686205804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0.8600000000003547</v>
      </c>
      <c r="O141" s="13">
        <f>N141*VLOOKUP('Données projet'!$B$9,Paramètres!$A$1:$I$89,3,0)*VLOOKUP('Données projet'!$B$9,Paramètres!$A$1:$I$89,5,0)</f>
        <v>0.48074000000019829</v>
      </c>
      <c r="P141" s="13">
        <f t="shared" si="141"/>
        <v>0.24126147010950588</v>
      </c>
      <c r="Q141" s="20">
        <f t="shared" si="108"/>
        <v>1.2574858937744013</v>
      </c>
      <c r="R141" s="59">
        <f t="shared" si="109"/>
        <v>294.59081922710772</v>
      </c>
      <c r="S141" s="59">
        <f ca="1">AVERAGE(OFFSET($R$3,0,0,'Données projet'!$E$9+1,1))-AVERAGE(OFFSET($H$3,0,0,'Données projet'!$E$9+1,1))</f>
        <v>350.01600895263641</v>
      </c>
      <c r="T141" s="59">
        <f t="shared" si="142"/>
        <v>464.08921044376882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71.849934864721334</v>
      </c>
      <c r="AA141" s="21">
        <f>EXP(-LN(2)/25)*AA140+(1-EXP(-LN(2)/25))/(LN(2)/25)*Calculateur!V141*Calculateur!X141*VLOOKUP('Données projet'!$B$9,Paramètres!$A$1:$I$89,3,0)*0.475*44/12</f>
        <v>2.5319451438888261</v>
      </c>
      <c r="AB141" s="21">
        <f>EXP(-LN(2)/2)*AB140+(1-EXP(-LN(2)/2))/(LN(2)/2)*V141*Y141*VLOOKUP('Données projet'!$B$9,Paramètres!$A$1:$I$89,3,0)*0.475*44/12</f>
        <v>4.1073840387918067E-17</v>
      </c>
      <c r="AC141" s="22">
        <f t="shared" si="111"/>
        <v>74.381880008610153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227.99999999999994</v>
      </c>
      <c r="AJ141" s="13">
        <f>AI141*VLOOKUP('Données projet'!$B$10,Paramètres!$A$1:$I$89,3,0)*VLOOKUP('Données projet'!$B$10,Paramètres!$A$1:$I$89,5,0)</f>
        <v>199.18079999999998</v>
      </c>
      <c r="AK141" s="13">
        <f t="shared" si="143"/>
        <v>49.564089376413683</v>
      </c>
      <c r="AL141" s="20">
        <f t="shared" si="112"/>
        <v>433.23068233058711</v>
      </c>
      <c r="AM141" s="59">
        <f t="shared" si="113"/>
        <v>726.56401566392037</v>
      </c>
      <c r="AN141" s="59">
        <f ca="1">AVERAGE(OFFSET($AM$3,0,0,'Données projet'!$E$10+1,1))-AVERAGE(OFFSET($H$3,0,0,'Données projet'!$E$10+1,1))</f>
        <v>242.48830542479988</v>
      </c>
      <c r="AO141" s="59">
        <f t="shared" si="144"/>
        <v>226.11219631227061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23.422000803115758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23.422000803115758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6.8383333333333338</v>
      </c>
      <c r="BD141" s="12">
        <f>IF('Données projet'!$A$88&gt;35,BD140+BC141-BL140,IF(A141&lt;'Données projet'!$A$88,$BA$205^A141,IF(A141='Données projet'!$A$88,'Données projet'!$B$88,BD140+BC141-BL140)))</f>
        <v>369.33833333333314</v>
      </c>
      <c r="BE141" s="13">
        <f>BD141*VLOOKUP('Données projet'!$B$11,Paramètres!$A$1:$I$89,3,0)*VLOOKUP('Données projet'!$B$11,Paramètres!$A$1:$I$89,5,0)</f>
        <v>374.50906999999984</v>
      </c>
      <c r="BF141" s="13">
        <f t="shared" si="145"/>
        <v>86.58913248043946</v>
      </c>
      <c r="BG141" s="20">
        <f t="shared" si="115"/>
        <v>803.07936932009841</v>
      </c>
      <c r="BH141" s="59">
        <f t="shared" si="116"/>
        <v>1096.4127026534318</v>
      </c>
      <c r="BI141" s="59">
        <f ca="1">AVERAGE(OFFSET($BH$3,0,0,'Données projet'!$E$11+1,1))-AVERAGE(OFFSET($H$3,0,0,'Données projet'!$E$11+1,1))</f>
        <v>402.5435069258703</v>
      </c>
      <c r="BJ141" s="59">
        <f t="shared" si="146"/>
        <v>163.60655195816349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117.72243289693282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117.72243289693282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6.8383333333333338</v>
      </c>
      <c r="BY141" s="12">
        <f>IF('Données projet'!$A$114&gt;35,BY140+BX141-CG140,IF(A141&lt;'Données projet'!$A$114,$BV$205^A141,IF(A141='Données projet'!$A$114,'Données projet'!$B$114,BY140+BX141-CG140)))</f>
        <v>369.33833333333314</v>
      </c>
      <c r="BZ141" s="13">
        <f>BY141*VLOOKUP('Données projet'!$B$12,Paramètres!$A$1:$I$89,3,0)*VLOOKUP('Données projet'!$B$12,Paramètres!$A$1:$I$89,5,0)</f>
        <v>334.17732399999983</v>
      </c>
      <c r="CA141" s="13">
        <f t="shared" si="147"/>
        <v>78.295737945390471</v>
      </c>
      <c r="CB141" s="20">
        <f t="shared" si="118"/>
        <v>718.3905828882215</v>
      </c>
      <c r="CC141" s="59">
        <f t="shared" si="119"/>
        <v>1011.7239162215549</v>
      </c>
      <c r="CD141" s="59">
        <f ca="1">AVERAGE(OFFSET($CC$3,0,0,'Données projet'!$E$12+1,1))-AVERAGE(OFFSET($H$3,0,0,'Données projet'!$E$12+1,1))</f>
        <v>350.91577977538822</v>
      </c>
      <c r="CE141" s="59">
        <f t="shared" si="148"/>
        <v>142.87103313412547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105.04463243110928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105.04463243110928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266.99999999999983</v>
      </c>
      <c r="CU141" s="17">
        <f>CT141*VLOOKUP('Données projet'!$B$13,Paramètres!$A$1:$I$89,3,0)*VLOOKUP('Données projet'!$B$13,Paramètres!$A$1:$I$89,5,0)</f>
        <v>216.59039999999987</v>
      </c>
      <c r="CV141" s="13">
        <f t="shared" si="149"/>
        <v>53.373153688190904</v>
      </c>
      <c r="CW141" s="20">
        <f t="shared" si="121"/>
        <v>470.18652267359886</v>
      </c>
      <c r="CX141" s="59">
        <f t="shared" si="122"/>
        <v>763.51985600693217</v>
      </c>
      <c r="CY141" s="59">
        <f ca="1">AVERAGE(OFFSET($CX$3,0,0,'Données projet'!$E$13+1,1))-AVERAGE(OFFSET($H$3,0,0,'Données projet'!$E$13+1,1))</f>
        <v>230.38929580146208</v>
      </c>
      <c r="CZ141" s="59">
        <f t="shared" si="150"/>
        <v>227.1847788696258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14.026226543201169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14.026226543201169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3.009999999999792</v>
      </c>
      <c r="DP141" s="17">
        <f>DO141*VLOOKUP('Données projet'!$B$14,Paramètres!$A$1:$I$89,3,0)*VLOOKUP('Données projet'!$B$14,Paramètres!$A$1:$I$89,5,0)</f>
        <v>1.7999799999998758</v>
      </c>
      <c r="DQ141" s="13">
        <f t="shared" si="151"/>
        <v>0.77465189310357685</v>
      </c>
      <c r="DR141" s="20">
        <f t="shared" si="124"/>
        <v>4.4841505471551795</v>
      </c>
      <c r="DS141" s="59">
        <f t="shared" si="125"/>
        <v>297.81748388048851</v>
      </c>
      <c r="DT141" s="59">
        <f ca="1">AVERAGE(OFFSET($DS$3,0,0,'Données projet'!$E$14+1,1))-AVERAGE(OFFSET($H$3,0,0,'Données projet'!$E$14+1,1))</f>
        <v>145.97103392561058</v>
      </c>
      <c r="DU141" s="59">
        <f t="shared" si="152"/>
        <v>62.920713953681172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91.981527107045238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91.981527107045238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0.8600000000003547</v>
      </c>
      <c r="O142" s="13">
        <f>N142*VLOOKUP('Données projet'!$B$9,Paramètres!$A$1:$I$89,3,0)*VLOOKUP('Données projet'!$B$9,Paramètres!$A$1:$I$89,5,0)</f>
        <v>0.48074000000019829</v>
      </c>
      <c r="P142" s="13">
        <f t="shared" si="141"/>
        <v>0.24126147010950588</v>
      </c>
      <c r="Q142" s="20">
        <f t="shared" si="108"/>
        <v>1.2574858937744013</v>
      </c>
      <c r="R142" s="59">
        <f t="shared" si="109"/>
        <v>294.59081922710772</v>
      </c>
      <c r="S142" s="59">
        <f ca="1">AVERAGE(OFFSET($R$3,0,0,'Données projet'!$E$9+1,1))-AVERAGE(OFFSET($H$3,0,0,'Données projet'!$E$9+1,1))</f>
        <v>350.01600895263641</v>
      </c>
      <c r="T142" s="59">
        <f t="shared" si="142"/>
        <v>464.08921044376882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70.441001466157147</v>
      </c>
      <c r="AA142" s="21">
        <f>EXP(-LN(2)/25)*AA141+(1-EXP(-LN(2)/25))/(LN(2)/25)*Calculateur!V142*Calculateur!X142*VLOOKUP('Données projet'!$B$9,Paramètres!$A$1:$I$89,3,0)*0.475*44/12</f>
        <v>2.4627089707799779</v>
      </c>
      <c r="AB142" s="21">
        <f>EXP(-LN(2)/2)*AB141+(1-EXP(-LN(2)/2))/(LN(2)/2)*V142*Y142*VLOOKUP('Données projet'!$B$9,Paramètres!$A$1:$I$89,3,0)*0.475*44/12</f>
        <v>2.9043591067670758E-17</v>
      </c>
      <c r="AC142" s="22">
        <f t="shared" si="111"/>
        <v>72.903710436937118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227.99999999999994</v>
      </c>
      <c r="AJ142" s="13">
        <f>AI142*VLOOKUP('Données projet'!$B$10,Paramètres!$A$1:$I$89,3,0)*VLOOKUP('Données projet'!$B$10,Paramètres!$A$1:$I$89,5,0)</f>
        <v>199.18079999999998</v>
      </c>
      <c r="AK142" s="13">
        <f t="shared" si="143"/>
        <v>49.564089376413683</v>
      </c>
      <c r="AL142" s="20">
        <f t="shared" si="112"/>
        <v>433.23068233058711</v>
      </c>
      <c r="AM142" s="59">
        <f t="shared" si="113"/>
        <v>726.56401566392037</v>
      </c>
      <c r="AN142" s="59">
        <f ca="1">AVERAGE(OFFSET($AM$3,0,0,'Données projet'!$E$10+1,1))-AVERAGE(OFFSET($H$3,0,0,'Données projet'!$E$10+1,1))</f>
        <v>242.48830542479988</v>
      </c>
      <c r="AO142" s="59">
        <f t="shared" si="144"/>
        <v>226.11219631227061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22.962709653376521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22.962709653376521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6.8383333333333338</v>
      </c>
      <c r="BD142" s="12">
        <f>IF('Données projet'!$A$88&gt;35,BD141+BC142-BL141,IF(A142&lt;'Données projet'!$A$88,$BA$205^A142,IF(A142='Données projet'!$A$88,'Données projet'!$B$88,BD141+BC142-BL141)))</f>
        <v>376.17666666666645</v>
      </c>
      <c r="BE142" s="13">
        <f>BD142*VLOOKUP('Données projet'!$B$11,Paramètres!$A$1:$I$89,3,0)*VLOOKUP('Données projet'!$B$11,Paramètres!$A$1:$I$89,5,0)</f>
        <v>381.4431399999998</v>
      </c>
      <c r="BF142" s="13">
        <f t="shared" si="145"/>
        <v>88.004209034255823</v>
      </c>
      <c r="BG142" s="20">
        <f t="shared" si="115"/>
        <v>817.62079956799516</v>
      </c>
      <c r="BH142" s="59">
        <f t="shared" si="116"/>
        <v>1110.9541329013284</v>
      </c>
      <c r="BI142" s="59">
        <f ca="1">AVERAGE(OFFSET($BH$3,0,0,'Données projet'!$E$11+1,1))-AVERAGE(OFFSET($H$3,0,0,'Données projet'!$E$11+1,1))</f>
        <v>402.5435069258703</v>
      </c>
      <c r="BJ142" s="59">
        <f t="shared" si="146"/>
        <v>163.60655195816349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115.41396779141802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115.41396779141802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6.8383333333333338</v>
      </c>
      <c r="BY142" s="12">
        <f>IF('Données projet'!$A$114&gt;35,BY141+BX142-CG141,IF(A142&lt;'Données projet'!$A$114,$BV$205^A142,IF(A142='Données projet'!$A$114,'Données projet'!$B$114,BY141+BX142-CG141)))</f>
        <v>376.17666666666645</v>
      </c>
      <c r="BZ142" s="13">
        <f>BY142*VLOOKUP('Données projet'!$B$12,Paramètres!$A$1:$I$89,3,0)*VLOOKUP('Données projet'!$B$12,Paramètres!$A$1:$I$89,5,0)</f>
        <v>340.36464799999982</v>
      </c>
      <c r="CA142" s="13">
        <f t="shared" si="147"/>
        <v>79.575280306613536</v>
      </c>
      <c r="CB142" s="20">
        <f t="shared" si="118"/>
        <v>731.3953751340182</v>
      </c>
      <c r="CC142" s="59">
        <f t="shared" si="119"/>
        <v>1024.7287084673515</v>
      </c>
      <c r="CD142" s="59">
        <f ca="1">AVERAGE(OFFSET($CC$3,0,0,'Données projet'!$E$12+1,1))-AVERAGE(OFFSET($H$3,0,0,'Données projet'!$E$12+1,1))</f>
        <v>350.91577977538822</v>
      </c>
      <c r="CE142" s="59">
        <f t="shared" si="148"/>
        <v>142.87103313412547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102.98477126003453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102.98477126003453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266.99999999999983</v>
      </c>
      <c r="CU142" s="17">
        <f>CT142*VLOOKUP('Données projet'!$B$13,Paramètres!$A$1:$I$89,3,0)*VLOOKUP('Données projet'!$B$13,Paramètres!$A$1:$I$89,5,0)</f>
        <v>216.59039999999987</v>
      </c>
      <c r="CV142" s="13">
        <f t="shared" si="149"/>
        <v>53.373153688190904</v>
      </c>
      <c r="CW142" s="20">
        <f t="shared" si="121"/>
        <v>470.18652267359886</v>
      </c>
      <c r="CX142" s="59">
        <f t="shared" si="122"/>
        <v>763.51985600693217</v>
      </c>
      <c r="CY142" s="59">
        <f ca="1">AVERAGE(OFFSET($CX$3,0,0,'Données projet'!$E$13+1,1))-AVERAGE(OFFSET($H$3,0,0,'Données projet'!$E$13+1,1))</f>
        <v>230.38929580146208</v>
      </c>
      <c r="CZ142" s="59">
        <f t="shared" si="150"/>
        <v>227.1847788696258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13.751180795842433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13.751180795842433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3.009999999999792</v>
      </c>
      <c r="DP142" s="17">
        <f>DO142*VLOOKUP('Données projet'!$B$14,Paramètres!$A$1:$I$89,3,0)*VLOOKUP('Données projet'!$B$14,Paramètres!$A$1:$I$89,5,0)</f>
        <v>1.7999799999998758</v>
      </c>
      <c r="DQ142" s="13">
        <f t="shared" si="151"/>
        <v>0.77465189310357685</v>
      </c>
      <c r="DR142" s="20">
        <f t="shared" si="124"/>
        <v>4.4841505471551795</v>
      </c>
      <c r="DS142" s="59">
        <f t="shared" si="125"/>
        <v>297.81748388048851</v>
      </c>
      <c r="DT142" s="59">
        <f ca="1">AVERAGE(OFFSET($DS$3,0,0,'Données projet'!$E$14+1,1))-AVERAGE(OFFSET($H$3,0,0,'Données projet'!$E$14+1,1))</f>
        <v>145.97103392561058</v>
      </c>
      <c r="DU142" s="59">
        <f t="shared" si="152"/>
        <v>62.920713953681172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90.177825463667887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90.177825463667887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0.8600000000003547</v>
      </c>
      <c r="O143" s="13">
        <f>N143*VLOOKUP('Données projet'!$B$9,Paramètres!$A$1:$I$89,3,0)*VLOOKUP('Données projet'!$B$9,Paramètres!$A$1:$I$89,5,0)</f>
        <v>0.48074000000019829</v>
      </c>
      <c r="P143" s="13">
        <f t="shared" si="141"/>
        <v>0.24126147010950588</v>
      </c>
      <c r="Q143" s="20">
        <f t="shared" si="108"/>
        <v>1.2574858937744013</v>
      </c>
      <c r="R143" s="59">
        <f t="shared" si="109"/>
        <v>294.59081922710772</v>
      </c>
      <c r="S143" s="59">
        <f ca="1">AVERAGE(OFFSET($R$3,0,0,'Données projet'!$E$9+1,1))-AVERAGE(OFFSET($H$3,0,0,'Données projet'!$E$9+1,1))</f>
        <v>350.01600895263641</v>
      </c>
      <c r="T143" s="59">
        <f t="shared" si="142"/>
        <v>464.08921044376882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69.059696392174274</v>
      </c>
      <c r="AA143" s="21">
        <f>EXP(-LN(2)/25)*AA142+(1-EXP(-LN(2)/25))/(LN(2)/25)*Calculateur!V143*Calculateur!X143*VLOOKUP('Données projet'!$B$9,Paramètres!$A$1:$I$89,3,0)*0.475*44/12</f>
        <v>2.3953660644657631</v>
      </c>
      <c r="AB143" s="21">
        <f>EXP(-LN(2)/2)*AB142+(1-EXP(-LN(2)/2))/(LN(2)/2)*V143*Y143*VLOOKUP('Données projet'!$B$9,Paramètres!$A$1:$I$89,3,0)*0.475*44/12</f>
        <v>2.0536920193959033E-17</v>
      </c>
      <c r="AC143" s="22">
        <f t="shared" si="111"/>
        <v>71.455062456640036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227.99999999999994</v>
      </c>
      <c r="AJ143" s="13">
        <f>AI143*VLOOKUP('Données projet'!$B$10,Paramètres!$A$1:$I$89,3,0)*VLOOKUP('Données projet'!$B$10,Paramètres!$A$1:$I$89,5,0)</f>
        <v>199.18079999999998</v>
      </c>
      <c r="AK143" s="13">
        <f t="shared" si="143"/>
        <v>49.564089376413683</v>
      </c>
      <c r="AL143" s="20">
        <f t="shared" si="112"/>
        <v>433.23068233058711</v>
      </c>
      <c r="AM143" s="59">
        <f t="shared" si="113"/>
        <v>726.56401566392037</v>
      </c>
      <c r="AN143" s="59">
        <f ca="1">AVERAGE(OFFSET($AM$3,0,0,'Données projet'!$E$10+1,1))-AVERAGE(OFFSET($H$3,0,0,'Données projet'!$E$10+1,1))</f>
        <v>242.48830542479988</v>
      </c>
      <c r="AO143" s="59">
        <f t="shared" si="144"/>
        <v>226.11219631227061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22.51242492294373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22.51242492294373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6.8383333333333338</v>
      </c>
      <c r="BD143" s="12">
        <f>IF('Données projet'!$A$88&gt;35,BD142+BC143-BL142,IF(A143&lt;'Données projet'!$A$88,$BA$205^A143,IF(A143='Données projet'!$A$88,'Données projet'!$B$88,BD142+BC143-BL142)))</f>
        <v>383.01499999999976</v>
      </c>
      <c r="BE143" s="13">
        <f>BD143*VLOOKUP('Données projet'!$B$11,Paramètres!$A$1:$I$89,3,0)*VLOOKUP('Données projet'!$B$11,Paramètres!$A$1:$I$89,5,0)</f>
        <v>388.37720999999976</v>
      </c>
      <c r="BF143" s="13">
        <f t="shared" si="145"/>
        <v>89.416294307035145</v>
      </c>
      <c r="BG143" s="20">
        <f t="shared" si="115"/>
        <v>832.15702000141926</v>
      </c>
      <c r="BH143" s="59">
        <f t="shared" si="116"/>
        <v>1125.4903533347526</v>
      </c>
      <c r="BI143" s="59">
        <f ca="1">AVERAGE(OFFSET($BH$3,0,0,'Données projet'!$E$11+1,1))-AVERAGE(OFFSET($H$3,0,0,'Données projet'!$E$11+1,1))</f>
        <v>402.5435069258703</v>
      </c>
      <c r="BJ143" s="59">
        <f t="shared" si="146"/>
        <v>163.60655195816349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113.15077027859768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113.15077027859768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6.8383333333333338</v>
      </c>
      <c r="BY143" s="12">
        <f>IF('Données projet'!$A$114&gt;35,BY142+BX143-CG142,IF(A143&lt;'Données projet'!$A$114,$BV$205^A143,IF(A143='Données projet'!$A$114,'Données projet'!$B$114,BY142+BX143-CG142)))</f>
        <v>383.01499999999976</v>
      </c>
      <c r="BZ143" s="13">
        <f>BY143*VLOOKUP('Données projet'!$B$12,Paramètres!$A$1:$I$89,3,0)*VLOOKUP('Données projet'!$B$12,Paramètres!$A$1:$I$89,5,0)</f>
        <v>346.55197199999975</v>
      </c>
      <c r="CA143" s="13">
        <f t="shared" si="147"/>
        <v>80.852117887808276</v>
      </c>
      <c r="CB143" s="20">
        <f t="shared" si="118"/>
        <v>744.39545655459904</v>
      </c>
      <c r="CC143" s="59">
        <f t="shared" si="119"/>
        <v>1037.7287898879324</v>
      </c>
      <c r="CD143" s="59">
        <f ca="1">AVERAGE(OFFSET($CC$3,0,0,'Données projet'!$E$12+1,1))-AVERAGE(OFFSET($H$3,0,0,'Données projet'!$E$12+1,1))</f>
        <v>350.91577977538822</v>
      </c>
      <c r="CE143" s="59">
        <f t="shared" si="148"/>
        <v>142.87103313412547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100.96530271013332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100.96530271013332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266.99999999999983</v>
      </c>
      <c r="CU143" s="17">
        <f>CT143*VLOOKUP('Données projet'!$B$13,Paramètres!$A$1:$I$89,3,0)*VLOOKUP('Données projet'!$B$13,Paramètres!$A$1:$I$89,5,0)</f>
        <v>216.59039999999987</v>
      </c>
      <c r="CV143" s="13">
        <f t="shared" si="149"/>
        <v>53.373153688190904</v>
      </c>
      <c r="CW143" s="20">
        <f t="shared" si="121"/>
        <v>470.18652267359886</v>
      </c>
      <c r="CX143" s="59">
        <f t="shared" si="122"/>
        <v>763.51985600693217</v>
      </c>
      <c r="CY143" s="59">
        <f ca="1">AVERAGE(OFFSET($CX$3,0,0,'Données projet'!$E$13+1,1))-AVERAGE(OFFSET($H$3,0,0,'Données projet'!$E$13+1,1))</f>
        <v>230.38929580146208</v>
      </c>
      <c r="CZ143" s="59">
        <f t="shared" si="150"/>
        <v>227.1847788696258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13.481528527828063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13.481528527828063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3.009999999999792</v>
      </c>
      <c r="DP143" s="17">
        <f>DO143*VLOOKUP('Données projet'!$B$14,Paramètres!$A$1:$I$89,3,0)*VLOOKUP('Données projet'!$B$14,Paramètres!$A$1:$I$89,5,0)</f>
        <v>1.7999799999998758</v>
      </c>
      <c r="DQ143" s="13">
        <f t="shared" si="151"/>
        <v>0.77465189310357685</v>
      </c>
      <c r="DR143" s="20">
        <f t="shared" si="124"/>
        <v>4.4841505471551795</v>
      </c>
      <c r="DS143" s="59">
        <f t="shared" si="125"/>
        <v>297.81748388048851</v>
      </c>
      <c r="DT143" s="59">
        <f ca="1">AVERAGE(OFFSET($DS$3,0,0,'Données projet'!$E$14+1,1))-AVERAGE(OFFSET($H$3,0,0,'Données projet'!$E$14+1,1))</f>
        <v>145.97103392561058</v>
      </c>
      <c r="DU143" s="59">
        <f t="shared" si="152"/>
        <v>62.920713953681172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88.409493309367789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88.409493309367789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0.8600000000003547</v>
      </c>
      <c r="O144" s="13">
        <f>N144*VLOOKUP('Données projet'!$B$9,Paramètres!$A$1:$I$89,3,0)*VLOOKUP('Données projet'!$B$9,Paramètres!$A$1:$I$89,5,0)</f>
        <v>0.48074000000019829</v>
      </c>
      <c r="P144" s="13">
        <f t="shared" si="141"/>
        <v>0.24126147010950588</v>
      </c>
      <c r="Q144" s="20">
        <f t="shared" si="108"/>
        <v>1.2574858937744013</v>
      </c>
      <c r="R144" s="59">
        <f t="shared" si="109"/>
        <v>294.59081922710772</v>
      </c>
      <c r="S144" s="59">
        <f ca="1">AVERAGE(OFFSET($R$3,0,0,'Données projet'!$E$9+1,1))-AVERAGE(OFFSET($H$3,0,0,'Données projet'!$E$9+1,1))</f>
        <v>350.01600895263641</v>
      </c>
      <c r="T144" s="59">
        <f t="shared" si="142"/>
        <v>464.08921044376882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67.705477868179315</v>
      </c>
      <c r="AA144" s="21">
        <f>EXP(-LN(2)/25)*AA143+(1-EXP(-LN(2)/25))/(LN(2)/25)*Calculateur!V144*Calculateur!X144*VLOOKUP('Données projet'!$B$9,Paramètres!$A$1:$I$89,3,0)*0.475*44/12</f>
        <v>2.32986465346612</v>
      </c>
      <c r="AB144" s="21">
        <f>EXP(-LN(2)/2)*AB143+(1-EXP(-LN(2)/2))/(LN(2)/2)*V144*Y144*VLOOKUP('Données projet'!$B$9,Paramètres!$A$1:$I$89,3,0)*0.475*44/12</f>
        <v>1.4521795533835379E-17</v>
      </c>
      <c r="AC144" s="22">
        <f t="shared" si="111"/>
        <v>70.035342521645433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227.99999999999994</v>
      </c>
      <c r="AJ144" s="13">
        <f>AI144*VLOOKUP('Données projet'!$B$10,Paramètres!$A$1:$I$89,3,0)*VLOOKUP('Données projet'!$B$10,Paramètres!$A$1:$I$89,5,0)</f>
        <v>199.18079999999998</v>
      </c>
      <c r="AK144" s="13">
        <f t="shared" si="143"/>
        <v>49.564089376413683</v>
      </c>
      <c r="AL144" s="20">
        <f t="shared" si="112"/>
        <v>433.23068233058711</v>
      </c>
      <c r="AM144" s="59">
        <f t="shared" si="113"/>
        <v>726.56401566392037</v>
      </c>
      <c r="AN144" s="59">
        <f ca="1">AVERAGE(OFFSET($AM$3,0,0,'Données projet'!$E$10+1,1))-AVERAGE(OFFSET($H$3,0,0,'Données projet'!$E$10+1,1))</f>
        <v>242.48830542479988</v>
      </c>
      <c r="AO144" s="59">
        <f t="shared" si="144"/>
        <v>226.11219631227061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22.070970001428162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22.070970001428162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6.8383333333333338</v>
      </c>
      <c r="BD144" s="12">
        <f>IF('Données projet'!$A$88&gt;35,BD143+BC144-BL143,IF(A144&lt;'Données projet'!$A$88,$BA$205^A144,IF(A144='Données projet'!$A$88,'Données projet'!$B$88,BD143+BC144-BL143)))</f>
        <v>389.85333333333307</v>
      </c>
      <c r="BE144" s="13">
        <f>BD144*VLOOKUP('Données projet'!$B$11,Paramètres!$A$1:$I$89,3,0)*VLOOKUP('Données projet'!$B$11,Paramètres!$A$1:$I$89,5,0)</f>
        <v>395.31127999999978</v>
      </c>
      <c r="BF144" s="13">
        <f t="shared" si="145"/>
        <v>90.825447865932077</v>
      </c>
      <c r="BG144" s="20">
        <f t="shared" si="115"/>
        <v>846.68813436649782</v>
      </c>
      <c r="BH144" s="59">
        <f t="shared" si="116"/>
        <v>1140.0214676998312</v>
      </c>
      <c r="BI144" s="59">
        <f ca="1">AVERAGE(OFFSET($BH$3,0,0,'Données projet'!$E$11+1,1))-AVERAGE(OFFSET($H$3,0,0,'Données projet'!$E$11+1,1))</f>
        <v>402.5435069258703</v>
      </c>
      <c r="BJ144" s="59">
        <f t="shared" si="146"/>
        <v>163.60655195816349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110.93195268858956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110.93195268858956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6.8383333333333338</v>
      </c>
      <c r="BY144" s="12">
        <f>IF('Données projet'!$A$114&gt;35,BY143+BX144-CG143,IF(A144&lt;'Données projet'!$A$114,$BV$205^A144,IF(A144='Données projet'!$A$114,'Données projet'!$B$114,BY143+BX144-CG143)))</f>
        <v>389.85333333333307</v>
      </c>
      <c r="BZ144" s="13">
        <f>BY144*VLOOKUP('Données projet'!$B$12,Paramètres!$A$1:$I$89,3,0)*VLOOKUP('Données projet'!$B$12,Paramètres!$A$1:$I$89,5,0)</f>
        <v>352.73929599999974</v>
      </c>
      <c r="CA144" s="13">
        <f t="shared" si="147"/>
        <v>82.126304550864717</v>
      </c>
      <c r="CB144" s="20">
        <f t="shared" si="118"/>
        <v>757.39092095942215</v>
      </c>
      <c r="CC144" s="59">
        <f t="shared" si="119"/>
        <v>1050.7242542927554</v>
      </c>
      <c r="CD144" s="59">
        <f ca="1">AVERAGE(OFFSET($CC$3,0,0,'Données projet'!$E$12+1,1))-AVERAGE(OFFSET($H$3,0,0,'Données projet'!$E$12+1,1))</f>
        <v>350.91577977538822</v>
      </c>
      <c r="CE144" s="59">
        <f t="shared" si="148"/>
        <v>142.87103313412547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98.985434706741458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98.985434706741458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266.99999999999983</v>
      </c>
      <c r="CU144" s="17">
        <f>CT144*VLOOKUP('Données projet'!$B$13,Paramètres!$A$1:$I$89,3,0)*VLOOKUP('Données projet'!$B$13,Paramètres!$A$1:$I$89,5,0)</f>
        <v>216.59039999999987</v>
      </c>
      <c r="CV144" s="13">
        <f t="shared" si="149"/>
        <v>53.373153688190904</v>
      </c>
      <c r="CW144" s="20">
        <f t="shared" si="121"/>
        <v>470.18652267359886</v>
      </c>
      <c r="CX144" s="59">
        <f t="shared" si="122"/>
        <v>763.51985600693217</v>
      </c>
      <c r="CY144" s="59">
        <f ca="1">AVERAGE(OFFSET($CX$3,0,0,'Données projet'!$E$13+1,1))-AVERAGE(OFFSET($H$3,0,0,'Données projet'!$E$13+1,1))</f>
        <v>230.38929580146208</v>
      </c>
      <c r="CZ144" s="59">
        <f t="shared" si="150"/>
        <v>227.1847788696258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13.21716397631781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13.21716397631781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3.009999999999792</v>
      </c>
      <c r="DP144" s="17">
        <f>DO144*VLOOKUP('Données projet'!$B$14,Paramètres!$A$1:$I$89,3,0)*VLOOKUP('Données projet'!$B$14,Paramètres!$A$1:$I$89,5,0)</f>
        <v>1.7999799999998758</v>
      </c>
      <c r="DQ144" s="13">
        <f t="shared" si="151"/>
        <v>0.77465189310357685</v>
      </c>
      <c r="DR144" s="20">
        <f t="shared" si="124"/>
        <v>4.4841505471551795</v>
      </c>
      <c r="DS144" s="59">
        <f t="shared" si="125"/>
        <v>297.81748388048851</v>
      </c>
      <c r="DT144" s="59">
        <f ca="1">AVERAGE(OFFSET($DS$3,0,0,'Données projet'!$E$14+1,1))-AVERAGE(OFFSET($H$3,0,0,'Données projet'!$E$14+1,1))</f>
        <v>145.97103392561058</v>
      </c>
      <c r="DU144" s="59">
        <f t="shared" si="152"/>
        <v>62.920713953681172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86.675837070037403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86.675837070037403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0.8600000000003547</v>
      </c>
      <c r="O145" s="13">
        <f>N145*VLOOKUP('Données projet'!$B$9,Paramètres!$A$1:$I$89,3,0)*VLOOKUP('Données projet'!$B$9,Paramètres!$A$1:$I$89,5,0)</f>
        <v>0.48074000000019829</v>
      </c>
      <c r="P145" s="13">
        <f t="shared" si="141"/>
        <v>0.24126147010950588</v>
      </c>
      <c r="Q145" s="20">
        <f t="shared" si="108"/>
        <v>1.2574858937744013</v>
      </c>
      <c r="R145" s="59">
        <f t="shared" si="109"/>
        <v>294.59081922710772</v>
      </c>
      <c r="S145" s="59">
        <f ca="1">AVERAGE(OFFSET($R$3,0,0,'Données projet'!$E$9+1,1))-AVERAGE(OFFSET($H$3,0,0,'Données projet'!$E$9+1,1))</f>
        <v>350.01600895263641</v>
      </c>
      <c r="T145" s="59">
        <f t="shared" si="142"/>
        <v>464.08921044376882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66.377814743448155</v>
      </c>
      <c r="AA145" s="21">
        <f>EXP(-LN(2)/25)*AA144+(1-EXP(-LN(2)/25))/(LN(2)/25)*Calculateur!V145*Calculateur!X145*VLOOKUP('Données projet'!$B$9,Paramètres!$A$1:$I$89,3,0)*0.475*44/12</f>
        <v>2.266154381994832</v>
      </c>
      <c r="AB145" s="21">
        <f>EXP(-LN(2)/2)*AB144+(1-EXP(-LN(2)/2))/(LN(2)/2)*V145*Y145*VLOOKUP('Données projet'!$B$9,Paramètres!$A$1:$I$89,3,0)*0.475*44/12</f>
        <v>1.0268460096979517E-17</v>
      </c>
      <c r="AC145" s="22">
        <f t="shared" si="111"/>
        <v>68.643969125442993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227.99999999999994</v>
      </c>
      <c r="AJ145" s="13">
        <f>AI145*VLOOKUP('Données projet'!$B$10,Paramètres!$A$1:$I$89,3,0)*VLOOKUP('Données projet'!$B$10,Paramètres!$A$1:$I$89,5,0)</f>
        <v>199.18079999999998</v>
      </c>
      <c r="AK145" s="13">
        <f t="shared" si="143"/>
        <v>49.564089376413683</v>
      </c>
      <c r="AL145" s="20">
        <f t="shared" si="112"/>
        <v>433.23068233058711</v>
      </c>
      <c r="AM145" s="59">
        <f t="shared" si="113"/>
        <v>726.56401566392037</v>
      </c>
      <c r="AN145" s="59">
        <f ca="1">AVERAGE(OFFSET($AM$3,0,0,'Données projet'!$E$10+1,1))-AVERAGE(OFFSET($H$3,0,0,'Données projet'!$E$10+1,1))</f>
        <v>242.48830542479988</v>
      </c>
      <c r="AO145" s="59">
        <f t="shared" si="144"/>
        <v>226.11219631227061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21.638171741662596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21.638171741662596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6.8383333333333338</v>
      </c>
      <c r="BD145" s="12">
        <f>IF('Données projet'!$A$88&gt;35,BD144+BC145-BL144,IF(A145&lt;'Données projet'!$A$88,$BA$205^A145,IF(A145='Données projet'!$A$88,'Données projet'!$B$88,BD144+BC145-BL144)))</f>
        <v>396.69166666666638</v>
      </c>
      <c r="BE145" s="13">
        <f>BD145*VLOOKUP('Données projet'!$B$11,Paramètres!$A$1:$I$89,3,0)*VLOOKUP('Données projet'!$B$11,Paramètres!$A$1:$I$89,5,0)</f>
        <v>402.24534999999975</v>
      </c>
      <c r="BF145" s="13">
        <f t="shared" si="145"/>
        <v>92.231727068687661</v>
      </c>
      <c r="BG145" s="20">
        <f t="shared" si="115"/>
        <v>861.21424256129728</v>
      </c>
      <c r="BH145" s="59">
        <f t="shared" si="116"/>
        <v>1154.5475758946307</v>
      </c>
      <c r="BI145" s="59">
        <f ca="1">AVERAGE(OFFSET($BH$3,0,0,'Données projet'!$E$11+1,1))-AVERAGE(OFFSET($H$3,0,0,'Données projet'!$E$11+1,1))</f>
        <v>402.5435069258703</v>
      </c>
      <c r="BJ145" s="59">
        <f t="shared" si="146"/>
        <v>163.60655195816349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108.75664475817641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108.75664475817641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6.8383333333333338</v>
      </c>
      <c r="BY145" s="12">
        <f>IF('Données projet'!$A$114&gt;35,BY144+BX145-CG144,IF(A145&lt;'Données projet'!$A$114,$BV$205^A145,IF(A145='Données projet'!$A$114,'Données projet'!$B$114,BY144+BX145-CG144)))</f>
        <v>396.69166666666638</v>
      </c>
      <c r="BZ145" s="13">
        <f>BY145*VLOOKUP('Données projet'!$B$12,Paramètres!$A$1:$I$89,3,0)*VLOOKUP('Données projet'!$B$12,Paramètres!$A$1:$I$89,5,0)</f>
        <v>358.92661999999973</v>
      </c>
      <c r="CA145" s="13">
        <f t="shared" si="147"/>
        <v>83.397892159874218</v>
      </c>
      <c r="CB145" s="20">
        <f t="shared" si="118"/>
        <v>770.3818586784472</v>
      </c>
      <c r="CC145" s="59">
        <f t="shared" si="119"/>
        <v>1063.7151920117806</v>
      </c>
      <c r="CD145" s="59">
        <f ca="1">AVERAGE(OFFSET($CC$3,0,0,'Données projet'!$E$12+1,1))-AVERAGE(OFFSET($H$3,0,0,'Données projet'!$E$12+1,1))</f>
        <v>350.91577977538822</v>
      </c>
      <c r="CE145" s="59">
        <f t="shared" si="148"/>
        <v>142.87103313412547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97.044390707295875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97.044390707295875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266.99999999999983</v>
      </c>
      <c r="CU145" s="17">
        <f>CT145*VLOOKUP('Données projet'!$B$13,Paramètres!$A$1:$I$89,3,0)*VLOOKUP('Données projet'!$B$13,Paramètres!$A$1:$I$89,5,0)</f>
        <v>216.59039999999987</v>
      </c>
      <c r="CV145" s="13">
        <f t="shared" si="149"/>
        <v>53.373153688190904</v>
      </c>
      <c r="CW145" s="20">
        <f t="shared" si="121"/>
        <v>470.18652267359886</v>
      </c>
      <c r="CX145" s="59">
        <f t="shared" si="122"/>
        <v>763.51985600693217</v>
      </c>
      <c r="CY145" s="59">
        <f ca="1">AVERAGE(OFFSET($CX$3,0,0,'Données projet'!$E$13+1,1))-AVERAGE(OFFSET($H$3,0,0,'Données projet'!$E$13+1,1))</f>
        <v>230.38929580146208</v>
      </c>
      <c r="CZ145" s="59">
        <f t="shared" si="150"/>
        <v>227.1847788696258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12.957983452416219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12.957983452416219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3.009999999999792</v>
      </c>
      <c r="DP145" s="17">
        <f>DO145*VLOOKUP('Données projet'!$B$14,Paramètres!$A$1:$I$89,3,0)*VLOOKUP('Données projet'!$B$14,Paramètres!$A$1:$I$89,5,0)</f>
        <v>1.7999799999998758</v>
      </c>
      <c r="DQ145" s="13">
        <f t="shared" si="151"/>
        <v>0.77465189310357685</v>
      </c>
      <c r="DR145" s="20">
        <f t="shared" si="124"/>
        <v>4.4841505471551795</v>
      </c>
      <c r="DS145" s="59">
        <f t="shared" si="125"/>
        <v>297.81748388048851</v>
      </c>
      <c r="DT145" s="59">
        <f ca="1">AVERAGE(OFFSET($DS$3,0,0,'Données projet'!$E$14+1,1))-AVERAGE(OFFSET($H$3,0,0,'Données projet'!$E$14+1,1))</f>
        <v>145.97103392561058</v>
      </c>
      <c r="DU145" s="59">
        <f t="shared" si="152"/>
        <v>62.920713953681172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84.976176772134394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84.976176772134394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0.8600000000003547</v>
      </c>
      <c r="O146" s="13">
        <f>N146*VLOOKUP('Données projet'!$B$9,Paramètres!$A$1:$I$89,3,0)*VLOOKUP('Données projet'!$B$9,Paramètres!$A$1:$I$89,5,0)</f>
        <v>0.48074000000019829</v>
      </c>
      <c r="P146" s="13">
        <f t="shared" si="141"/>
        <v>0.24126147010950588</v>
      </c>
      <c r="Q146" s="20">
        <f t="shared" si="108"/>
        <v>1.2574858937744013</v>
      </c>
      <c r="R146" s="59">
        <f t="shared" si="109"/>
        <v>294.59081922710772</v>
      </c>
      <c r="S146" s="59">
        <f ca="1">AVERAGE(OFFSET($R$3,0,0,'Données projet'!$E$9+1,1))-AVERAGE(OFFSET($H$3,0,0,'Données projet'!$E$9+1,1))</f>
        <v>350.01600895263641</v>
      </c>
      <c r="T146" s="59">
        <f t="shared" si="142"/>
        <v>464.08921044376882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65.076186282798417</v>
      </c>
      <c r="AA146" s="21">
        <f>EXP(-LN(2)/25)*AA145+(1-EXP(-LN(2)/25))/(LN(2)/25)*Calculateur!V146*Calculateur!X146*VLOOKUP('Données projet'!$B$9,Paramètres!$A$1:$I$89,3,0)*0.475*44/12</f>
        <v>2.2041862712473037</v>
      </c>
      <c r="AB146" s="21">
        <f>EXP(-LN(2)/2)*AB145+(1-EXP(-LN(2)/2))/(LN(2)/2)*V146*Y146*VLOOKUP('Données projet'!$B$9,Paramètres!$A$1:$I$89,3,0)*0.475*44/12</f>
        <v>7.2608977669176894E-18</v>
      </c>
      <c r="AC146" s="22">
        <f t="shared" si="111"/>
        <v>67.280372554045726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227.99999999999994</v>
      </c>
      <c r="AJ146" s="13">
        <f>AI146*VLOOKUP('Données projet'!$B$10,Paramètres!$A$1:$I$89,3,0)*VLOOKUP('Données projet'!$B$10,Paramètres!$A$1:$I$89,5,0)</f>
        <v>199.18079999999998</v>
      </c>
      <c r="AK146" s="13">
        <f t="shared" si="143"/>
        <v>49.564089376413683</v>
      </c>
      <c r="AL146" s="20">
        <f t="shared" si="112"/>
        <v>433.23068233058711</v>
      </c>
      <c r="AM146" s="59">
        <f t="shared" si="113"/>
        <v>726.56401566392037</v>
      </c>
      <c r="AN146" s="59">
        <f ca="1">AVERAGE(OFFSET($AM$3,0,0,'Données projet'!$E$10+1,1))-AVERAGE(OFFSET($H$3,0,0,'Données projet'!$E$10+1,1))</f>
        <v>242.48830542479988</v>
      </c>
      <c r="AO146" s="59">
        <f t="shared" si="144"/>
        <v>226.11219631227061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21.213860391790163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21.213860391790163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6.8383333333333338</v>
      </c>
      <c r="BD146" s="12">
        <f>IF('Données projet'!$A$88&gt;35,BD145+BC146-BL145,IF(A146&lt;'Données projet'!$A$88,$BA$205^A146,IF(A146='Données projet'!$A$88,'Données projet'!$B$88,BD145+BC146-BL145)))</f>
        <v>403.52999999999969</v>
      </c>
      <c r="BE146" s="13">
        <f>BD146*VLOOKUP('Données projet'!$B$11,Paramètres!$A$1:$I$89,3,0)*VLOOKUP('Données projet'!$B$11,Paramètres!$A$1:$I$89,5,0)</f>
        <v>409.17941999999971</v>
      </c>
      <c r="BF146" s="13">
        <f t="shared" si="145"/>
        <v>93.635187182227867</v>
      </c>
      <c r="BG146" s="20">
        <f t="shared" si="115"/>
        <v>875.73544084237972</v>
      </c>
      <c r="BH146" s="59">
        <f t="shared" si="116"/>
        <v>1169.0687741757131</v>
      </c>
      <c r="BI146" s="59">
        <f ca="1">AVERAGE(OFFSET($BH$3,0,0,'Données projet'!$E$11+1,1))-AVERAGE(OFFSET($H$3,0,0,'Données projet'!$E$11+1,1))</f>
        <v>402.5435069258703</v>
      </c>
      <c r="BJ146" s="59">
        <f t="shared" si="146"/>
        <v>163.60655195816349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106.62399328947183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106.62399328947183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6.8383333333333338</v>
      </c>
      <c r="BY146" s="12">
        <f>IF('Données projet'!$A$114&gt;35,BY145+BX146-CG145,IF(A146&lt;'Données projet'!$A$114,$BV$205^A146,IF(A146='Données projet'!$A$114,'Données projet'!$B$114,BY145+BX146-CG145)))</f>
        <v>403.52999999999969</v>
      </c>
      <c r="BZ146" s="13">
        <f>BY146*VLOOKUP('Données projet'!$B$12,Paramètres!$A$1:$I$89,3,0)*VLOOKUP('Données projet'!$B$12,Paramètres!$A$1:$I$89,5,0)</f>
        <v>365.11394399999972</v>
      </c>
      <c r="CA146" s="13">
        <f t="shared" si="147"/>
        <v>84.666930688368183</v>
      </c>
      <c r="CB146" s="20">
        <f t="shared" si="118"/>
        <v>783.36835674890744</v>
      </c>
      <c r="CC146" s="59">
        <f t="shared" si="119"/>
        <v>1076.7016900822407</v>
      </c>
      <c r="CD146" s="59">
        <f ca="1">AVERAGE(OFFSET($CC$3,0,0,'Données projet'!$E$12+1,1))-AVERAGE(OFFSET($H$3,0,0,'Données projet'!$E$12+1,1))</f>
        <v>350.91577977538822</v>
      </c>
      <c r="CE146" s="59">
        <f t="shared" si="148"/>
        <v>142.87103313412547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95.141409396759485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95.141409396759485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266.99999999999983</v>
      </c>
      <c r="CU146" s="17">
        <f>CT146*VLOOKUP('Données projet'!$B$13,Paramètres!$A$1:$I$89,3,0)*VLOOKUP('Données projet'!$B$13,Paramètres!$A$1:$I$89,5,0)</f>
        <v>216.59039999999987</v>
      </c>
      <c r="CV146" s="13">
        <f t="shared" si="149"/>
        <v>53.373153688190904</v>
      </c>
      <c r="CW146" s="20">
        <f t="shared" si="121"/>
        <v>470.18652267359886</v>
      </c>
      <c r="CX146" s="59">
        <f t="shared" si="122"/>
        <v>763.51985600693217</v>
      </c>
      <c r="CY146" s="59">
        <f ca="1">AVERAGE(OFFSET($CX$3,0,0,'Données projet'!$E$13+1,1))-AVERAGE(OFFSET($H$3,0,0,'Données projet'!$E$13+1,1))</f>
        <v>230.38929580146208</v>
      </c>
      <c r="CZ146" s="59">
        <f t="shared" si="150"/>
        <v>227.1847788696258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12.703885300503828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12.703885300503828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3.009999999999792</v>
      </c>
      <c r="DP146" s="17">
        <f>DO146*VLOOKUP('Données projet'!$B$14,Paramètres!$A$1:$I$89,3,0)*VLOOKUP('Données projet'!$B$14,Paramètres!$A$1:$I$89,5,0)</f>
        <v>1.7999799999998758</v>
      </c>
      <c r="DQ146" s="13">
        <f t="shared" si="151"/>
        <v>0.77465189310357685</v>
      </c>
      <c r="DR146" s="20">
        <f t="shared" si="124"/>
        <v>4.4841505471551795</v>
      </c>
      <c r="DS146" s="59">
        <f t="shared" si="125"/>
        <v>297.81748388048851</v>
      </c>
      <c r="DT146" s="59">
        <f ca="1">AVERAGE(OFFSET($DS$3,0,0,'Données projet'!$E$14+1,1))-AVERAGE(OFFSET($H$3,0,0,'Données projet'!$E$14+1,1))</f>
        <v>145.97103392561058</v>
      </c>
      <c r="DU146" s="59">
        <f t="shared" si="152"/>
        <v>62.920713953681172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83.309845775982851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83.309845775982851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0.8600000000003547</v>
      </c>
      <c r="O147" s="13">
        <f>N147*VLOOKUP('Données projet'!$B$9,Paramètres!$A$1:$I$89,3,0)*VLOOKUP('Données projet'!$B$9,Paramètres!$A$1:$I$89,5,0)</f>
        <v>0.48074000000019829</v>
      </c>
      <c r="P147" s="13">
        <f t="shared" si="141"/>
        <v>0.24126147010950588</v>
      </c>
      <c r="Q147" s="20">
        <f t="shared" si="108"/>
        <v>1.2574858937744013</v>
      </c>
      <c r="R147" s="59">
        <f t="shared" si="109"/>
        <v>294.59081922710772</v>
      </c>
      <c r="S147" s="59">
        <f ca="1">AVERAGE(OFFSET($R$3,0,0,'Données projet'!$E$9+1,1))-AVERAGE(OFFSET($H$3,0,0,'Données projet'!$E$9+1,1))</f>
        <v>350.01600895263641</v>
      </c>
      <c r="T147" s="59">
        <f t="shared" si="142"/>
        <v>464.08921044376882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63.800081962347058</v>
      </c>
      <c r="AA147" s="21">
        <f>EXP(-LN(2)/25)*AA146+(1-EXP(-LN(2)/25))/(LN(2)/25)*Calculateur!V147*Calculateur!X147*VLOOKUP('Données projet'!$B$9,Paramètres!$A$1:$I$89,3,0)*0.475*44/12</f>
        <v>2.1439126817469281</v>
      </c>
      <c r="AB147" s="21">
        <f>EXP(-LN(2)/2)*AB146+(1-EXP(-LN(2)/2))/(LN(2)/2)*V147*Y147*VLOOKUP('Données projet'!$B$9,Paramètres!$A$1:$I$89,3,0)*0.475*44/12</f>
        <v>5.1342300484897583E-18</v>
      </c>
      <c r="AC147" s="22">
        <f t="shared" si="111"/>
        <v>65.943994644093991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227.99999999999994</v>
      </c>
      <c r="AJ147" s="13">
        <f>AI147*VLOOKUP('Données projet'!$B$10,Paramètres!$A$1:$I$89,3,0)*VLOOKUP('Données projet'!$B$10,Paramètres!$A$1:$I$89,5,0)</f>
        <v>199.18079999999998</v>
      </c>
      <c r="AK147" s="13">
        <f t="shared" si="143"/>
        <v>49.564089376413683</v>
      </c>
      <c r="AL147" s="20">
        <f t="shared" si="112"/>
        <v>433.23068233058711</v>
      </c>
      <c r="AM147" s="59">
        <f t="shared" si="113"/>
        <v>726.56401566392037</v>
      </c>
      <c r="AN147" s="59">
        <f ca="1">AVERAGE(OFFSET($AM$3,0,0,'Données projet'!$E$10+1,1))-AVERAGE(OFFSET($H$3,0,0,'Données projet'!$E$10+1,1))</f>
        <v>242.48830542479988</v>
      </c>
      <c r="AO147" s="59">
        <f t="shared" si="144"/>
        <v>226.11219631227061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20.797869528684359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20.797869528684359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6.8383333333333338</v>
      </c>
      <c r="BD147" s="12">
        <f>IF('Données projet'!$A$88&gt;35,BD146+BC147-BL146,IF(A147&lt;'Données projet'!$A$88,$BA$205^A147,IF(A147='Données projet'!$A$88,'Données projet'!$B$88,BD146+BC147-BL146)))</f>
        <v>410.368333333333</v>
      </c>
      <c r="BE147" s="13">
        <f>BD147*VLOOKUP('Données projet'!$B$11,Paramètres!$A$1:$I$89,3,0)*VLOOKUP('Données projet'!$B$11,Paramètres!$A$1:$I$89,5,0)</f>
        <v>416.11348999999967</v>
      </c>
      <c r="BF147" s="13">
        <f t="shared" si="145"/>
        <v>95.035881492993994</v>
      </c>
      <c r="BG147" s="20">
        <f t="shared" si="115"/>
        <v>890.25182201696396</v>
      </c>
      <c r="BH147" s="59">
        <f t="shared" si="116"/>
        <v>1183.5851553502973</v>
      </c>
      <c r="BI147" s="59">
        <f ca="1">AVERAGE(OFFSET($BH$3,0,0,'Données projet'!$E$11+1,1))-AVERAGE(OFFSET($H$3,0,0,'Données projet'!$E$11+1,1))</f>
        <v>402.5435069258703</v>
      </c>
      <c r="BJ147" s="59">
        <f t="shared" si="146"/>
        <v>163.60655195816349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104.5331618152796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104.5331618152796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6.8383333333333338</v>
      </c>
      <c r="BY147" s="12">
        <f>IF('Données projet'!$A$114&gt;35,BY146+BX147-CG146,IF(A147&lt;'Données projet'!$A$114,$BV$205^A147,IF(A147='Données projet'!$A$114,'Données projet'!$B$114,BY146+BX147-CG146)))</f>
        <v>410.368333333333</v>
      </c>
      <c r="BZ147" s="13">
        <f>BY147*VLOOKUP('Données projet'!$B$12,Paramètres!$A$1:$I$89,3,0)*VLOOKUP('Données projet'!$B$12,Paramètres!$A$1:$I$89,5,0)</f>
        <v>371.30126799999971</v>
      </c>
      <c r="CA147" s="13">
        <f t="shared" si="147"/>
        <v>85.933468319082124</v>
      </c>
      <c r="CB147" s="20">
        <f t="shared" si="118"/>
        <v>796.35049908906751</v>
      </c>
      <c r="CC147" s="59">
        <f t="shared" si="119"/>
        <v>1089.6838324224009</v>
      </c>
      <c r="CD147" s="59">
        <f ca="1">AVERAGE(OFFSET($CC$3,0,0,'Données projet'!$E$12+1,1))-AVERAGE(OFFSET($H$3,0,0,'Données projet'!$E$12+1,1))</f>
        <v>350.91577977538822</v>
      </c>
      <c r="CE147" s="59">
        <f t="shared" si="148"/>
        <v>142.87103313412547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93.275744389018726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93.275744389018726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266.99999999999983</v>
      </c>
      <c r="CU147" s="17">
        <f>CT147*VLOOKUP('Données projet'!$B$13,Paramètres!$A$1:$I$89,3,0)*VLOOKUP('Données projet'!$B$13,Paramètres!$A$1:$I$89,5,0)</f>
        <v>216.59039999999987</v>
      </c>
      <c r="CV147" s="13">
        <f t="shared" si="149"/>
        <v>53.373153688190904</v>
      </c>
      <c r="CW147" s="20">
        <f t="shared" si="121"/>
        <v>470.18652267359886</v>
      </c>
      <c r="CX147" s="59">
        <f t="shared" si="122"/>
        <v>763.51985600693217</v>
      </c>
      <c r="CY147" s="59">
        <f ca="1">AVERAGE(OFFSET($CX$3,0,0,'Données projet'!$E$13+1,1))-AVERAGE(OFFSET($H$3,0,0,'Données projet'!$E$13+1,1))</f>
        <v>230.38929580146208</v>
      </c>
      <c r="CZ147" s="59">
        <f t="shared" si="150"/>
        <v>227.1847788696258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12.45476985836587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12.45476985836587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3.009999999999792</v>
      </c>
      <c r="DP147" s="17">
        <f>DO147*VLOOKUP('Données projet'!$B$14,Paramètres!$A$1:$I$89,3,0)*VLOOKUP('Données projet'!$B$14,Paramètres!$A$1:$I$89,5,0)</f>
        <v>1.7999799999998758</v>
      </c>
      <c r="DQ147" s="13">
        <f t="shared" si="151"/>
        <v>0.77465189310357685</v>
      </c>
      <c r="DR147" s="20">
        <f t="shared" si="124"/>
        <v>4.4841505471551795</v>
      </c>
      <c r="DS147" s="59">
        <f t="shared" si="125"/>
        <v>297.81748388048851</v>
      </c>
      <c r="DT147" s="59">
        <f ca="1">AVERAGE(OFFSET($DS$3,0,0,'Données projet'!$E$14+1,1))-AVERAGE(OFFSET($H$3,0,0,'Données projet'!$E$14+1,1))</f>
        <v>145.97103392561058</v>
      </c>
      <c r="DU147" s="59">
        <f t="shared" si="152"/>
        <v>62.920713953681172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81.676190514304281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81.676190514304281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0.8600000000003547</v>
      </c>
      <c r="O148" s="13">
        <f>N148*VLOOKUP('Données projet'!$B$9,Paramètres!$A$1:$I$89,3,0)*VLOOKUP('Données projet'!$B$9,Paramètres!$A$1:$I$89,5,0)</f>
        <v>0.48074000000019829</v>
      </c>
      <c r="P148" s="13">
        <f t="shared" si="141"/>
        <v>0.24126147010950588</v>
      </c>
      <c r="Q148" s="20">
        <f t="shared" si="108"/>
        <v>1.2574858937744013</v>
      </c>
      <c r="R148" s="59">
        <f t="shared" si="109"/>
        <v>294.59081922710772</v>
      </c>
      <c r="S148" s="59">
        <f ca="1">AVERAGE(OFFSET($R$3,0,0,'Données projet'!$E$9+1,1))-AVERAGE(OFFSET($H$3,0,0,'Données projet'!$E$9+1,1))</f>
        <v>350.01600895263641</v>
      </c>
      <c r="T148" s="59">
        <f t="shared" si="142"/>
        <v>464.08921044376882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62.549001269272971</v>
      </c>
      <c r="AA148" s="21">
        <f>EXP(-LN(2)/25)*AA147+(1-EXP(-LN(2)/25))/(LN(2)/25)*Calculateur!V148*Calculateur!X148*VLOOKUP('Données projet'!$B$9,Paramètres!$A$1:$I$89,3,0)*0.475*44/12</f>
        <v>2.0852872767210902</v>
      </c>
      <c r="AB148" s="21">
        <f>EXP(-LN(2)/2)*AB147+(1-EXP(-LN(2)/2))/(LN(2)/2)*V148*Y148*VLOOKUP('Données projet'!$B$9,Paramètres!$A$1:$I$89,3,0)*0.475*44/12</f>
        <v>3.6304488834588447E-18</v>
      </c>
      <c r="AC148" s="22">
        <f t="shared" si="111"/>
        <v>64.634288545994067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227.99999999999994</v>
      </c>
      <c r="AJ148" s="13">
        <f>AI148*VLOOKUP('Données projet'!$B$10,Paramètres!$A$1:$I$89,3,0)*VLOOKUP('Données projet'!$B$10,Paramètres!$A$1:$I$89,5,0)</f>
        <v>199.18079999999998</v>
      </c>
      <c r="AK148" s="13">
        <f t="shared" si="143"/>
        <v>49.564089376413683</v>
      </c>
      <c r="AL148" s="20">
        <f t="shared" si="112"/>
        <v>433.23068233058711</v>
      </c>
      <c r="AM148" s="59">
        <f t="shared" si="113"/>
        <v>726.56401566392037</v>
      </c>
      <c r="AN148" s="59">
        <f ca="1">AVERAGE(OFFSET($AM$3,0,0,'Données projet'!$E$10+1,1))-AVERAGE(OFFSET($H$3,0,0,'Données projet'!$E$10+1,1))</f>
        <v>242.48830542479988</v>
      </c>
      <c r="AO148" s="59">
        <f t="shared" si="144"/>
        <v>226.11219631227061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20.390035992674687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20.390035992674687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6.8383333333333338</v>
      </c>
      <c r="BD148" s="12">
        <f>IF('Données projet'!$A$88&gt;35,BD147+BC148-BL147,IF(A148&lt;'Données projet'!$A$88,$BA$205^A148,IF(A148='Données projet'!$A$88,'Données projet'!$B$88,BD147+BC148-BL147)))</f>
        <v>417.20666666666631</v>
      </c>
      <c r="BE148" s="13">
        <f>BD148*VLOOKUP('Données projet'!$B$11,Paramètres!$A$1:$I$89,3,0)*VLOOKUP('Données projet'!$B$11,Paramètres!$A$1:$I$89,5,0)</f>
        <v>423.04755999999963</v>
      </c>
      <c r="BF148" s="13">
        <f t="shared" si="145"/>
        <v>96.433861409712065</v>
      </c>
      <c r="BG148" s="20">
        <f t="shared" si="115"/>
        <v>904.76347562191461</v>
      </c>
      <c r="BH148" s="59">
        <f t="shared" si="116"/>
        <v>1198.096808955248</v>
      </c>
      <c r="BI148" s="59">
        <f ca="1">AVERAGE(OFFSET($BH$3,0,0,'Données projet'!$E$11+1,1))-AVERAGE(OFFSET($H$3,0,0,'Données projet'!$E$11+1,1))</f>
        <v>402.5435069258703</v>
      </c>
      <c r="BJ148" s="59">
        <f t="shared" si="146"/>
        <v>163.60655195816349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102.48333027101501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102.48333027101501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6.8383333333333338</v>
      </c>
      <c r="BY148" s="12">
        <f>IF('Données projet'!$A$114&gt;35,BY147+BX148-CG147,IF(A148&lt;'Données projet'!$A$114,$BV$205^A148,IF(A148='Données projet'!$A$114,'Données projet'!$B$114,BY147+BX148-CG147)))</f>
        <v>417.20666666666631</v>
      </c>
      <c r="BZ148" s="13">
        <f>BY148*VLOOKUP('Données projet'!$B$12,Paramètres!$A$1:$I$89,3,0)*VLOOKUP('Données projet'!$B$12,Paramètres!$A$1:$I$89,5,0)</f>
        <v>377.4885919999997</v>
      </c>
      <c r="CA148" s="13">
        <f t="shared" si="147"/>
        <v>87.19755153688088</v>
      </c>
      <c r="CB148" s="20">
        <f t="shared" si="118"/>
        <v>809.32836666006699</v>
      </c>
      <c r="CC148" s="59">
        <f t="shared" si="119"/>
        <v>1102.6616999934004</v>
      </c>
      <c r="CD148" s="59">
        <f ca="1">AVERAGE(OFFSET($CC$3,0,0,'Données projet'!$E$12+1,1))-AVERAGE(OFFSET($H$3,0,0,'Données projet'!$E$12+1,1))</f>
        <v>350.91577977538822</v>
      </c>
      <c r="CE148" s="59">
        <f t="shared" si="148"/>
        <v>142.87103313412547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91.446663934136467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91.446663934136467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266.99999999999983</v>
      </c>
      <c r="CU148" s="17">
        <f>CT148*VLOOKUP('Données projet'!$B$13,Paramètres!$A$1:$I$89,3,0)*VLOOKUP('Données projet'!$B$13,Paramètres!$A$1:$I$89,5,0)</f>
        <v>216.59039999999987</v>
      </c>
      <c r="CV148" s="13">
        <f t="shared" si="149"/>
        <v>53.373153688190904</v>
      </c>
      <c r="CW148" s="20">
        <f t="shared" si="121"/>
        <v>470.18652267359886</v>
      </c>
      <c r="CX148" s="59">
        <f t="shared" si="122"/>
        <v>763.51985600693217</v>
      </c>
      <c r="CY148" s="59">
        <f ca="1">AVERAGE(OFFSET($CX$3,0,0,'Données projet'!$E$13+1,1))-AVERAGE(OFFSET($H$3,0,0,'Données projet'!$E$13+1,1))</f>
        <v>230.38929580146208</v>
      </c>
      <c r="CZ148" s="59">
        <f t="shared" si="150"/>
        <v>227.1847788696258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12.210539418102821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12.210539418102821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3.009999999999792</v>
      </c>
      <c r="DP148" s="17">
        <f>DO148*VLOOKUP('Données projet'!$B$14,Paramètres!$A$1:$I$89,3,0)*VLOOKUP('Données projet'!$B$14,Paramètres!$A$1:$I$89,5,0)</f>
        <v>1.7999799999998758</v>
      </c>
      <c r="DQ148" s="13">
        <f t="shared" si="151"/>
        <v>0.77465189310357685</v>
      </c>
      <c r="DR148" s="20">
        <f t="shared" si="124"/>
        <v>4.4841505471551795</v>
      </c>
      <c r="DS148" s="59">
        <f t="shared" si="125"/>
        <v>297.81748388048851</v>
      </c>
      <c r="DT148" s="59">
        <f ca="1">AVERAGE(OFFSET($DS$3,0,0,'Données projet'!$E$14+1,1))-AVERAGE(OFFSET($H$3,0,0,'Données projet'!$E$14+1,1))</f>
        <v>145.97103392561058</v>
      </c>
      <c r="DU148" s="59">
        <f t="shared" si="152"/>
        <v>62.920713953681172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80.07457023587591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80.07457023587591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0.8600000000003547</v>
      </c>
      <c r="O149" s="13">
        <f>N149*VLOOKUP('Données projet'!$B$9,Paramètres!$A$1:$I$89,3,0)*VLOOKUP('Données projet'!$B$9,Paramètres!$A$1:$I$89,5,0)</f>
        <v>0.48074000000019829</v>
      </c>
      <c r="P149" s="13">
        <f t="shared" si="141"/>
        <v>0.24126147010950588</v>
      </c>
      <c r="Q149" s="20">
        <f t="shared" si="108"/>
        <v>1.2574858937744013</v>
      </c>
      <c r="R149" s="59">
        <f t="shared" si="109"/>
        <v>294.59081922710772</v>
      </c>
      <c r="S149" s="59">
        <f ca="1">AVERAGE(OFFSET($R$3,0,0,'Données projet'!$E$9+1,1))-AVERAGE(OFFSET($H$3,0,0,'Données projet'!$E$9+1,1))</f>
        <v>350.01600895263641</v>
      </c>
      <c r="T149" s="59">
        <f t="shared" si="142"/>
        <v>464.08921044376882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61.322453505506189</v>
      </c>
      <c r="AA149" s="21">
        <f>EXP(-LN(2)/25)*AA148+(1-EXP(-LN(2)/25))/(LN(2)/25)*Calculateur!V149*Calculateur!X149*VLOOKUP('Données projet'!$B$9,Paramètres!$A$1:$I$89,3,0)*0.475*44/12</f>
        <v>2.0282649864786602</v>
      </c>
      <c r="AB149" s="21">
        <f>EXP(-LN(2)/2)*AB148+(1-EXP(-LN(2)/2))/(LN(2)/2)*V149*Y149*VLOOKUP('Données projet'!$B$9,Paramètres!$A$1:$I$89,3,0)*0.475*44/12</f>
        <v>2.5671150242448792E-18</v>
      </c>
      <c r="AC149" s="22">
        <f t="shared" si="111"/>
        <v>63.35071849198485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227.99999999999994</v>
      </c>
      <c r="AJ149" s="13">
        <f>AI149*VLOOKUP('Données projet'!$B$10,Paramètres!$A$1:$I$89,3,0)*VLOOKUP('Données projet'!$B$10,Paramètres!$A$1:$I$89,5,0)</f>
        <v>199.18079999999998</v>
      </c>
      <c r="AK149" s="13">
        <f t="shared" si="143"/>
        <v>49.564089376413683</v>
      </c>
      <c r="AL149" s="20">
        <f t="shared" si="112"/>
        <v>433.23068233058711</v>
      </c>
      <c r="AM149" s="59">
        <f t="shared" si="113"/>
        <v>726.56401566392037</v>
      </c>
      <c r="AN149" s="59">
        <f ca="1">AVERAGE(OFFSET($AM$3,0,0,'Données projet'!$E$10+1,1))-AVERAGE(OFFSET($H$3,0,0,'Données projet'!$E$10+1,1))</f>
        <v>242.48830542479988</v>
      </c>
      <c r="AO149" s="59">
        <f t="shared" si="144"/>
        <v>226.11219631227061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19.99019982355227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19.99019982355227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6.8383333333333338</v>
      </c>
      <c r="BD149" s="12">
        <f>IF('Données projet'!$A$88&gt;35,BD148+BC149-BL148,IF(A149&lt;'Données projet'!$A$88,$BA$205^A149,IF(A149='Données projet'!$A$88,'Données projet'!$B$88,BD148+BC149-BL148)))</f>
        <v>424.04499999999962</v>
      </c>
      <c r="BE149" s="13">
        <f>BD149*VLOOKUP('Données projet'!$B$11,Paramètres!$A$1:$I$89,3,0)*VLOOKUP('Données projet'!$B$11,Paramètres!$A$1:$I$89,5,0)</f>
        <v>429.98162999999965</v>
      </c>
      <c r="BF149" s="13">
        <f t="shared" si="145"/>
        <v>97.829176559231584</v>
      </c>
      <c r="BG149" s="20">
        <f t="shared" si="115"/>
        <v>919.27048809066093</v>
      </c>
      <c r="BH149" s="59">
        <f t="shared" si="116"/>
        <v>1212.6038214239943</v>
      </c>
      <c r="BI149" s="59">
        <f ca="1">AVERAGE(OFFSET($BH$3,0,0,'Données projet'!$E$11+1,1))-AVERAGE(OFFSET($H$3,0,0,'Données projet'!$E$11+1,1))</f>
        <v>402.5435069258703</v>
      </c>
      <c r="BJ149" s="59">
        <f t="shared" si="146"/>
        <v>163.60655195816349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100.47369467305965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100.47369467305965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6.8383333333333338</v>
      </c>
      <c r="BY149" s="12">
        <f>IF('Données projet'!$A$114&gt;35,BY148+BX149-CG148,IF(A149&lt;'Données projet'!$A$114,$BV$205^A149,IF(A149='Données projet'!$A$114,'Données projet'!$B$114,BY148+BX149-CG148)))</f>
        <v>424.04499999999962</v>
      </c>
      <c r="BZ149" s="13">
        <f>BY149*VLOOKUP('Données projet'!$B$12,Paramètres!$A$1:$I$89,3,0)*VLOOKUP('Données projet'!$B$12,Paramètres!$A$1:$I$89,5,0)</f>
        <v>383.67591599999969</v>
      </c>
      <c r="CA149" s="13">
        <f t="shared" si="147"/>
        <v>88.45922521541884</v>
      </c>
      <c r="CB149" s="20">
        <f t="shared" si="118"/>
        <v>822.3020376168538</v>
      </c>
      <c r="CC149" s="59">
        <f t="shared" si="119"/>
        <v>1115.6353709501871</v>
      </c>
      <c r="CD149" s="59">
        <f ca="1">AVERAGE(OFFSET($CC$3,0,0,'Données projet'!$E$12+1,1))-AVERAGE(OFFSET($H$3,0,0,'Données projet'!$E$12+1,1))</f>
        <v>350.91577977538822</v>
      </c>
      <c r="CE149" s="59">
        <f t="shared" si="148"/>
        <v>142.87103313412547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89.653450631345535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89.653450631345535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266.99999999999983</v>
      </c>
      <c r="CU149" s="17">
        <f>CT149*VLOOKUP('Données projet'!$B$13,Paramètres!$A$1:$I$89,3,0)*VLOOKUP('Données projet'!$B$13,Paramètres!$A$1:$I$89,5,0)</f>
        <v>216.59039999999987</v>
      </c>
      <c r="CV149" s="13">
        <f t="shared" si="149"/>
        <v>53.373153688190904</v>
      </c>
      <c r="CW149" s="20">
        <f t="shared" si="121"/>
        <v>470.18652267359886</v>
      </c>
      <c r="CX149" s="59">
        <f t="shared" si="122"/>
        <v>763.51985600693217</v>
      </c>
      <c r="CY149" s="59">
        <f ca="1">AVERAGE(OFFSET($CX$3,0,0,'Données projet'!$E$13+1,1))-AVERAGE(OFFSET($H$3,0,0,'Données projet'!$E$13+1,1))</f>
        <v>230.38929580146208</v>
      </c>
      <c r="CZ149" s="59">
        <f t="shared" si="150"/>
        <v>227.1847788696258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11.97109818780747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11.97109818780747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3.009999999999792</v>
      </c>
      <c r="DP149" s="17">
        <f>DO149*VLOOKUP('Données projet'!$B$14,Paramètres!$A$1:$I$89,3,0)*VLOOKUP('Données projet'!$B$14,Paramètres!$A$1:$I$89,5,0)</f>
        <v>1.7999799999998758</v>
      </c>
      <c r="DQ149" s="13">
        <f t="shared" si="151"/>
        <v>0.77465189310357685</v>
      </c>
      <c r="DR149" s="20">
        <f t="shared" si="124"/>
        <v>4.4841505471551795</v>
      </c>
      <c r="DS149" s="59">
        <f t="shared" si="125"/>
        <v>297.81748388048851</v>
      </c>
      <c r="DT149" s="59">
        <f ca="1">AVERAGE(OFFSET($DS$3,0,0,'Données projet'!$E$14+1,1))-AVERAGE(OFFSET($H$3,0,0,'Données projet'!$E$14+1,1))</f>
        <v>145.97103392561058</v>
      </c>
      <c r="DU149" s="59">
        <f t="shared" si="152"/>
        <v>62.920713953681172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78.504356754215607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78.504356754215607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0.8600000000003547</v>
      </c>
      <c r="O150" s="13">
        <f>N150*VLOOKUP('Données projet'!$B$9,Paramètres!$A$1:$I$89,3,0)*VLOOKUP('Données projet'!$B$9,Paramètres!$A$1:$I$89,5,0)</f>
        <v>0.48074000000019829</v>
      </c>
      <c r="P150" s="13">
        <f t="shared" si="141"/>
        <v>0.24126147010950588</v>
      </c>
      <c r="Q150" s="20">
        <f t="shared" si="108"/>
        <v>1.2574858937744013</v>
      </c>
      <c r="R150" s="59">
        <f t="shared" si="109"/>
        <v>294.59081922710772</v>
      </c>
      <c r="S150" s="59">
        <f ca="1">AVERAGE(OFFSET($R$3,0,0,'Données projet'!$E$9+1,1))-AVERAGE(OFFSET($H$3,0,0,'Données projet'!$E$9+1,1))</f>
        <v>350.01600895263641</v>
      </c>
      <c r="T150" s="59">
        <f t="shared" si="142"/>
        <v>464.08921044376882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60.119957595266612</v>
      </c>
      <c r="AA150" s="21">
        <f>EXP(-LN(2)/25)*AA149+(1-EXP(-LN(2)/25))/(LN(2)/25)*Calculateur!V150*Calculateur!X150*VLOOKUP('Données projet'!$B$9,Paramètres!$A$1:$I$89,3,0)*0.475*44/12</f>
        <v>1.9728019737615812</v>
      </c>
      <c r="AB150" s="21">
        <f>EXP(-LN(2)/2)*AB149+(1-EXP(-LN(2)/2))/(LN(2)/2)*V150*Y150*VLOOKUP('Données projet'!$B$9,Paramètres!$A$1:$I$89,3,0)*0.475*44/12</f>
        <v>1.8152244417294224E-18</v>
      </c>
      <c r="AC150" s="22">
        <f t="shared" si="111"/>
        <v>62.092759569028196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227.99999999999994</v>
      </c>
      <c r="AJ150" s="13">
        <f>AI150*VLOOKUP('Données projet'!$B$10,Paramètres!$A$1:$I$89,3,0)*VLOOKUP('Données projet'!$B$10,Paramètres!$A$1:$I$89,5,0)</f>
        <v>199.18079999999998</v>
      </c>
      <c r="AK150" s="13">
        <f t="shared" si="143"/>
        <v>49.564089376413683</v>
      </c>
      <c r="AL150" s="20">
        <f t="shared" si="112"/>
        <v>433.23068233058711</v>
      </c>
      <c r="AM150" s="59">
        <f t="shared" si="113"/>
        <v>726.56401566392037</v>
      </c>
      <c r="AN150" s="59">
        <f ca="1">AVERAGE(OFFSET($AM$3,0,0,'Données projet'!$E$10+1,1))-AVERAGE(OFFSET($H$3,0,0,'Données projet'!$E$10+1,1))</f>
        <v>242.48830542479988</v>
      </c>
      <c r="AO150" s="59">
        <f t="shared" si="144"/>
        <v>226.11219631227061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19.598204197830363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19.598204197830363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6.8383333333333338</v>
      </c>
      <c r="BD150" s="12">
        <f>IF('Données projet'!$A$88&gt;35,BD149+BC150-BL149,IF(A150&lt;'Données projet'!$A$88,$BA$205^A150,IF(A150='Données projet'!$A$88,'Données projet'!$B$88,BD149+BC150-BL149)))</f>
        <v>430.88333333333293</v>
      </c>
      <c r="BE150" s="13">
        <f>BD150*VLOOKUP('Données projet'!$B$11,Paramètres!$A$1:$I$89,3,0)*VLOOKUP('Données projet'!$B$11,Paramètres!$A$1:$I$89,5,0)</f>
        <v>436.91569999999962</v>
      </c>
      <c r="BF150" s="13">
        <f t="shared" si="145"/>
        <v>99.221874876007874</v>
      </c>
      <c r="BG150" s="20">
        <f t="shared" si="115"/>
        <v>933.77294290904638</v>
      </c>
      <c r="BH150" s="59">
        <f t="shared" si="116"/>
        <v>1227.1062762423796</v>
      </c>
      <c r="BI150" s="59">
        <f ca="1">AVERAGE(OFFSET($BH$3,0,0,'Données projet'!$E$11+1,1))-AVERAGE(OFFSET($H$3,0,0,'Données projet'!$E$11+1,1))</f>
        <v>402.5435069258703</v>
      </c>
      <c r="BJ150" s="59">
        <f t="shared" si="146"/>
        <v>163.60655195816349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98.503466803423521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98.503466803423521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6.8383333333333338</v>
      </c>
      <c r="BY150" s="12">
        <f>IF('Données projet'!$A$114&gt;35,BY149+BX150-CG149,IF(A150&lt;'Données projet'!$A$114,$BV$205^A150,IF(A150='Données projet'!$A$114,'Données projet'!$B$114,BY149+BX150-CG149)))</f>
        <v>430.88333333333293</v>
      </c>
      <c r="BZ150" s="13">
        <f>BY150*VLOOKUP('Données projet'!$B$12,Paramètres!$A$1:$I$89,3,0)*VLOOKUP('Données projet'!$B$12,Paramètres!$A$1:$I$89,5,0)</f>
        <v>389.86323999999962</v>
      </c>
      <c r="CA150" s="13">
        <f t="shared" si="147"/>
        <v>89.718532698051746</v>
      </c>
      <c r="CB150" s="20">
        <f t="shared" si="118"/>
        <v>835.27158744910605</v>
      </c>
      <c r="CC150" s="59">
        <f t="shared" si="119"/>
        <v>1128.6049207824394</v>
      </c>
      <c r="CD150" s="59">
        <f ca="1">AVERAGE(OFFSET($CC$3,0,0,'Données projet'!$E$12+1,1))-AVERAGE(OFFSET($H$3,0,0,'Données projet'!$E$12+1,1))</f>
        <v>350.91577977538822</v>
      </c>
      <c r="CE150" s="59">
        <f t="shared" si="148"/>
        <v>142.87103313412547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87.895401147670214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87.895401147670214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266.99999999999983</v>
      </c>
      <c r="CU150" s="17">
        <f>CT150*VLOOKUP('Données projet'!$B$13,Paramètres!$A$1:$I$89,3,0)*VLOOKUP('Données projet'!$B$13,Paramètres!$A$1:$I$89,5,0)</f>
        <v>216.59039999999987</v>
      </c>
      <c r="CV150" s="13">
        <f t="shared" si="149"/>
        <v>53.373153688190904</v>
      </c>
      <c r="CW150" s="20">
        <f t="shared" si="121"/>
        <v>470.18652267359886</v>
      </c>
      <c r="CX150" s="59">
        <f t="shared" si="122"/>
        <v>763.51985600693217</v>
      </c>
      <c r="CY150" s="59">
        <f ca="1">AVERAGE(OFFSET($CX$3,0,0,'Données projet'!$E$13+1,1))-AVERAGE(OFFSET($H$3,0,0,'Données projet'!$E$13+1,1))</f>
        <v>230.38929580146208</v>
      </c>
      <c r="CZ150" s="59">
        <f t="shared" si="150"/>
        <v>227.1847788696258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11.736352253993482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11.736352253993482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3.009999999999792</v>
      </c>
      <c r="DP150" s="17">
        <f>DO150*VLOOKUP('Données projet'!$B$14,Paramètres!$A$1:$I$89,3,0)*VLOOKUP('Données projet'!$B$14,Paramètres!$A$1:$I$89,5,0)</f>
        <v>1.7999799999998758</v>
      </c>
      <c r="DQ150" s="13">
        <f t="shared" si="151"/>
        <v>0.77465189310357685</v>
      </c>
      <c r="DR150" s="20">
        <f t="shared" si="124"/>
        <v>4.4841505471551795</v>
      </c>
      <c r="DS150" s="59">
        <f t="shared" si="125"/>
        <v>297.81748388048851</v>
      </c>
      <c r="DT150" s="59">
        <f ca="1">AVERAGE(OFFSET($DS$3,0,0,'Données projet'!$E$14+1,1))-AVERAGE(OFFSET($H$3,0,0,'Données projet'!$E$14+1,1))</f>
        <v>145.97103392561058</v>
      </c>
      <c r="DU150" s="59">
        <f t="shared" si="152"/>
        <v>62.920713953681172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76.964934201195007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76.964934201195007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0.8600000000003547</v>
      </c>
      <c r="O151" s="13">
        <f>N151*VLOOKUP('Données projet'!$B$9,Paramètres!$A$1:$I$89,3,0)*VLOOKUP('Données projet'!$B$9,Paramètres!$A$1:$I$89,5,0)</f>
        <v>0.48074000000019829</v>
      </c>
      <c r="P151" s="13">
        <f t="shared" si="141"/>
        <v>0.24126147010950588</v>
      </c>
      <c r="Q151" s="20">
        <f t="shared" si="108"/>
        <v>1.2574858937744013</v>
      </c>
      <c r="R151" s="59">
        <f t="shared" si="109"/>
        <v>294.59081922710772</v>
      </c>
      <c r="S151" s="59">
        <f ca="1">AVERAGE(OFFSET($R$3,0,0,'Données projet'!$E$9+1,1))-AVERAGE(OFFSET($H$3,0,0,'Données projet'!$E$9+1,1))</f>
        <v>350.01600895263641</v>
      </c>
      <c r="T151" s="59">
        <f t="shared" si="142"/>
        <v>464.08921044376882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58.941041896376753</v>
      </c>
      <c r="AA151" s="21">
        <f>EXP(-LN(2)/25)*AA150+(1-EXP(-LN(2)/25))/(LN(2)/25)*Calculateur!V151*Calculateur!X151*VLOOKUP('Données projet'!$B$9,Paramètres!$A$1:$I$89,3,0)*0.475*44/12</f>
        <v>1.9188556000439239</v>
      </c>
      <c r="AB151" s="21">
        <f>EXP(-LN(2)/2)*AB150+(1-EXP(-LN(2)/2))/(LN(2)/2)*V151*Y151*VLOOKUP('Données projet'!$B$9,Paramètres!$A$1:$I$89,3,0)*0.475*44/12</f>
        <v>1.2835575121224396E-18</v>
      </c>
      <c r="AC151" s="22">
        <f t="shared" si="111"/>
        <v>60.859897496420679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227.99999999999994</v>
      </c>
      <c r="AJ151" s="13">
        <f>AI151*VLOOKUP('Données projet'!$B$10,Paramètres!$A$1:$I$89,3,0)*VLOOKUP('Données projet'!$B$10,Paramètres!$A$1:$I$89,5,0)</f>
        <v>199.18079999999998</v>
      </c>
      <c r="AK151" s="13">
        <f t="shared" si="143"/>
        <v>49.564089376413683</v>
      </c>
      <c r="AL151" s="20">
        <f t="shared" si="112"/>
        <v>433.23068233058711</v>
      </c>
      <c r="AM151" s="59">
        <f t="shared" si="113"/>
        <v>726.56401566392037</v>
      </c>
      <c r="AN151" s="59">
        <f ca="1">AVERAGE(OFFSET($AM$3,0,0,'Données projet'!$E$10+1,1))-AVERAGE(OFFSET($H$3,0,0,'Données projet'!$E$10+1,1))</f>
        <v>242.48830542479988</v>
      </c>
      <c r="AO151" s="59">
        <f t="shared" si="144"/>
        <v>226.11219631227061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19.213895367235139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19.213895367235139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6.8383333333333338</v>
      </c>
      <c r="BD151" s="12">
        <f>IF('Données projet'!$A$88&gt;35,BD150+BC151-BL150,IF(A151&lt;'Données projet'!$A$88,$BA$205^A151,IF(A151='Données projet'!$A$88,'Données projet'!$B$88,BD150+BC151-BL150)))</f>
        <v>437.72166666666624</v>
      </c>
      <c r="BE151" s="13">
        <f>BD151*VLOOKUP('Données projet'!$B$11,Paramètres!$A$1:$I$89,3,0)*VLOOKUP('Données projet'!$B$11,Paramètres!$A$1:$I$89,5,0)</f>
        <v>443.84976999999958</v>
      </c>
      <c r="BF151" s="13">
        <f t="shared" si="145"/>
        <v>100.61200268574333</v>
      </c>
      <c r="BG151" s="20">
        <f t="shared" si="115"/>
        <v>948.27092076100234</v>
      </c>
      <c r="BH151" s="59">
        <f t="shared" si="116"/>
        <v>1241.6042540943356</v>
      </c>
      <c r="BI151" s="59">
        <f ca="1">AVERAGE(OFFSET($BH$3,0,0,'Données projet'!$E$11+1,1))-AVERAGE(OFFSET($H$3,0,0,'Données projet'!$E$11+1,1))</f>
        <v>402.5435069258703</v>
      </c>
      <c r="BJ151" s="59">
        <f t="shared" si="146"/>
        <v>163.60655195816349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96.571873900590617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96.571873900590617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6.8383333333333338</v>
      </c>
      <c r="BY151" s="12">
        <f>IF('Données projet'!$A$114&gt;35,BY150+BX151-CG150,IF(A151&lt;'Données projet'!$A$114,$BV$205^A151,IF(A151='Données projet'!$A$114,'Données projet'!$B$114,BY150+BX151-CG150)))</f>
        <v>437.72166666666624</v>
      </c>
      <c r="BZ151" s="13">
        <f>BY151*VLOOKUP('Données projet'!$B$12,Paramètres!$A$1:$I$89,3,0)*VLOOKUP('Données projet'!$B$12,Paramètres!$A$1:$I$89,5,0)</f>
        <v>396.05056399999955</v>
      </c>
      <c r="CA151" s="13">
        <f t="shared" si="147"/>
        <v>90.975515873466136</v>
      </c>
      <c r="CB151" s="20">
        <f t="shared" si="118"/>
        <v>848.23708911295273</v>
      </c>
      <c r="CC151" s="59">
        <f t="shared" si="119"/>
        <v>1141.5704224462861</v>
      </c>
      <c r="CD151" s="59">
        <f ca="1">AVERAGE(OFFSET($CC$3,0,0,'Données projet'!$E$12+1,1))-AVERAGE(OFFSET($H$3,0,0,'Données projet'!$E$12+1,1))</f>
        <v>350.91577977538822</v>
      </c>
      <c r="CE151" s="59">
        <f t="shared" si="148"/>
        <v>142.87103313412547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86.171825942065468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86.171825942065468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266.99999999999983</v>
      </c>
      <c r="CU151" s="17">
        <f>CT151*VLOOKUP('Données projet'!$B$13,Paramètres!$A$1:$I$89,3,0)*VLOOKUP('Données projet'!$B$13,Paramètres!$A$1:$I$89,5,0)</f>
        <v>216.59039999999987</v>
      </c>
      <c r="CV151" s="13">
        <f t="shared" si="149"/>
        <v>53.373153688190904</v>
      </c>
      <c r="CW151" s="20">
        <f t="shared" si="121"/>
        <v>470.18652267359886</v>
      </c>
      <c r="CX151" s="59">
        <f t="shared" si="122"/>
        <v>763.51985600693217</v>
      </c>
      <c r="CY151" s="59">
        <f ca="1">AVERAGE(OFFSET($CX$3,0,0,'Données projet'!$E$13+1,1))-AVERAGE(OFFSET($H$3,0,0,'Données projet'!$E$13+1,1))</f>
        <v>230.38929580146208</v>
      </c>
      <c r="CZ151" s="59">
        <f t="shared" si="150"/>
        <v>227.1847788696258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11.506209544760704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11.506209544760704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3.009999999999792</v>
      </c>
      <c r="DP151" s="17">
        <f>DO151*VLOOKUP('Données projet'!$B$14,Paramètres!$A$1:$I$89,3,0)*VLOOKUP('Données projet'!$B$14,Paramètres!$A$1:$I$89,5,0)</f>
        <v>1.7999799999998758</v>
      </c>
      <c r="DQ151" s="13">
        <f t="shared" si="151"/>
        <v>0.77465189310357685</v>
      </c>
      <c r="DR151" s="20">
        <f t="shared" si="124"/>
        <v>4.4841505471551795</v>
      </c>
      <c r="DS151" s="59">
        <f t="shared" si="125"/>
        <v>297.81748388048851</v>
      </c>
      <c r="DT151" s="59">
        <f ca="1">AVERAGE(OFFSET($DS$3,0,0,'Données projet'!$E$14+1,1))-AVERAGE(OFFSET($H$3,0,0,'Données projet'!$E$14+1,1))</f>
        <v>145.97103392561058</v>
      </c>
      <c r="DU151" s="59">
        <f t="shared" si="152"/>
        <v>62.920713953681172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75.455698785484103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75.455698785484103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0.8600000000003547</v>
      </c>
      <c r="O152" s="13">
        <f>N152*VLOOKUP('Données projet'!$B$9,Paramètres!$A$1:$I$89,3,0)*VLOOKUP('Données projet'!$B$9,Paramètres!$A$1:$I$89,5,0)</f>
        <v>0.48074000000019829</v>
      </c>
      <c r="P152" s="13">
        <f t="shared" si="141"/>
        <v>0.24126147010950588</v>
      </c>
      <c r="Q152" s="20">
        <f t="shared" si="108"/>
        <v>1.2574858937744013</v>
      </c>
      <c r="R152" s="59">
        <f t="shared" si="109"/>
        <v>294.59081922710772</v>
      </c>
      <c r="S152" s="59">
        <f ca="1">AVERAGE(OFFSET($R$3,0,0,'Données projet'!$E$9+1,1))-AVERAGE(OFFSET($H$3,0,0,'Données projet'!$E$9+1,1))</f>
        <v>350.01600895263641</v>
      </c>
      <c r="T152" s="59">
        <f t="shared" si="142"/>
        <v>464.08921044376882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57.785244015274543</v>
      </c>
      <c r="AA152" s="21">
        <f>EXP(-LN(2)/25)*AA151+(1-EXP(-LN(2)/25))/(LN(2)/25)*Calculateur!V152*Calculateur!X152*VLOOKUP('Données projet'!$B$9,Paramètres!$A$1:$I$89,3,0)*0.475*44/12</f>
        <v>1.8663843927524923</v>
      </c>
      <c r="AB152" s="21">
        <f>EXP(-LN(2)/2)*AB151+(1-EXP(-LN(2)/2))/(LN(2)/2)*V152*Y152*VLOOKUP('Données projet'!$B$9,Paramètres!$A$1:$I$89,3,0)*0.475*44/12</f>
        <v>9.0761222086471118E-19</v>
      </c>
      <c r="AC152" s="22">
        <f t="shared" si="111"/>
        <v>59.651628408027037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227.99999999999994</v>
      </c>
      <c r="AJ152" s="13">
        <f>AI152*VLOOKUP('Données projet'!$B$10,Paramètres!$A$1:$I$89,3,0)*VLOOKUP('Données projet'!$B$10,Paramètres!$A$1:$I$89,5,0)</f>
        <v>199.18079999999998</v>
      </c>
      <c r="AK152" s="13">
        <f t="shared" si="143"/>
        <v>49.564089376413683</v>
      </c>
      <c r="AL152" s="20">
        <f t="shared" si="112"/>
        <v>433.23068233058711</v>
      </c>
      <c r="AM152" s="59">
        <f t="shared" si="113"/>
        <v>726.56401566392037</v>
      </c>
      <c r="AN152" s="59">
        <f ca="1">AVERAGE(OFFSET($AM$3,0,0,'Données projet'!$E$10+1,1))-AVERAGE(OFFSET($H$3,0,0,'Données projet'!$E$10+1,1))</f>
        <v>242.48830542479988</v>
      </c>
      <c r="AO152" s="59">
        <f t="shared" si="144"/>
        <v>226.11219631227061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18.837122598402644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18.837122598402644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>
        <f>VLOOKUP(A152,'Données projet'!$A$87:$I$107,2,0)</f>
        <v>444.56</v>
      </c>
      <c r="BB152" s="12">
        <f>VLOOKUP(A152,'Données projet'!$A$87:$I$107,9,0)</f>
        <v>6.8383333333333338</v>
      </c>
      <c r="BC152" s="12">
        <f t="array" ref="BC152">INDEX(BB:BB,MIN(IF(ISNUMBER(BB152:BB348),ROW(BB152:BB348),"")))</f>
        <v>6.8383333333333338</v>
      </c>
      <c r="BD152" s="12">
        <f>IF('Données projet'!$A$88&gt;35,BD151+BC152-BL151,IF(A152&lt;'Données projet'!$A$88,$BA$205^A152,IF(A152='Données projet'!$A$88,'Données projet'!$B$88,BD151+BC152-BL151)))</f>
        <v>444.55999999999955</v>
      </c>
      <c r="BE152" s="13">
        <f>BD152*VLOOKUP('Données projet'!$B$11,Paramètres!$A$1:$I$89,3,0)*VLOOKUP('Données projet'!$B$11,Paramètres!$A$1:$I$89,5,0)</f>
        <v>450.78383999999954</v>
      </c>
      <c r="BF152" s="13">
        <f t="shared" si="145"/>
        <v>101.99960478365178</v>
      </c>
      <c r="BG152" s="20">
        <f t="shared" si="115"/>
        <v>962.7644996648595</v>
      </c>
      <c r="BH152" s="59">
        <f t="shared" si="116"/>
        <v>1256.0978329981929</v>
      </c>
      <c r="BI152" s="59">
        <f ca="1">AVERAGE(OFFSET($BH$3,0,0,'Données projet'!$E$11+1,1))-AVERAGE(OFFSET($H$3,0,0,'Données projet'!$E$11+1,1))</f>
        <v>402.5435069258703</v>
      </c>
      <c r="BJ152" s="59">
        <f t="shared" si="146"/>
        <v>163.60655195816349</v>
      </c>
      <c r="BK152" s="15">
        <f>IF(ISNA(VLOOKUP(A152,'Données projet'!$A$87:$I$107,3,0)),0,VLOOKUP(A152,'Données projet'!$A$87:$I$107,3,0))</f>
        <v>12</v>
      </c>
      <c r="BL152" s="15">
        <f>IF(ISNA(VLOOKUP(A152,'Données projet'!$A$87:$I$107,4,0)),0,VLOOKUP(A152,'Données projet'!$A$87:$I$107,4,0))</f>
        <v>153.56</v>
      </c>
      <c r="BM152" s="16">
        <f>IF(ISNA(VLOOKUP(A152,'Données projet'!$A$87:$I$107,5,0)),0%,VLOOKUP(A152,'Données projet'!$A$87:$I$107,5,0)*VLOOKUP('Données projet'!$B$11,Paramètres!$A$1:$I$89,7,0))</f>
        <v>0.43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168.69518320280736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168.69518320280736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>
        <f>VLOOKUP(A152,'Données projet'!$A$113:$I$133,2,0)</f>
        <v>444.56</v>
      </c>
      <c r="BW152" s="12">
        <f>VLOOKUP(A152,'Données projet'!$A$113:$I$133,9,0)</f>
        <v>6.8383333333333338</v>
      </c>
      <c r="BX152" s="12">
        <f t="array" ref="BX152">INDEX(BW:BW,MIN(IF(ISNUMBER(BW152:BW348),ROW(BW152:BW348),"")))</f>
        <v>6.8383333333333338</v>
      </c>
      <c r="BY152" s="12">
        <f>IF('Données projet'!$A$114&gt;35,BY151+BX152-CG151,IF(A152&lt;'Données projet'!$A$114,$BV$205^A152,IF(A152='Données projet'!$A$114,'Données projet'!$B$114,BY151+BX152-CG151)))</f>
        <v>444.55999999999955</v>
      </c>
      <c r="BZ152" s="13">
        <f>BY152*VLOOKUP('Données projet'!$B$12,Paramètres!$A$1:$I$89,3,0)*VLOOKUP('Données projet'!$B$12,Paramètres!$A$1:$I$89,5,0)</f>
        <v>402.2378879999996</v>
      </c>
      <c r="CA152" s="13">
        <f t="shared" si="147"/>
        <v>92.230215246448807</v>
      </c>
      <c r="CB152" s="20">
        <f t="shared" si="118"/>
        <v>861.19861315423111</v>
      </c>
      <c r="CC152" s="59">
        <f t="shared" si="119"/>
        <v>1154.5319464875645</v>
      </c>
      <c r="CD152" s="59">
        <f ca="1">AVERAGE(OFFSET($CC$3,0,0,'Données projet'!$E$12+1,1))-AVERAGE(OFFSET($H$3,0,0,'Données projet'!$E$12+1,1))</f>
        <v>350.91577977538822</v>
      </c>
      <c r="CE152" s="59">
        <f t="shared" si="148"/>
        <v>142.87103313412547</v>
      </c>
      <c r="CF152" s="15">
        <f>IF(ISNA(VLOOKUP(A152,'Données projet'!$A$113:$I$133,3,0)),0,VLOOKUP(A152,'Données projet'!$A$113:$I$133,3,0))</f>
        <v>12</v>
      </c>
      <c r="CG152" s="15">
        <f>IF(ISNA(VLOOKUP(A152,'Données projet'!$A$113:$I$133,4,0)),0,VLOOKUP(A152,'Données projet'!$A$113:$I$133,4,0))</f>
        <v>153.56</v>
      </c>
      <c r="CH152" s="16">
        <f>IF(ISNA(VLOOKUP(A152,'Données projet'!$A$113:$I$133,5,0)),0%,VLOOKUP(A152,'Données projet'!$A$113:$I$133,5,0)*VLOOKUP('Données projet'!$B$12,Paramètres!$A$1:$I$89,7,0))</f>
        <v>0.43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150.52800962712041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150.52800962712041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266.99999999999983</v>
      </c>
      <c r="CU152" s="17">
        <f>CT152*VLOOKUP('Données projet'!$B$13,Paramètres!$A$1:$I$89,3,0)*VLOOKUP('Données projet'!$B$13,Paramètres!$A$1:$I$89,5,0)</f>
        <v>216.59039999999987</v>
      </c>
      <c r="CV152" s="13">
        <f t="shared" si="149"/>
        <v>53.373153688190904</v>
      </c>
      <c r="CW152" s="20">
        <f t="shared" si="121"/>
        <v>470.18652267359886</v>
      </c>
      <c r="CX152" s="59">
        <f t="shared" si="122"/>
        <v>763.51985600693217</v>
      </c>
      <c r="CY152" s="59">
        <f ca="1">AVERAGE(OFFSET($CX$3,0,0,'Données projet'!$E$13+1,1))-AVERAGE(OFFSET($H$3,0,0,'Données projet'!$E$13+1,1))</f>
        <v>230.38929580146208</v>
      </c>
      <c r="CZ152" s="59">
        <f t="shared" si="150"/>
        <v>227.1847788696258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11.28057979368279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11.28057979368279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3.009999999999792</v>
      </c>
      <c r="DP152" s="17">
        <f>DO152*VLOOKUP('Données projet'!$B$14,Paramètres!$A$1:$I$89,3,0)*VLOOKUP('Données projet'!$B$14,Paramètres!$A$1:$I$89,5,0)</f>
        <v>1.7999799999998758</v>
      </c>
      <c r="DQ152" s="13">
        <f t="shared" si="151"/>
        <v>0.77465189310357685</v>
      </c>
      <c r="DR152" s="20">
        <f t="shared" si="124"/>
        <v>4.4841505471551795</v>
      </c>
      <c r="DS152" s="59">
        <f t="shared" si="125"/>
        <v>297.81748388048851</v>
      </c>
      <c r="DT152" s="59">
        <f ca="1">AVERAGE(OFFSET($DS$3,0,0,'Données projet'!$E$14+1,1))-AVERAGE(OFFSET($H$3,0,0,'Données projet'!$E$14+1,1))</f>
        <v>145.97103392561058</v>
      </c>
      <c r="DU152" s="59">
        <f t="shared" si="152"/>
        <v>62.920713953681172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73.976058555732578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73.976058555732578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0.8600000000003547</v>
      </c>
      <c r="O153" s="13">
        <f>N153*VLOOKUP('Données projet'!$B$9,Paramètres!$A$1:$I$89,3,0)*VLOOKUP('Données projet'!$B$9,Paramètres!$A$1:$I$89,5,0)</f>
        <v>0.48074000000019829</v>
      </c>
      <c r="P153" s="13">
        <f t="shared" si="141"/>
        <v>0.24126147010950588</v>
      </c>
      <c r="Q153" s="20">
        <f t="shared" si="108"/>
        <v>1.2574858937744013</v>
      </c>
      <c r="R153" s="59">
        <f t="shared" si="109"/>
        <v>294.59081922710772</v>
      </c>
      <c r="S153" s="59">
        <f ca="1">AVERAGE(OFFSET($R$3,0,0,'Données projet'!$E$9+1,1))-AVERAGE(OFFSET($H$3,0,0,'Données projet'!$E$9+1,1))</f>
        <v>350.01600895263641</v>
      </c>
      <c r="T153" s="59">
        <f t="shared" si="142"/>
        <v>464.08921044376882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56.652110625653656</v>
      </c>
      <c r="AA153" s="21">
        <f>EXP(-LN(2)/25)*AA152+(1-EXP(-LN(2)/25))/(LN(2)/25)*Calculateur!V153*Calculateur!X153*VLOOKUP('Données projet'!$B$9,Paramètres!$A$1:$I$89,3,0)*0.475*44/12</f>
        <v>1.8153480133837858</v>
      </c>
      <c r="AB153" s="21">
        <f>EXP(-LN(2)/2)*AB152+(1-EXP(-LN(2)/2))/(LN(2)/2)*V153*Y153*VLOOKUP('Données projet'!$B$9,Paramètres!$A$1:$I$89,3,0)*0.475*44/12</f>
        <v>6.4177875606121979E-19</v>
      </c>
      <c r="AC153" s="22">
        <f t="shared" si="111"/>
        <v>58.467458639037439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227.99999999999994</v>
      </c>
      <c r="AJ153" s="13">
        <f>AI153*VLOOKUP('Données projet'!$B$10,Paramètres!$A$1:$I$89,3,0)*VLOOKUP('Données projet'!$B$10,Paramètres!$A$1:$I$89,5,0)</f>
        <v>199.18079999999998</v>
      </c>
      <c r="AK153" s="13">
        <f t="shared" si="143"/>
        <v>49.564089376413683</v>
      </c>
      <c r="AL153" s="20">
        <f t="shared" si="112"/>
        <v>433.23068233058711</v>
      </c>
      <c r="AM153" s="59">
        <f t="shared" si="113"/>
        <v>726.56401566392037</v>
      </c>
      <c r="AN153" s="59">
        <f ca="1">AVERAGE(OFFSET($AM$3,0,0,'Données projet'!$E$10+1,1))-AVERAGE(OFFSET($H$3,0,0,'Données projet'!$E$10+1,1))</f>
        <v>242.48830542479988</v>
      </c>
      <c r="AO153" s="59">
        <f t="shared" si="144"/>
        <v>226.11219631227061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18.467738113758259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18.467738113758259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-1.1749999999999972</v>
      </c>
      <c r="BD153" s="12">
        <f>IF('Données projet'!$A$88&gt;35,BD152+BC153-BL152,IF(A153&lt;'Données projet'!$A$88,$BA$205^A153,IF(A153='Données projet'!$A$88,'Données projet'!$B$88,BD152+BC153-BL152)))</f>
        <v>289.82499999999953</v>
      </c>
      <c r="BE153" s="13">
        <f>BD153*VLOOKUP('Données projet'!$B$11,Paramètres!$A$1:$I$89,3,0)*VLOOKUP('Données projet'!$B$11,Paramètres!$A$1:$I$89,5,0)</f>
        <v>293.88254999999953</v>
      </c>
      <c r="BF153" s="13">
        <f t="shared" si="145"/>
        <v>69.892477310412005</v>
      </c>
      <c r="BG153" s="20">
        <f t="shared" si="115"/>
        <v>633.57483923230006</v>
      </c>
      <c r="BH153" s="59">
        <f t="shared" si="116"/>
        <v>926.90817256563332</v>
      </c>
      <c r="BI153" s="59">
        <f ca="1">AVERAGE(OFFSET($BH$3,0,0,'Données projet'!$E$11+1,1))-AVERAGE(OFFSET($H$3,0,0,'Données projet'!$E$11+1,1))</f>
        <v>402.5435069258703</v>
      </c>
      <c r="BJ153" s="59">
        <f t="shared" si="146"/>
        <v>163.60655195816349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165.38717355410213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165.38717355410213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-1.1749999999999972</v>
      </c>
      <c r="BY153" s="12">
        <f>IF('Données projet'!$A$114&gt;35,BY152+BX153-CG152,IF(A153&lt;'Données projet'!$A$114,$BV$205^A153,IF(A153='Données projet'!$A$114,'Données projet'!$B$114,BY152+BX153-CG152)))</f>
        <v>289.82499999999953</v>
      </c>
      <c r="BZ153" s="13">
        <f>BY153*VLOOKUP('Données projet'!$B$12,Paramètres!$A$1:$I$89,3,0)*VLOOKUP('Données projet'!$B$12,Paramètres!$A$1:$I$89,5,0)</f>
        <v>262.23365999999959</v>
      </c>
      <c r="CA153" s="13">
        <f t="shared" si="147"/>
        <v>63.198266700343318</v>
      </c>
      <c r="CB153" s="20">
        <f t="shared" si="118"/>
        <v>566.79393900309731</v>
      </c>
      <c r="CC153" s="59">
        <f t="shared" si="119"/>
        <v>860.12727233643068</v>
      </c>
      <c r="CD153" s="59">
        <f ca="1">AVERAGE(OFFSET($CC$3,0,0,'Données projet'!$E$12+1,1))-AVERAGE(OFFSET($H$3,0,0,'Données projet'!$E$12+1,1))</f>
        <v>350.91577977538822</v>
      </c>
      <c r="CE153" s="59">
        <f t="shared" si="148"/>
        <v>142.87103313412547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147.57624717135266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147.57624717135266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266.99999999999983</v>
      </c>
      <c r="CU153" s="17">
        <f>CT153*VLOOKUP('Données projet'!$B$13,Paramètres!$A$1:$I$89,3,0)*VLOOKUP('Données projet'!$B$13,Paramètres!$A$1:$I$89,5,0)</f>
        <v>216.59039999999987</v>
      </c>
      <c r="CV153" s="13">
        <f t="shared" si="149"/>
        <v>53.373153688190904</v>
      </c>
      <c r="CW153" s="20">
        <f t="shared" si="121"/>
        <v>470.18652267359886</v>
      </c>
      <c r="CX153" s="59">
        <f t="shared" si="122"/>
        <v>763.51985600693217</v>
      </c>
      <c r="CY153" s="59">
        <f ca="1">AVERAGE(OFFSET($CX$3,0,0,'Données projet'!$E$13+1,1))-AVERAGE(OFFSET($H$3,0,0,'Données projet'!$E$13+1,1))</f>
        <v>230.38929580146208</v>
      </c>
      <c r="CZ153" s="59">
        <f t="shared" si="150"/>
        <v>227.1847788696258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11.059374504402955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11.059374504402955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3.009999999999792</v>
      </c>
      <c r="DP153" s="17">
        <f>DO153*VLOOKUP('Données projet'!$B$14,Paramètres!$A$1:$I$89,3,0)*VLOOKUP('Données projet'!$B$14,Paramètres!$A$1:$I$89,5,0)</f>
        <v>1.7999799999998758</v>
      </c>
      <c r="DQ153" s="13">
        <f t="shared" si="151"/>
        <v>0.77465189310357685</v>
      </c>
      <c r="DR153" s="20">
        <f t="shared" si="124"/>
        <v>4.4841505471551795</v>
      </c>
      <c r="DS153" s="59">
        <f t="shared" si="125"/>
        <v>297.81748388048851</v>
      </c>
      <c r="DT153" s="59">
        <f ca="1">AVERAGE(OFFSET($DS$3,0,0,'Données projet'!$E$14+1,1))-AVERAGE(OFFSET($H$3,0,0,'Données projet'!$E$14+1,1))</f>
        <v>145.97103392561058</v>
      </c>
      <c r="DU153" s="59">
        <f t="shared" si="152"/>
        <v>62.920713953681172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72.525433168395054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72.525433168395054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0.8600000000003547</v>
      </c>
      <c r="O154" s="13">
        <f>N154*VLOOKUP('Données projet'!$B$9,Paramètres!$A$1:$I$89,3,0)*VLOOKUP('Données projet'!$B$9,Paramètres!$A$1:$I$89,5,0)</f>
        <v>0.48074000000019829</v>
      </c>
      <c r="P154" s="13">
        <f t="shared" si="141"/>
        <v>0.24126147010950588</v>
      </c>
      <c r="Q154" s="20">
        <f t="shared" ref="Q154:Q203" si="162">(O154+P154)*0.475*44/12</f>
        <v>1.2574858937744013</v>
      </c>
      <c r="R154" s="59">
        <f t="shared" si="109"/>
        <v>294.59081922710772</v>
      </c>
      <c r="S154" s="59">
        <f ca="1">AVERAGE(OFFSET($R$3,0,0,'Données projet'!$E$9+1,1))-AVERAGE(OFFSET($H$3,0,0,'Données projet'!$E$9+1,1))</f>
        <v>350.01600895263641</v>
      </c>
      <c r="T154" s="59">
        <f t="shared" si="142"/>
        <v>464.08921044376882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55.541197290660108</v>
      </c>
      <c r="AA154" s="21">
        <f>EXP(-LN(2)/25)*AA153+(1-EXP(-LN(2)/25))/(LN(2)/25)*Calculateur!V154*Calculateur!X154*VLOOKUP('Données projet'!$B$9,Paramètres!$A$1:$I$89,3,0)*0.475*44/12</f>
        <v>1.7657072264928033</v>
      </c>
      <c r="AB154" s="21">
        <f>EXP(-LN(2)/2)*AB153+(1-EXP(-LN(2)/2))/(LN(2)/2)*V154*Y154*VLOOKUP('Données projet'!$B$9,Paramètres!$A$1:$I$89,3,0)*0.475*44/12</f>
        <v>4.5380611043235559E-19</v>
      </c>
      <c r="AC154" s="22">
        <f t="shared" ref="AC154:AC203" si="163">SUM(Z154:AB154)</f>
        <v>57.306904517152908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227.99999999999994</v>
      </c>
      <c r="AJ154" s="13">
        <f>AI154*VLOOKUP('Données projet'!$B$10,Paramètres!$A$1:$I$89,3,0)*VLOOKUP('Données projet'!$B$10,Paramètres!$A$1:$I$89,5,0)</f>
        <v>199.18079999999998</v>
      </c>
      <c r="AK154" s="13">
        <f t="shared" ref="AK154:AK203" si="164">EXP(-1.0587+0.8836*LN(AJ154)+0.284)</f>
        <v>49.564089376413683</v>
      </c>
      <c r="AL154" s="20">
        <f t="shared" ref="AL154:AL203" si="165">(AJ154+AK154)*0.475*44/12</f>
        <v>433.23068233058711</v>
      </c>
      <c r="AM154" s="59">
        <f t="shared" si="113"/>
        <v>726.56401566392037</v>
      </c>
      <c r="AN154" s="59">
        <f ca="1">AVERAGE(OFFSET($AM$3,0,0,'Données projet'!$E$10+1,1))-AVERAGE(OFFSET($H$3,0,0,'Données projet'!$E$10+1,1))</f>
        <v>242.48830542479988</v>
      </c>
      <c r="AO154" s="59">
        <f t="shared" si="144"/>
        <v>226.11219631227061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18.105597033555462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18.105597033555462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-1.1749999999999972</v>
      </c>
      <c r="BD154" s="12">
        <f>IF('Données projet'!$A$88&gt;35,BD153+BC154-BL153,IF(A154&lt;'Données projet'!$A$88,$BA$205^A154,IF(A154='Données projet'!$A$88,'Données projet'!$B$88,BD153+BC154-BL153)))</f>
        <v>288.64999999999952</v>
      </c>
      <c r="BE154" s="13">
        <f>BD154*VLOOKUP('Données projet'!$B$11,Paramètres!$A$1:$I$89,3,0)*VLOOKUP('Données projet'!$B$11,Paramètres!$A$1:$I$89,5,0)</f>
        <v>292.69109999999955</v>
      </c>
      <c r="BF154" s="13">
        <f t="shared" ref="BF154:BF203" si="167">EXP(-1.0587+0.8836*LN(BE154)+0.284)</f>
        <v>69.642044758392458</v>
      </c>
      <c r="BG154" s="20">
        <f t="shared" ref="BG154:BG203" si="168">(BE154+BF154)*0.475*44/12</f>
        <v>631.06356045419932</v>
      </c>
      <c r="BH154" s="59">
        <f t="shared" si="116"/>
        <v>924.39689378753269</v>
      </c>
      <c r="BI154" s="59">
        <f ca="1">AVERAGE(OFFSET($BH$3,0,0,'Données projet'!$E$11+1,1))-AVERAGE(OFFSET($H$3,0,0,'Données projet'!$E$11+1,1))</f>
        <v>402.5435069258703</v>
      </c>
      <c r="BJ154" s="59">
        <f t="shared" si="146"/>
        <v>163.60655195816349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162.14403195692137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162.14403195692137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-1.1749999999999972</v>
      </c>
      <c r="BY154" s="12">
        <f>IF('Données projet'!$A$114&gt;35,BY153+BX154-CG153,IF(A154&lt;'Données projet'!$A$114,$BV$205^A154,IF(A154='Données projet'!$A$114,'Données projet'!$B$114,BY153+BX154-CG153)))</f>
        <v>288.64999999999952</v>
      </c>
      <c r="BZ154" s="13">
        <f>BY154*VLOOKUP('Données projet'!$B$12,Paramètres!$A$1:$I$89,3,0)*VLOOKUP('Données projet'!$B$12,Paramètres!$A$1:$I$89,5,0)</f>
        <v>261.17051999999956</v>
      </c>
      <c r="CA154" s="13">
        <f t="shared" ref="CA154:CA203" si="170">EXP(-1.0587+0.8836*LN(BZ154)+0.284)</f>
        <v>62.971820252570581</v>
      </c>
      <c r="CB154" s="20">
        <f t="shared" ref="CB154:CB203" si="171">(BZ154+CA154)*0.475*44/12</f>
        <v>564.54790927322631</v>
      </c>
      <c r="CC154" s="59">
        <f t="shared" si="119"/>
        <v>857.88124260655968</v>
      </c>
      <c r="CD154" s="59">
        <f ca="1">AVERAGE(OFFSET($CC$3,0,0,'Données projet'!$E$12+1,1))-AVERAGE(OFFSET($H$3,0,0,'Données projet'!$E$12+1,1))</f>
        <v>350.91577977538822</v>
      </c>
      <c r="CE154" s="59">
        <f t="shared" si="148"/>
        <v>142.87103313412547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144.68236697694519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144.68236697694519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266.99999999999983</v>
      </c>
      <c r="CU154" s="17">
        <f>CT154*VLOOKUP('Données projet'!$B$13,Paramètres!$A$1:$I$89,3,0)*VLOOKUP('Données projet'!$B$13,Paramètres!$A$1:$I$89,5,0)</f>
        <v>216.59039999999987</v>
      </c>
      <c r="CV154" s="13">
        <f t="shared" ref="CV154:CV203" si="173">EXP(-1.0587+0.8836*LN(CU154)+0.284)</f>
        <v>53.373153688190904</v>
      </c>
      <c r="CW154" s="20">
        <f t="shared" ref="CW154:CW203" si="174">(CU154+CV154)*0.475*44/12</f>
        <v>470.18652267359886</v>
      </c>
      <c r="CX154" s="59">
        <f t="shared" si="122"/>
        <v>763.51985600693217</v>
      </c>
      <c r="CY154" s="59">
        <f ca="1">AVERAGE(OFFSET($CX$3,0,0,'Données projet'!$E$13+1,1))-AVERAGE(OFFSET($H$3,0,0,'Données projet'!$E$13+1,1))</f>
        <v>230.38929580146208</v>
      </c>
      <c r="CZ154" s="59">
        <f t="shared" si="150"/>
        <v>227.1847788696258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10.842506915923993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10.842506915923993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3.009999999999792</v>
      </c>
      <c r="DP154" s="17">
        <f>DO154*VLOOKUP('Données projet'!$B$14,Paramètres!$A$1:$I$89,3,0)*VLOOKUP('Données projet'!$B$14,Paramètres!$A$1:$I$89,5,0)</f>
        <v>1.7999799999998758</v>
      </c>
      <c r="DQ154" s="13">
        <f t="shared" ref="DQ154:DQ203" si="176">EXP(-1.0587+0.8836*LN(DP154)+0.284)</f>
        <v>0.77465189310357685</v>
      </c>
      <c r="DR154" s="20">
        <f t="shared" ref="DR154:DR203" si="177">(DP154+DQ154)*0.475*44/12</f>
        <v>4.4841505471551795</v>
      </c>
      <c r="DS154" s="59">
        <f t="shared" si="125"/>
        <v>297.81748388048851</v>
      </c>
      <c r="DT154" s="59">
        <f ca="1">AVERAGE(OFFSET($DS$3,0,0,'Données projet'!$E$14+1,1))-AVERAGE(OFFSET($H$3,0,0,'Données projet'!$E$14+1,1))</f>
        <v>145.97103392561058</v>
      </c>
      <c r="DU154" s="59">
        <f t="shared" si="152"/>
        <v>62.920713953681172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71.103253660109104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71.103253660109104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0.8600000000003547</v>
      </c>
      <c r="O155" s="13">
        <f>N155*VLOOKUP('Données projet'!$B$9,Paramètres!$A$1:$I$89,3,0)*VLOOKUP('Données projet'!$B$9,Paramètres!$A$1:$I$89,5,0)</f>
        <v>0.48074000000019829</v>
      </c>
      <c r="P155" s="13">
        <f t="shared" si="141"/>
        <v>0.24126147010950588</v>
      </c>
      <c r="Q155" s="20">
        <f t="shared" si="162"/>
        <v>1.2574858937744013</v>
      </c>
      <c r="R155" s="59">
        <f t="shared" si="109"/>
        <v>294.59081922710772</v>
      </c>
      <c r="S155" s="59">
        <f ca="1">AVERAGE(OFFSET($R$3,0,0,'Données projet'!$E$9+1,1))-AVERAGE(OFFSET($H$3,0,0,'Données projet'!$E$9+1,1))</f>
        <v>350.01600895263641</v>
      </c>
      <c r="T155" s="59">
        <f t="shared" si="142"/>
        <v>464.08921044376882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54.452068288575553</v>
      </c>
      <c r="AA155" s="21">
        <f>EXP(-LN(2)/25)*AA154+(1-EXP(-LN(2)/25))/(LN(2)/25)*Calculateur!V155*Calculateur!X155*VLOOKUP('Données projet'!$B$9,Paramètres!$A$1:$I$89,3,0)*0.475*44/12</f>
        <v>1.71742386952985</v>
      </c>
      <c r="AB155" s="21">
        <f>EXP(-LN(2)/2)*AB154+(1-EXP(-LN(2)/2))/(LN(2)/2)*V155*Y155*VLOOKUP('Données projet'!$B$9,Paramètres!$A$1:$I$89,3,0)*0.475*44/12</f>
        <v>3.208893780306099E-19</v>
      </c>
      <c r="AC155" s="22">
        <f t="shared" si="163"/>
        <v>56.169492158105406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227.99999999999994</v>
      </c>
      <c r="AJ155" s="13">
        <f>AI155*VLOOKUP('Données projet'!$B$10,Paramètres!$A$1:$I$89,3,0)*VLOOKUP('Données projet'!$B$10,Paramètres!$A$1:$I$89,5,0)</f>
        <v>199.18079999999998</v>
      </c>
      <c r="AK155" s="13">
        <f t="shared" si="164"/>
        <v>49.564089376413683</v>
      </c>
      <c r="AL155" s="20">
        <f t="shared" si="165"/>
        <v>433.23068233058711</v>
      </c>
      <c r="AM155" s="59">
        <f t="shared" si="113"/>
        <v>726.56401566392037</v>
      </c>
      <c r="AN155" s="59">
        <f ca="1">AVERAGE(OFFSET($AM$3,0,0,'Données projet'!$E$10+1,1))-AVERAGE(OFFSET($H$3,0,0,'Données projet'!$E$10+1,1))</f>
        <v>242.48830542479988</v>
      </c>
      <c r="AO155" s="59">
        <f t="shared" si="144"/>
        <v>226.11219631227061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17.750557319051193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17.750557319051193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-1.1749999999999972</v>
      </c>
      <c r="BD155" s="12">
        <f>IF('Données projet'!$A$88&gt;35,BD154+BC155-BL154,IF(A155&lt;'Données projet'!$A$88,$BA$205^A155,IF(A155='Données projet'!$A$88,'Données projet'!$B$88,BD154+BC155-BL154)))</f>
        <v>287.47499999999951</v>
      </c>
      <c r="BE155" s="13">
        <f>BD155*VLOOKUP('Données projet'!$B$11,Paramètres!$A$1:$I$89,3,0)*VLOOKUP('Données projet'!$B$11,Paramètres!$A$1:$I$89,5,0)</f>
        <v>291.49964999999952</v>
      </c>
      <c r="BF155" s="13">
        <f t="shared" si="167"/>
        <v>69.391493516346102</v>
      </c>
      <c r="BG155" s="20">
        <f t="shared" si="168"/>
        <v>628.55207495763523</v>
      </c>
      <c r="BH155" s="59">
        <f t="shared" si="116"/>
        <v>921.8854082909686</v>
      </c>
      <c r="BI155" s="59">
        <f ca="1">AVERAGE(OFFSET($BH$3,0,0,'Données projet'!$E$11+1,1))-AVERAGE(OFFSET($H$3,0,0,'Données projet'!$E$11+1,1))</f>
        <v>402.5435069258703</v>
      </c>
      <c r="BJ155" s="59">
        <f t="shared" si="146"/>
        <v>163.60655195816349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158.96448638834025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158.96448638834025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-1.1749999999999972</v>
      </c>
      <c r="BY155" s="12">
        <f>IF('Données projet'!$A$114&gt;35,BY154+BX155-CG154,IF(A155&lt;'Données projet'!$A$114,$BV$205^A155,IF(A155='Données projet'!$A$114,'Données projet'!$B$114,BY154+BX155-CG154)))</f>
        <v>287.47499999999951</v>
      </c>
      <c r="BZ155" s="13">
        <f>BY155*VLOOKUP('Données projet'!$B$12,Paramètres!$A$1:$I$89,3,0)*VLOOKUP('Données projet'!$B$12,Paramètres!$A$1:$I$89,5,0)</f>
        <v>260.10737999999958</v>
      </c>
      <c r="CA155" s="13">
        <f t="shared" si="170"/>
        <v>62.745266482747503</v>
      </c>
      <c r="CB155" s="20">
        <f t="shared" si="171"/>
        <v>562.30169262411789</v>
      </c>
      <c r="CC155" s="59">
        <f t="shared" si="119"/>
        <v>855.63502595745126</v>
      </c>
      <c r="CD155" s="59">
        <f ca="1">AVERAGE(OFFSET($CC$3,0,0,'Données projet'!$E$12+1,1))-AVERAGE(OFFSET($H$3,0,0,'Données projet'!$E$12+1,1))</f>
        <v>350.91577977538822</v>
      </c>
      <c r="CE155" s="59">
        <f t="shared" si="148"/>
        <v>142.87103313412547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141.84523400805742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141.84523400805742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266.99999999999983</v>
      </c>
      <c r="CU155" s="17">
        <f>CT155*VLOOKUP('Données projet'!$B$13,Paramètres!$A$1:$I$89,3,0)*VLOOKUP('Données projet'!$B$13,Paramètres!$A$1:$I$89,5,0)</f>
        <v>216.59039999999987</v>
      </c>
      <c r="CV155" s="13">
        <f t="shared" si="173"/>
        <v>53.373153688190904</v>
      </c>
      <c r="CW155" s="20">
        <f t="shared" si="174"/>
        <v>470.18652267359886</v>
      </c>
      <c r="CX155" s="59">
        <f t="shared" si="122"/>
        <v>763.51985600693217</v>
      </c>
      <c r="CY155" s="59">
        <f ca="1">AVERAGE(OFFSET($CX$3,0,0,'Données projet'!$E$13+1,1))-AVERAGE(OFFSET($H$3,0,0,'Données projet'!$E$13+1,1))</f>
        <v>230.38929580146208</v>
      </c>
      <c r="CZ155" s="59">
        <f t="shared" si="150"/>
        <v>227.1847788696258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10.629891968578935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10.629891968578935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3.009999999999792</v>
      </c>
      <c r="DP155" s="17">
        <f>DO155*VLOOKUP('Données projet'!$B$14,Paramètres!$A$1:$I$89,3,0)*VLOOKUP('Données projet'!$B$14,Paramètres!$A$1:$I$89,5,0)</f>
        <v>1.7999799999998758</v>
      </c>
      <c r="DQ155" s="13">
        <f t="shared" si="176"/>
        <v>0.77465189310357685</v>
      </c>
      <c r="DR155" s="20">
        <f t="shared" si="177"/>
        <v>4.4841505471551795</v>
      </c>
      <c r="DS155" s="59">
        <f t="shared" si="125"/>
        <v>297.81748388048851</v>
      </c>
      <c r="DT155" s="59">
        <f ca="1">AVERAGE(OFFSET($DS$3,0,0,'Données projet'!$E$14+1,1))-AVERAGE(OFFSET($H$3,0,0,'Données projet'!$E$14+1,1))</f>
        <v>145.97103392561058</v>
      </c>
      <c r="DU155" s="59">
        <f t="shared" si="152"/>
        <v>62.920713953681172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69.708962224536791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69.708962224536791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0.8600000000003547</v>
      </c>
      <c r="O156" s="13">
        <f>N156*VLOOKUP('Données projet'!$B$9,Paramètres!$A$1:$I$89,3,0)*VLOOKUP('Données projet'!$B$9,Paramètres!$A$1:$I$89,5,0)</f>
        <v>0.48074000000019829</v>
      </c>
      <c r="P156" s="13">
        <f t="shared" si="141"/>
        <v>0.24126147010950588</v>
      </c>
      <c r="Q156" s="20">
        <f t="shared" si="162"/>
        <v>1.2574858937744013</v>
      </c>
      <c r="R156" s="59">
        <f t="shared" si="109"/>
        <v>294.59081922710772</v>
      </c>
      <c r="S156" s="59">
        <f ca="1">AVERAGE(OFFSET($R$3,0,0,'Données projet'!$E$9+1,1))-AVERAGE(OFFSET($H$3,0,0,'Données projet'!$E$9+1,1))</f>
        <v>350.01600895263641</v>
      </c>
      <c r="T156" s="59">
        <f t="shared" si="142"/>
        <v>464.08921044376882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53.384296441918785</v>
      </c>
      <c r="AA156" s="21">
        <f>EXP(-LN(2)/25)*AA155+(1-EXP(-LN(2)/25))/(LN(2)/25)*Calculateur!V156*Calculateur!X156*VLOOKUP('Données projet'!$B$9,Paramètres!$A$1:$I$89,3,0)*0.475*44/12</f>
        <v>1.6704608235021603</v>
      </c>
      <c r="AB156" s="21">
        <f>EXP(-LN(2)/2)*AB155+(1-EXP(-LN(2)/2))/(LN(2)/2)*V156*Y156*VLOOKUP('Données projet'!$B$9,Paramètres!$A$1:$I$89,3,0)*0.475*44/12</f>
        <v>2.269030552161778E-19</v>
      </c>
      <c r="AC156" s="22">
        <f t="shared" si="163"/>
        <v>55.054757265420946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227.99999999999994</v>
      </c>
      <c r="AJ156" s="13">
        <f>AI156*VLOOKUP('Données projet'!$B$10,Paramètres!$A$1:$I$89,3,0)*VLOOKUP('Données projet'!$B$10,Paramètres!$A$1:$I$89,5,0)</f>
        <v>199.18079999999998</v>
      </c>
      <c r="AK156" s="13">
        <f t="shared" si="164"/>
        <v>49.564089376413683</v>
      </c>
      <c r="AL156" s="20">
        <f t="shared" si="165"/>
        <v>433.23068233058711</v>
      </c>
      <c r="AM156" s="59">
        <f t="shared" si="113"/>
        <v>726.56401566392037</v>
      </c>
      <c r="AN156" s="59">
        <f ca="1">AVERAGE(OFFSET($AM$3,0,0,'Données projet'!$E$10+1,1))-AVERAGE(OFFSET($H$3,0,0,'Données projet'!$E$10+1,1))</f>
        <v>242.48830542479988</v>
      </c>
      <c r="AO156" s="59">
        <f t="shared" si="144"/>
        <v>226.11219631227061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17.402479716795508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17.402479716795508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>
        <f>VLOOKUP(A156,'Données projet'!$A$87:$I$107,2,0)</f>
        <v>286.3</v>
      </c>
      <c r="BB156" s="12">
        <f>VLOOKUP(A156,'Données projet'!$A$87:$I$107,9,0)</f>
        <v>-1.1749999999999972</v>
      </c>
      <c r="BC156" s="12">
        <f t="array" ref="BC156">INDEX(BB:BB,MIN(IF(ISNUMBER(BB156:BB352),ROW(BB156:BB352),"")))</f>
        <v>-1.1749999999999972</v>
      </c>
      <c r="BD156" s="12">
        <f>IF('Données projet'!$A$88&gt;35,BD155+BC156-BL155,IF(A156&lt;'Données projet'!$A$88,$BA$205^A156,IF(A156='Données projet'!$A$88,'Données projet'!$B$88,BD155+BC156-BL155)))</f>
        <v>286.2999999999995</v>
      </c>
      <c r="BE156" s="13">
        <f>BD156*VLOOKUP('Données projet'!$B$11,Paramètres!$A$1:$I$89,3,0)*VLOOKUP('Données projet'!$B$11,Paramètres!$A$1:$I$89,5,0)</f>
        <v>290.30819999999954</v>
      </c>
      <c r="BF156" s="13">
        <f t="shared" si="167"/>
        <v>69.140823042549556</v>
      </c>
      <c r="BG156" s="20">
        <f t="shared" si="168"/>
        <v>626.0403817991064</v>
      </c>
      <c r="BH156" s="59">
        <f t="shared" si="116"/>
        <v>919.37371513243966</v>
      </c>
      <c r="BI156" s="59">
        <f ca="1">AVERAGE(OFFSET($BH$3,0,0,'Données projet'!$E$11+1,1))-AVERAGE(OFFSET($H$3,0,0,'Données projet'!$E$11+1,1))</f>
        <v>402.5435069258703</v>
      </c>
      <c r="BJ156" s="59">
        <f t="shared" si="146"/>
        <v>163.60655195816349</v>
      </c>
      <c r="BK156" s="15">
        <f>IF(ISNA(VLOOKUP(A156,'Données projet'!$A$87:$I$107,3,0)),0,VLOOKUP(A156,'Données projet'!$A$87:$I$107,3,0))</f>
        <v>13</v>
      </c>
      <c r="BL156" s="15">
        <f>IF(ISNA(VLOOKUP(A156,'Données projet'!$A$87:$I$107,4,0)),0,VLOOKUP(A156,'Données projet'!$A$87:$I$107,4,0))</f>
        <v>89.29</v>
      </c>
      <c r="BM156" s="16">
        <f>IF(ISNA(VLOOKUP(A156,'Données projet'!$A$87:$I$107,5,0)),0%,VLOOKUP(A156,'Données projet'!$A$87:$I$107,5,0)*VLOOKUP('Données projet'!$B$11,Paramètres!$A$1:$I$89,7,0))</f>
        <v>0.43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198.8857122002162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198.8857122002162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>
        <f>VLOOKUP(A156,'Données projet'!$A$113:$I$133,2,0)</f>
        <v>286.3</v>
      </c>
      <c r="BW156" s="12">
        <f>VLOOKUP(A156,'Données projet'!$A$113:$I$133,9,0)</f>
        <v>-1.1749999999999972</v>
      </c>
      <c r="BX156" s="12">
        <f t="array" ref="BX156">INDEX(BW:BW,MIN(IF(ISNUMBER(BW156:BW352),ROW(BW156:BW352),"")))</f>
        <v>-1.1749999999999972</v>
      </c>
      <c r="BY156" s="12">
        <f>IF('Données projet'!$A$114&gt;35,BY155+BX156-CG155,IF(A156&lt;'Données projet'!$A$114,$BV$205^A156,IF(A156='Données projet'!$A$114,'Données projet'!$B$114,BY155+BX156-CG155)))</f>
        <v>286.2999999999995</v>
      </c>
      <c r="BZ156" s="13">
        <f>BY156*VLOOKUP('Données projet'!$B$12,Paramètres!$A$1:$I$89,3,0)*VLOOKUP('Données projet'!$B$12,Paramètres!$A$1:$I$89,5,0)</f>
        <v>259.04423999999955</v>
      </c>
      <c r="CA156" s="13">
        <f t="shared" si="170"/>
        <v>62.518604901036205</v>
      </c>
      <c r="CB156" s="20">
        <f t="shared" si="171"/>
        <v>560.05528820263726</v>
      </c>
      <c r="CC156" s="59">
        <f t="shared" si="119"/>
        <v>853.38862153597051</v>
      </c>
      <c r="CD156" s="59">
        <f ca="1">AVERAGE(OFFSET($CC$3,0,0,'Données projet'!$E$12+1,1))-AVERAGE(OFFSET($H$3,0,0,'Données projet'!$E$12+1,1))</f>
        <v>350.91577977538822</v>
      </c>
      <c r="CE156" s="59">
        <f t="shared" si="148"/>
        <v>142.87103313412547</v>
      </c>
      <c r="CF156" s="15">
        <f>IF(ISNA(VLOOKUP(A156,'Données projet'!$A$113:$I$133,3,0)),0,VLOOKUP(A156,'Données projet'!$A$113:$I$133,3,0))</f>
        <v>13</v>
      </c>
      <c r="CG156" s="15">
        <f>IF(ISNA(VLOOKUP(A156,'Données projet'!$A$113:$I$133,4,0)),0,VLOOKUP(A156,'Données projet'!$A$113:$I$133,4,0))</f>
        <v>89.29</v>
      </c>
      <c r="CH156" s="16">
        <f>IF(ISNA(VLOOKUP(A156,'Données projet'!$A$113:$I$133,5,0)),0%,VLOOKUP(A156,'Données projet'!$A$113:$I$133,5,0)*VLOOKUP('Données projet'!$B$12,Paramètres!$A$1:$I$89,7,0))</f>
        <v>0.43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177.46725088634676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177.46725088634676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266.99999999999983</v>
      </c>
      <c r="CU156" s="17">
        <f>CT156*VLOOKUP('Données projet'!$B$13,Paramètres!$A$1:$I$89,3,0)*VLOOKUP('Données projet'!$B$13,Paramètres!$A$1:$I$89,5,0)</f>
        <v>216.59039999999987</v>
      </c>
      <c r="CV156" s="13">
        <f t="shared" si="173"/>
        <v>53.373153688190904</v>
      </c>
      <c r="CW156" s="20">
        <f t="shared" si="174"/>
        <v>470.18652267359886</v>
      </c>
      <c r="CX156" s="59">
        <f t="shared" si="122"/>
        <v>763.51985600693217</v>
      </c>
      <c r="CY156" s="59">
        <f ca="1">AVERAGE(OFFSET($CX$3,0,0,'Données projet'!$E$13+1,1))-AVERAGE(OFFSET($H$3,0,0,'Données projet'!$E$13+1,1))</f>
        <v>230.38929580146208</v>
      </c>
      <c r="CZ156" s="59">
        <f t="shared" si="150"/>
        <v>227.1847788696258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10.421446270669001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10.421446270669001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3.009999999999792</v>
      </c>
      <c r="DP156" s="17">
        <f>DO156*VLOOKUP('Données projet'!$B$14,Paramètres!$A$1:$I$89,3,0)*VLOOKUP('Données projet'!$B$14,Paramètres!$A$1:$I$89,5,0)</f>
        <v>1.7999799999998758</v>
      </c>
      <c r="DQ156" s="13">
        <f t="shared" si="176"/>
        <v>0.77465189310357685</v>
      </c>
      <c r="DR156" s="20">
        <f t="shared" si="177"/>
        <v>4.4841505471551795</v>
      </c>
      <c r="DS156" s="59">
        <f t="shared" si="125"/>
        <v>297.81748388048851</v>
      </c>
      <c r="DT156" s="59">
        <f ca="1">AVERAGE(OFFSET($DS$3,0,0,'Données projet'!$E$14+1,1))-AVERAGE(OFFSET($H$3,0,0,'Données projet'!$E$14+1,1))</f>
        <v>145.97103392561058</v>
      </c>
      <c r="DU156" s="59">
        <f t="shared" si="152"/>
        <v>62.920713953681172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68.342011993582247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68.342011993582247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0.8600000000003547</v>
      </c>
      <c r="O157" s="13">
        <f>N157*VLOOKUP('Données projet'!$B$9,Paramètres!$A$1:$I$89,3,0)*VLOOKUP('Données projet'!$B$9,Paramètres!$A$1:$I$89,5,0)</f>
        <v>0.48074000000019829</v>
      </c>
      <c r="P157" s="13">
        <f t="shared" si="141"/>
        <v>0.24126147010950588</v>
      </c>
      <c r="Q157" s="20">
        <f t="shared" si="162"/>
        <v>1.2574858937744013</v>
      </c>
      <c r="R157" s="59">
        <f t="shared" si="109"/>
        <v>294.59081922710772</v>
      </c>
      <c r="S157" s="59">
        <f ca="1">AVERAGE(OFFSET($R$3,0,0,'Données projet'!$E$9+1,1))-AVERAGE(OFFSET($H$3,0,0,'Données projet'!$E$9+1,1))</f>
        <v>350.01600895263641</v>
      </c>
      <c r="T157" s="59">
        <f t="shared" si="142"/>
        <v>464.08921044376882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52.337462949898438</v>
      </c>
      <c r="AA157" s="21">
        <f>EXP(-LN(2)/25)*AA156+(1-EXP(-LN(2)/25))/(LN(2)/25)*Calculateur!V157*Calculateur!X157*VLOOKUP('Données projet'!$B$9,Paramètres!$A$1:$I$89,3,0)*0.475*44/12</f>
        <v>1.6247819844377769</v>
      </c>
      <c r="AB157" s="21">
        <f>EXP(-LN(2)/2)*AB156+(1-EXP(-LN(2)/2))/(LN(2)/2)*V157*Y157*VLOOKUP('Données projet'!$B$9,Paramètres!$A$1:$I$89,3,0)*0.475*44/12</f>
        <v>1.6044468901530495E-19</v>
      </c>
      <c r="AC157" s="22">
        <f t="shared" si="163"/>
        <v>53.962244934336212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227.99999999999994</v>
      </c>
      <c r="AJ157" s="13">
        <f>AI157*VLOOKUP('Données projet'!$B$10,Paramètres!$A$1:$I$89,3,0)*VLOOKUP('Données projet'!$B$10,Paramètres!$A$1:$I$89,5,0)</f>
        <v>199.18079999999998</v>
      </c>
      <c r="AK157" s="13">
        <f t="shared" si="164"/>
        <v>49.564089376413683</v>
      </c>
      <c r="AL157" s="20">
        <f t="shared" si="165"/>
        <v>433.23068233058711</v>
      </c>
      <c r="AM157" s="59">
        <f t="shared" si="113"/>
        <v>726.56401566392037</v>
      </c>
      <c r="AN157" s="59">
        <f ca="1">AVERAGE(OFFSET($AM$3,0,0,'Données projet'!$E$10+1,1))-AVERAGE(OFFSET($H$3,0,0,'Données projet'!$E$10+1,1))</f>
        <v>242.48830542479988</v>
      </c>
      <c r="AO157" s="59">
        <f t="shared" si="144"/>
        <v>226.11219631227061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17.061227704013685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17.061227704013685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-0.62249999999999517</v>
      </c>
      <c r="BD157" s="12">
        <f>IF('Données projet'!$A$88&gt;35,BD156+BC157-BL156,IF(A157&lt;'Données projet'!$A$88,$BA$205^A157,IF(A157='Données projet'!$A$88,'Données projet'!$B$88,BD156+BC157-BL156)))</f>
        <v>196.38749999999948</v>
      </c>
      <c r="BE157" s="13">
        <f>BD157*VLOOKUP('Données projet'!$B$11,Paramètres!$A$1:$I$89,3,0)*VLOOKUP('Données projet'!$B$11,Paramètres!$A$1:$I$89,5,0)</f>
        <v>199.13692499999948</v>
      </c>
      <c r="BF157" s="13">
        <f t="shared" si="167"/>
        <v>49.554442247902067</v>
      </c>
      <c r="BG157" s="20">
        <f t="shared" si="168"/>
        <v>433.13746462342851</v>
      </c>
      <c r="BH157" s="59">
        <f t="shared" si="116"/>
        <v>726.47079795676177</v>
      </c>
      <c r="BI157" s="59">
        <f ca="1">AVERAGE(OFFSET($BH$3,0,0,'Données projet'!$E$11+1,1))-AVERAGE(OFFSET($H$3,0,0,'Données projet'!$E$11+1,1))</f>
        <v>402.5435069258703</v>
      </c>
      <c r="BJ157" s="59">
        <f t="shared" si="146"/>
        <v>163.60655195816349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194.98568469227621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194.98568469227621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-0.62249999999999517</v>
      </c>
      <c r="BY157" s="12">
        <f>IF('Données projet'!$A$114&gt;35,BY156+BX157-CG156,IF(A157&lt;'Données projet'!$A$114,$BV$205^A157,IF(A157='Données projet'!$A$114,'Données projet'!$B$114,BY156+BX157-CG156)))</f>
        <v>196.38749999999948</v>
      </c>
      <c r="BZ157" s="13">
        <f>BY157*VLOOKUP('Données projet'!$B$12,Paramètres!$A$1:$I$89,3,0)*VLOOKUP('Données projet'!$B$12,Paramètres!$A$1:$I$89,5,0)</f>
        <v>177.69140999999954</v>
      </c>
      <c r="CA157" s="13">
        <f t="shared" si="170"/>
        <v>44.808182194782958</v>
      </c>
      <c r="CB157" s="20">
        <f t="shared" si="171"/>
        <v>387.52012307257951</v>
      </c>
      <c r="CC157" s="59">
        <f t="shared" si="119"/>
        <v>680.85345640591277</v>
      </c>
      <c r="CD157" s="59">
        <f ca="1">AVERAGE(OFFSET($CC$3,0,0,'Données projet'!$E$12+1,1))-AVERAGE(OFFSET($H$3,0,0,'Données projet'!$E$12+1,1))</f>
        <v>350.91577977538822</v>
      </c>
      <c r="CE157" s="59">
        <f t="shared" si="148"/>
        <v>142.87103313412547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173.98722634080031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173.98722634080031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266.99999999999983</v>
      </c>
      <c r="CU157" s="17">
        <f>CT157*VLOOKUP('Données projet'!$B$13,Paramètres!$A$1:$I$89,3,0)*VLOOKUP('Données projet'!$B$13,Paramètres!$A$1:$I$89,5,0)</f>
        <v>216.59039999999987</v>
      </c>
      <c r="CV157" s="13">
        <f t="shared" si="173"/>
        <v>53.373153688190904</v>
      </c>
      <c r="CW157" s="20">
        <f t="shared" si="174"/>
        <v>470.18652267359886</v>
      </c>
      <c r="CX157" s="59">
        <f t="shared" si="122"/>
        <v>763.51985600693217</v>
      </c>
      <c r="CY157" s="59">
        <f ca="1">AVERAGE(OFFSET($CX$3,0,0,'Données projet'!$E$13+1,1))-AVERAGE(OFFSET($H$3,0,0,'Données projet'!$E$13+1,1))</f>
        <v>230.38929580146208</v>
      </c>
      <c r="CZ157" s="59">
        <f t="shared" si="150"/>
        <v>227.1847788696258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10.21708806575576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10.21708806575576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3.009999999999792</v>
      </c>
      <c r="DP157" s="17">
        <f>DO157*VLOOKUP('Données projet'!$B$14,Paramètres!$A$1:$I$89,3,0)*VLOOKUP('Données projet'!$B$14,Paramètres!$A$1:$I$89,5,0)</f>
        <v>1.7999799999998758</v>
      </c>
      <c r="DQ157" s="13">
        <f t="shared" si="176"/>
        <v>0.77465189310357685</v>
      </c>
      <c r="DR157" s="20">
        <f t="shared" si="177"/>
        <v>4.4841505471551795</v>
      </c>
      <c r="DS157" s="59">
        <f t="shared" si="125"/>
        <v>297.81748388048851</v>
      </c>
      <c r="DT157" s="59">
        <f ca="1">AVERAGE(OFFSET($DS$3,0,0,'Données projet'!$E$14+1,1))-AVERAGE(OFFSET($H$3,0,0,'Données projet'!$E$14+1,1))</f>
        <v>145.97103392561058</v>
      </c>
      <c r="DU157" s="59">
        <f t="shared" si="152"/>
        <v>62.920713953681172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67.001866822899416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67.001866822899416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0.8600000000003547</v>
      </c>
      <c r="O158" s="13">
        <f>N158*VLOOKUP('Données projet'!$B$9,Paramètres!$A$1:$I$89,3,0)*VLOOKUP('Données projet'!$B$9,Paramètres!$A$1:$I$89,5,0)</f>
        <v>0.48074000000019829</v>
      </c>
      <c r="P158" s="13">
        <f t="shared" si="141"/>
        <v>0.24126147010950588</v>
      </c>
      <c r="Q158" s="20">
        <f t="shared" si="162"/>
        <v>1.2574858937744013</v>
      </c>
      <c r="R158" s="59">
        <f t="shared" si="109"/>
        <v>294.59081922710772</v>
      </c>
      <c r="S158" s="59">
        <f ca="1">AVERAGE(OFFSET($R$3,0,0,'Données projet'!$E$9+1,1))-AVERAGE(OFFSET($H$3,0,0,'Données projet'!$E$9+1,1))</f>
        <v>350.01600895263641</v>
      </c>
      <c r="T158" s="59">
        <f t="shared" si="142"/>
        <v>464.08921044376882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51.311157224151223</v>
      </c>
      <c r="AA158" s="21">
        <f>EXP(-LN(2)/25)*AA157+(1-EXP(-LN(2)/25))/(LN(2)/25)*Calculateur!V158*Calculateur!X158*VLOOKUP('Données projet'!$B$9,Paramètres!$A$1:$I$89,3,0)*0.475*44/12</f>
        <v>1.5803522356297548</v>
      </c>
      <c r="AB158" s="21">
        <f>EXP(-LN(2)/2)*AB157+(1-EXP(-LN(2)/2))/(LN(2)/2)*V158*Y158*VLOOKUP('Données projet'!$B$9,Paramètres!$A$1:$I$89,3,0)*0.475*44/12</f>
        <v>1.134515276080889E-19</v>
      </c>
      <c r="AC158" s="22">
        <f t="shared" si="163"/>
        <v>52.891509459780977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227.99999999999994</v>
      </c>
      <c r="AJ158" s="13">
        <f>AI158*VLOOKUP('Données projet'!$B$10,Paramètres!$A$1:$I$89,3,0)*VLOOKUP('Données projet'!$B$10,Paramètres!$A$1:$I$89,5,0)</f>
        <v>199.18079999999998</v>
      </c>
      <c r="AK158" s="13">
        <f t="shared" si="164"/>
        <v>49.564089376413683</v>
      </c>
      <c r="AL158" s="20">
        <f t="shared" si="165"/>
        <v>433.23068233058711</v>
      </c>
      <c r="AM158" s="59">
        <f t="shared" si="113"/>
        <v>726.56401566392037</v>
      </c>
      <c r="AN158" s="59">
        <f ca="1">AVERAGE(OFFSET($AM$3,0,0,'Données projet'!$E$10+1,1))-AVERAGE(OFFSET($H$3,0,0,'Données projet'!$E$10+1,1))</f>
        <v>242.48830542479988</v>
      </c>
      <c r="AO158" s="59">
        <f t="shared" si="144"/>
        <v>226.11219631227061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16.726667435059337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16.726667435059337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-0.62249999999999517</v>
      </c>
      <c r="BD158" s="12">
        <f>IF('Données projet'!$A$88&gt;35,BD157+BC158-BL157,IF(A158&lt;'Données projet'!$A$88,$BA$205^A158,IF(A158='Données projet'!$A$88,'Données projet'!$B$88,BD157+BC158-BL157)))</f>
        <v>195.76499999999947</v>
      </c>
      <c r="BE158" s="13">
        <f>BD158*VLOOKUP('Données projet'!$B$11,Paramètres!$A$1:$I$89,3,0)*VLOOKUP('Données projet'!$B$11,Paramètres!$A$1:$I$89,5,0)</f>
        <v>198.50570999999948</v>
      </c>
      <c r="BF158" s="13">
        <f t="shared" si="167"/>
        <v>49.415624811622592</v>
      </c>
      <c r="BG158" s="20">
        <f t="shared" si="168"/>
        <v>431.79632479690844</v>
      </c>
      <c r="BH158" s="59">
        <f t="shared" si="116"/>
        <v>725.12965813024175</v>
      </c>
      <c r="BI158" s="59">
        <f ca="1">AVERAGE(OFFSET($BH$3,0,0,'Données projet'!$E$11+1,1))-AVERAGE(OFFSET($H$3,0,0,'Données projet'!$E$11+1,1))</f>
        <v>402.5435069258703</v>
      </c>
      <c r="BJ158" s="59">
        <f t="shared" si="146"/>
        <v>163.60655195816349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191.16213434498502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191.16213434498502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-0.62249999999999517</v>
      </c>
      <c r="BY158" s="12">
        <f>IF('Données projet'!$A$114&gt;35,BY157+BX158-CG157,IF(A158&lt;'Données projet'!$A$114,$BV$205^A158,IF(A158='Données projet'!$A$114,'Données projet'!$B$114,BY157+BX158-CG157)))</f>
        <v>195.76499999999947</v>
      </c>
      <c r="BZ158" s="13">
        <f>BY158*VLOOKUP('Données projet'!$B$12,Paramètres!$A$1:$I$89,3,0)*VLOOKUP('Données projet'!$B$12,Paramètres!$A$1:$I$89,5,0)</f>
        <v>177.12817199999952</v>
      </c>
      <c r="CA158" s="13">
        <f t="shared" si="170"/>
        <v>44.682660512074754</v>
      </c>
      <c r="CB158" s="20">
        <f t="shared" si="171"/>
        <v>386.32053329186266</v>
      </c>
      <c r="CC158" s="59">
        <f t="shared" si="119"/>
        <v>679.65386662519597</v>
      </c>
      <c r="CD158" s="59">
        <f ca="1">AVERAGE(OFFSET($CC$3,0,0,'Données projet'!$E$12+1,1))-AVERAGE(OFFSET($H$3,0,0,'Données projet'!$E$12+1,1))</f>
        <v>350.91577977538822</v>
      </c>
      <c r="CE158" s="59">
        <f t="shared" si="148"/>
        <v>142.87103313412547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170.57544295398662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170.57544295398662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266.99999999999983</v>
      </c>
      <c r="CU158" s="17">
        <f>CT158*VLOOKUP('Données projet'!$B$13,Paramètres!$A$1:$I$89,3,0)*VLOOKUP('Données projet'!$B$13,Paramètres!$A$1:$I$89,5,0)</f>
        <v>216.59039999999987</v>
      </c>
      <c r="CV158" s="13">
        <f t="shared" si="173"/>
        <v>53.373153688190904</v>
      </c>
      <c r="CW158" s="20">
        <f t="shared" si="174"/>
        <v>470.18652267359886</v>
      </c>
      <c r="CX158" s="59">
        <f t="shared" si="122"/>
        <v>763.51985600693217</v>
      </c>
      <c r="CY158" s="59">
        <f ca="1">AVERAGE(OFFSET($CX$3,0,0,'Données projet'!$E$13+1,1))-AVERAGE(OFFSET($H$3,0,0,'Données projet'!$E$13+1,1))</f>
        <v>230.38929580146208</v>
      </c>
      <c r="CZ158" s="59">
        <f t="shared" si="150"/>
        <v>227.1847788696258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10.016737200594671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10.016737200594671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3.009999999999792</v>
      </c>
      <c r="DP158" s="17">
        <f>DO158*VLOOKUP('Données projet'!$B$14,Paramètres!$A$1:$I$89,3,0)*VLOOKUP('Données projet'!$B$14,Paramètres!$A$1:$I$89,5,0)</f>
        <v>1.7999799999998758</v>
      </c>
      <c r="DQ158" s="13">
        <f t="shared" si="176"/>
        <v>0.77465189310357685</v>
      </c>
      <c r="DR158" s="20">
        <f t="shared" si="177"/>
        <v>4.4841505471551795</v>
      </c>
      <c r="DS158" s="59">
        <f t="shared" si="125"/>
        <v>297.81748388048851</v>
      </c>
      <c r="DT158" s="59">
        <f ca="1">AVERAGE(OFFSET($DS$3,0,0,'Données projet'!$E$14+1,1))-AVERAGE(OFFSET($H$3,0,0,'Données projet'!$E$14+1,1))</f>
        <v>145.97103392561058</v>
      </c>
      <c r="DU158" s="59">
        <f t="shared" si="152"/>
        <v>62.920713953681172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65.688001081605833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65.688001081605833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0.8600000000003547</v>
      </c>
      <c r="O159" s="13">
        <f>N159*VLOOKUP('Données projet'!$B$9,Paramètres!$A$1:$I$89,3,0)*VLOOKUP('Données projet'!$B$9,Paramètres!$A$1:$I$89,5,0)</f>
        <v>0.48074000000019829</v>
      </c>
      <c r="P159" s="13">
        <f t="shared" si="141"/>
        <v>0.24126147010950588</v>
      </c>
      <c r="Q159" s="20">
        <f t="shared" si="162"/>
        <v>1.2574858937744013</v>
      </c>
      <c r="R159" s="59">
        <f t="shared" si="109"/>
        <v>294.59081922710772</v>
      </c>
      <c r="S159" s="59">
        <f ca="1">AVERAGE(OFFSET($R$3,0,0,'Données projet'!$E$9+1,1))-AVERAGE(OFFSET($H$3,0,0,'Données projet'!$E$9+1,1))</f>
        <v>350.01600895263641</v>
      </c>
      <c r="T159" s="59">
        <f t="shared" si="142"/>
        <v>464.08921044376882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50.304976727701231</v>
      </c>
      <c r="AA159" s="21">
        <f>EXP(-LN(2)/25)*AA158+(1-EXP(-LN(2)/25))/(LN(2)/25)*Calculateur!V159*Calculateur!X159*VLOOKUP('Données projet'!$B$9,Paramètres!$A$1:$I$89,3,0)*0.475*44/12</f>
        <v>1.5371374206393471</v>
      </c>
      <c r="AB159" s="21">
        <f>EXP(-LN(2)/2)*AB158+(1-EXP(-LN(2)/2))/(LN(2)/2)*V159*Y159*VLOOKUP('Données projet'!$B$9,Paramètres!$A$1:$I$89,3,0)*0.475*44/12</f>
        <v>8.0222344507652474E-20</v>
      </c>
      <c r="AC159" s="22">
        <f t="shared" si="163"/>
        <v>51.842114148340578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227.99999999999994</v>
      </c>
      <c r="AJ159" s="13">
        <f>AI159*VLOOKUP('Données projet'!$B$10,Paramètres!$A$1:$I$89,3,0)*VLOOKUP('Données projet'!$B$10,Paramètres!$A$1:$I$89,5,0)</f>
        <v>199.18079999999998</v>
      </c>
      <c r="AK159" s="13">
        <f t="shared" si="164"/>
        <v>49.564089376413683</v>
      </c>
      <c r="AL159" s="20">
        <f t="shared" si="165"/>
        <v>433.23068233058711</v>
      </c>
      <c r="AM159" s="59">
        <f t="shared" si="113"/>
        <v>726.56401566392037</v>
      </c>
      <c r="AN159" s="59">
        <f ca="1">AVERAGE(OFFSET($AM$3,0,0,'Données projet'!$E$10+1,1))-AVERAGE(OFFSET($H$3,0,0,'Données projet'!$E$10+1,1))</f>
        <v>242.48830542479988</v>
      </c>
      <c r="AO159" s="59">
        <f t="shared" si="144"/>
        <v>226.11219631227061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16.39866768891757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16.39866768891757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-0.62249999999999517</v>
      </c>
      <c r="BD159" s="12">
        <f>IF('Données projet'!$A$88&gt;35,BD158+BC159-BL158,IF(A159&lt;'Données projet'!$A$88,$BA$205^A159,IF(A159='Données projet'!$A$88,'Données projet'!$B$88,BD158+BC159-BL158)))</f>
        <v>195.14249999999947</v>
      </c>
      <c r="BE159" s="13">
        <f>BD159*VLOOKUP('Données projet'!$B$11,Paramètres!$A$1:$I$89,3,0)*VLOOKUP('Données projet'!$B$11,Paramètres!$A$1:$I$89,5,0)</f>
        <v>197.87449499999948</v>
      </c>
      <c r="BF159" s="13">
        <f t="shared" si="167"/>
        <v>49.276755984888823</v>
      </c>
      <c r="BG159" s="20">
        <f t="shared" si="168"/>
        <v>430.45509546534709</v>
      </c>
      <c r="BH159" s="59">
        <f t="shared" si="116"/>
        <v>723.78842879868034</v>
      </c>
      <c r="BI159" s="59">
        <f ca="1">AVERAGE(OFFSET($BH$3,0,0,'Données projet'!$E$11+1,1))-AVERAGE(OFFSET($H$3,0,0,'Données projet'!$E$11+1,1))</f>
        <v>402.5435069258703</v>
      </c>
      <c r="BJ159" s="59">
        <f t="shared" si="146"/>
        <v>163.60655195816349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187.41356148786878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187.41356148786878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-0.62249999999999517</v>
      </c>
      <c r="BY159" s="12">
        <f>IF('Données projet'!$A$114&gt;35,BY158+BX159-CG158,IF(A159&lt;'Données projet'!$A$114,$BV$205^A159,IF(A159='Données projet'!$A$114,'Données projet'!$B$114,BY158+BX159-CG158)))</f>
        <v>195.14249999999947</v>
      </c>
      <c r="BZ159" s="13">
        <f>BY159*VLOOKUP('Données projet'!$B$12,Paramètres!$A$1:$I$89,3,0)*VLOOKUP('Données projet'!$B$12,Paramètres!$A$1:$I$89,5,0)</f>
        <v>176.56493399999951</v>
      </c>
      <c r="CA159" s="13">
        <f t="shared" si="170"/>
        <v>44.557092361023109</v>
      </c>
      <c r="CB159" s="20">
        <f t="shared" si="171"/>
        <v>385.12086257878104</v>
      </c>
      <c r="CC159" s="59">
        <f t="shared" si="119"/>
        <v>678.4541959121143</v>
      </c>
      <c r="CD159" s="59">
        <f ca="1">AVERAGE(OFFSET($CC$3,0,0,'Données projet'!$E$12+1,1))-AVERAGE(OFFSET($H$3,0,0,'Données projet'!$E$12+1,1))</f>
        <v>350.91577977538822</v>
      </c>
      <c r="CE159" s="59">
        <f t="shared" si="148"/>
        <v>142.87103313412547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167.23056255840598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167.23056255840598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266.99999999999983</v>
      </c>
      <c r="CU159" s="17">
        <f>CT159*VLOOKUP('Données projet'!$B$13,Paramètres!$A$1:$I$89,3,0)*VLOOKUP('Données projet'!$B$13,Paramètres!$A$1:$I$89,5,0)</f>
        <v>216.59039999999987</v>
      </c>
      <c r="CV159" s="13">
        <f t="shared" si="173"/>
        <v>53.373153688190904</v>
      </c>
      <c r="CW159" s="20">
        <f t="shared" si="174"/>
        <v>470.18652267359886</v>
      </c>
      <c r="CX159" s="59">
        <f t="shared" si="122"/>
        <v>763.51985600693217</v>
      </c>
      <c r="CY159" s="59">
        <f ca="1">AVERAGE(OFFSET($CX$3,0,0,'Données projet'!$E$13+1,1))-AVERAGE(OFFSET($H$3,0,0,'Données projet'!$E$13+1,1))</f>
        <v>230.38929580146208</v>
      </c>
      <c r="CZ159" s="59">
        <f t="shared" si="150"/>
        <v>227.1847788696258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9.8203150936974275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9.8203150936974275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3.009999999999792</v>
      </c>
      <c r="DP159" s="17">
        <f>DO159*VLOOKUP('Données projet'!$B$14,Paramètres!$A$1:$I$89,3,0)*VLOOKUP('Données projet'!$B$14,Paramètres!$A$1:$I$89,5,0)</f>
        <v>1.7999799999998758</v>
      </c>
      <c r="DQ159" s="13">
        <f t="shared" si="176"/>
        <v>0.77465189310357685</v>
      </c>
      <c r="DR159" s="20">
        <f t="shared" si="177"/>
        <v>4.4841505471551795</v>
      </c>
      <c r="DS159" s="59">
        <f t="shared" si="125"/>
        <v>297.81748388048851</v>
      </c>
      <c r="DT159" s="59">
        <f ca="1">AVERAGE(OFFSET($DS$3,0,0,'Données projet'!$E$14+1,1))-AVERAGE(OFFSET($H$3,0,0,'Données projet'!$E$14+1,1))</f>
        <v>145.97103392561058</v>
      </c>
      <c r="DU159" s="59">
        <f t="shared" si="152"/>
        <v>62.920713953681172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64.399899446120045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64.399899446120045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0.8600000000003547</v>
      </c>
      <c r="O160" s="13">
        <f>N160*VLOOKUP('Données projet'!$B$9,Paramètres!$A$1:$I$89,3,0)*VLOOKUP('Données projet'!$B$9,Paramètres!$A$1:$I$89,5,0)</f>
        <v>0.48074000000019829</v>
      </c>
      <c r="P160" s="13">
        <f t="shared" si="141"/>
        <v>0.24126147010950588</v>
      </c>
      <c r="Q160" s="20">
        <f t="shared" si="162"/>
        <v>1.2574858937744013</v>
      </c>
      <c r="R160" s="59">
        <f t="shared" si="109"/>
        <v>294.59081922710772</v>
      </c>
      <c r="S160" s="59">
        <f ca="1">AVERAGE(OFFSET($R$3,0,0,'Données projet'!$E$9+1,1))-AVERAGE(OFFSET($H$3,0,0,'Données projet'!$E$9+1,1))</f>
        <v>350.01600895263641</v>
      </c>
      <c r="T160" s="59">
        <f t="shared" si="142"/>
        <v>464.08921044376882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49.318526817077121</v>
      </c>
      <c r="AA160" s="21">
        <f>EXP(-LN(2)/25)*AA159+(1-EXP(-LN(2)/25))/(LN(2)/25)*Calculateur!V160*Calculateur!X160*VLOOKUP('Données projet'!$B$9,Paramètres!$A$1:$I$89,3,0)*0.475*44/12</f>
        <v>1.4951043170374203</v>
      </c>
      <c r="AB160" s="21">
        <f>EXP(-LN(2)/2)*AB159+(1-EXP(-LN(2)/2))/(LN(2)/2)*V160*Y160*VLOOKUP('Données projet'!$B$9,Paramètres!$A$1:$I$89,3,0)*0.475*44/12</f>
        <v>5.6725763804044449E-20</v>
      </c>
      <c r="AC160" s="22">
        <f t="shared" si="163"/>
        <v>50.813631134114544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227.99999999999994</v>
      </c>
      <c r="AJ160" s="13">
        <f>AI160*VLOOKUP('Données projet'!$B$10,Paramètres!$A$1:$I$89,3,0)*VLOOKUP('Données projet'!$B$10,Paramètres!$A$1:$I$89,5,0)</f>
        <v>199.18079999999998</v>
      </c>
      <c r="AK160" s="13">
        <f t="shared" si="164"/>
        <v>49.564089376413683</v>
      </c>
      <c r="AL160" s="20">
        <f t="shared" si="165"/>
        <v>433.23068233058711</v>
      </c>
      <c r="AM160" s="59">
        <f t="shared" si="113"/>
        <v>726.56401566392037</v>
      </c>
      <c r="AN160" s="59">
        <f ca="1">AVERAGE(OFFSET($AM$3,0,0,'Données projet'!$E$10+1,1))-AVERAGE(OFFSET($H$3,0,0,'Données projet'!$E$10+1,1))</f>
        <v>242.48830542479988</v>
      </c>
      <c r="AO160" s="59">
        <f t="shared" si="144"/>
        <v>226.11219631227061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16.077099817737551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16.077099817737551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>
        <f>VLOOKUP(A160,'Données projet'!$A$87:$I$107,2,0)</f>
        <v>194.52</v>
      </c>
      <c r="BB160" s="12">
        <f>VLOOKUP(A160,'Données projet'!$A$87:$I$107,9,0)</f>
        <v>-0.62249999999999517</v>
      </c>
      <c r="BC160" s="12">
        <f t="array" ref="BC160">INDEX(BB:BB,MIN(IF(ISNUMBER(BB160:BB356),ROW(BB160:BB356),"")))</f>
        <v>-0.62249999999999517</v>
      </c>
      <c r="BD160" s="12">
        <f>IF('Données projet'!$A$88&gt;35,BD159+BC160-BL159,IF(A160&lt;'Données projet'!$A$88,$BA$205^A160,IF(A160='Données projet'!$A$88,'Données projet'!$B$88,BD159+BC160-BL159)))</f>
        <v>194.51999999999947</v>
      </c>
      <c r="BE160" s="13">
        <f>BD160*VLOOKUP('Données projet'!$B$11,Paramètres!$A$1:$I$89,3,0)*VLOOKUP('Données projet'!$B$11,Paramètres!$A$1:$I$89,5,0)</f>
        <v>197.24327999999949</v>
      </c>
      <c r="BF160" s="13">
        <f t="shared" si="167"/>
        <v>49.137835584649814</v>
      </c>
      <c r="BG160" s="20">
        <f t="shared" si="168"/>
        <v>429.11377630993087</v>
      </c>
      <c r="BH160" s="59">
        <f t="shared" si="116"/>
        <v>722.44710964326418</v>
      </c>
      <c r="BI160" s="59">
        <f ca="1">AVERAGE(OFFSET($BH$3,0,0,'Données projet'!$E$11+1,1))-AVERAGE(OFFSET($H$3,0,0,'Données projet'!$E$11+1,1))</f>
        <v>402.5435069258703</v>
      </c>
      <c r="BJ160" s="59">
        <f t="shared" si="146"/>
        <v>163.60655195816349</v>
      </c>
      <c r="BK160" s="15">
        <f>IF(ISNA(VLOOKUP(A160,'Données projet'!$A$87:$I$107,3,0)),0,VLOOKUP(A160,'Données projet'!$A$87:$I$107,3,0))</f>
        <v>14</v>
      </c>
      <c r="BL160" s="15">
        <f>IF(ISNA(VLOOKUP(A160,'Données projet'!$A$87:$I$107,4,0)),0,VLOOKUP(A160,'Données projet'!$A$87:$I$107,4,0))</f>
        <v>57.95</v>
      </c>
      <c r="BM160" s="16">
        <f>IF(ISNA(VLOOKUP(A160,'Données projet'!$A$87:$I$107,5,0)),0%,VLOOKUP(A160,'Données projet'!$A$87:$I$107,5,0)*VLOOKUP('Données projet'!$B$11,Paramètres!$A$1:$I$89,7,0))</f>
        <v>0.43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211.67081280160221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211.67081280160221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>
        <f>VLOOKUP(A160,'Données projet'!$A$113:$I$133,2,0)</f>
        <v>194.52</v>
      </c>
      <c r="BW160" s="12">
        <f>VLOOKUP(A160,'Données projet'!$A$113:$I$133,9,0)</f>
        <v>-0.62249999999999517</v>
      </c>
      <c r="BX160" s="12">
        <f t="array" ref="BX160">INDEX(BW:BW,MIN(IF(ISNUMBER(BW160:BW356),ROW(BW160:BW356),"")))</f>
        <v>-0.62249999999999517</v>
      </c>
      <c r="BY160" s="12">
        <f>IF('Données projet'!$A$114&gt;35,BY159+BX160-CG159,IF(A160&lt;'Données projet'!$A$114,$BV$205^A160,IF(A160='Données projet'!$A$114,'Données projet'!$B$114,BY159+BX160-CG159)))</f>
        <v>194.51999999999947</v>
      </c>
      <c r="BZ160" s="13">
        <f>BY160*VLOOKUP('Données projet'!$B$12,Paramètres!$A$1:$I$89,3,0)*VLOOKUP('Données projet'!$B$12,Paramètres!$A$1:$I$89,5,0)</f>
        <v>176.00169599999953</v>
      </c>
      <c r="CA160" s="13">
        <f t="shared" si="170"/>
        <v>44.431477576109543</v>
      </c>
      <c r="CB160" s="20">
        <f t="shared" si="171"/>
        <v>383.92111064505661</v>
      </c>
      <c r="CC160" s="59">
        <f t="shared" si="119"/>
        <v>677.25444397838987</v>
      </c>
      <c r="CD160" s="59">
        <f ca="1">AVERAGE(OFFSET($CC$3,0,0,'Données projet'!$E$12+1,1))-AVERAGE(OFFSET($H$3,0,0,'Données projet'!$E$12+1,1))</f>
        <v>350.91577977538822</v>
      </c>
      <c r="CE160" s="59">
        <f t="shared" si="148"/>
        <v>142.87103313412547</v>
      </c>
      <c r="CF160" s="15">
        <f>IF(ISNA(VLOOKUP(A160,'Données projet'!$A$113:$I$133,3,0)),0,VLOOKUP(A160,'Données projet'!$A$113:$I$133,3,0))</f>
        <v>14</v>
      </c>
      <c r="CG160" s="15">
        <f>IF(ISNA(VLOOKUP(A160,'Données projet'!$A$113:$I$133,4,0)),0,VLOOKUP(A160,'Données projet'!$A$113:$I$133,4,0))</f>
        <v>57.95</v>
      </c>
      <c r="CH160" s="16">
        <f>IF(ISNA(VLOOKUP(A160,'Données projet'!$A$113:$I$133,5,0)),0%,VLOOKUP(A160,'Données projet'!$A$113:$I$133,5,0)*VLOOKUP('Données projet'!$B$12,Paramètres!$A$1:$I$89,7,0))</f>
        <v>0.43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188.8754944998912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188.8754944998912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266.99999999999983</v>
      </c>
      <c r="CU160" s="17">
        <f>CT160*VLOOKUP('Données projet'!$B$13,Paramètres!$A$1:$I$89,3,0)*VLOOKUP('Données projet'!$B$13,Paramètres!$A$1:$I$89,5,0)</f>
        <v>216.59039999999987</v>
      </c>
      <c r="CV160" s="13">
        <f t="shared" si="173"/>
        <v>53.373153688190904</v>
      </c>
      <c r="CW160" s="20">
        <f t="shared" si="174"/>
        <v>470.18652267359886</v>
      </c>
      <c r="CX160" s="59">
        <f t="shared" si="122"/>
        <v>763.51985600693217</v>
      </c>
      <c r="CY160" s="59">
        <f ca="1">AVERAGE(OFFSET($CX$3,0,0,'Données projet'!$E$13+1,1))-AVERAGE(OFFSET($H$3,0,0,'Données projet'!$E$13+1,1))</f>
        <v>230.38929580146208</v>
      </c>
      <c r="CZ160" s="59">
        <f t="shared" si="150"/>
        <v>227.1847788696258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9.6277447045107838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9.6277447045107838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3.009999999999792</v>
      </c>
      <c r="DP160" s="17">
        <f>DO160*VLOOKUP('Données projet'!$B$14,Paramètres!$A$1:$I$89,3,0)*VLOOKUP('Données projet'!$B$14,Paramètres!$A$1:$I$89,5,0)</f>
        <v>1.7999799999998758</v>
      </c>
      <c r="DQ160" s="13">
        <f t="shared" si="176"/>
        <v>0.77465189310357685</v>
      </c>
      <c r="DR160" s="20">
        <f t="shared" si="177"/>
        <v>4.4841505471551795</v>
      </c>
      <c r="DS160" s="59">
        <f t="shared" si="125"/>
        <v>297.81748388048851</v>
      </c>
      <c r="DT160" s="59">
        <f ca="1">AVERAGE(OFFSET($DS$3,0,0,'Données projet'!$E$14+1,1))-AVERAGE(OFFSET($H$3,0,0,'Données projet'!$E$14+1,1))</f>
        <v>145.97103392561058</v>
      </c>
      <c r="DU160" s="59">
        <f t="shared" si="152"/>
        <v>62.920713953681172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63.137056698041711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63.137056698041711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0.8600000000003547</v>
      </c>
      <c r="O161" s="13">
        <f>N161*VLOOKUP('Données projet'!$B$9,Paramètres!$A$1:$I$89,3,0)*VLOOKUP('Données projet'!$B$9,Paramètres!$A$1:$I$89,5,0)</f>
        <v>0.48074000000019829</v>
      </c>
      <c r="P161" s="13">
        <f t="shared" si="141"/>
        <v>0.24126147010950588</v>
      </c>
      <c r="Q161" s="20">
        <f t="shared" si="162"/>
        <v>1.2574858937744013</v>
      </c>
      <c r="R161" s="59">
        <f t="shared" si="109"/>
        <v>294.59081922710772</v>
      </c>
      <c r="S161" s="59">
        <f ca="1">AVERAGE(OFFSET($R$3,0,0,'Données projet'!$E$9+1,1))-AVERAGE(OFFSET($H$3,0,0,'Données projet'!$E$9+1,1))</f>
        <v>350.01600895263641</v>
      </c>
      <c r="T161" s="59">
        <f t="shared" si="142"/>
        <v>464.08921044376882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48.351420587525311</v>
      </c>
      <c r="AA161" s="21">
        <f>EXP(-LN(2)/25)*AA160+(1-EXP(-LN(2)/25))/(LN(2)/25)*Calculateur!V161*Calculateur!X161*VLOOKUP('Données projet'!$B$9,Paramètres!$A$1:$I$89,3,0)*0.475*44/12</f>
        <v>1.4542206108639131</v>
      </c>
      <c r="AB161" s="21">
        <f>EXP(-LN(2)/2)*AB160+(1-EXP(-LN(2)/2))/(LN(2)/2)*V161*Y161*VLOOKUP('Données projet'!$B$9,Paramètres!$A$1:$I$89,3,0)*0.475*44/12</f>
        <v>4.0111172253826237E-20</v>
      </c>
      <c r="AC161" s="22">
        <f t="shared" si="163"/>
        <v>49.805641198389225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227.99999999999994</v>
      </c>
      <c r="AJ161" s="13">
        <f>AI161*VLOOKUP('Données projet'!$B$10,Paramètres!$A$1:$I$89,3,0)*VLOOKUP('Données projet'!$B$10,Paramètres!$A$1:$I$89,5,0)</f>
        <v>199.18079999999998</v>
      </c>
      <c r="AK161" s="13">
        <f t="shared" si="164"/>
        <v>49.564089376413683</v>
      </c>
      <c r="AL161" s="20">
        <f t="shared" si="165"/>
        <v>433.23068233058711</v>
      </c>
      <c r="AM161" s="59">
        <f t="shared" si="113"/>
        <v>726.56401566392037</v>
      </c>
      <c r="AN161" s="59">
        <f ca="1">AVERAGE(OFFSET($AM$3,0,0,'Données projet'!$E$10+1,1))-AVERAGE(OFFSET($H$3,0,0,'Données projet'!$E$10+1,1))</f>
        <v>242.48830542479988</v>
      </c>
      <c r="AO161" s="59">
        <f t="shared" si="144"/>
        <v>226.11219631227061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15.761837696374338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15.761837696374338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-0.57750000000000057</v>
      </c>
      <c r="BD161" s="12">
        <f>IF('Données projet'!$A$88&gt;35,BD160+BC161-BL160,IF(A161&lt;'Données projet'!$A$88,$BA$205^A161,IF(A161='Données projet'!$A$88,'Données projet'!$B$88,BD160+BC161-BL160)))</f>
        <v>135.9924999999995</v>
      </c>
      <c r="BE161" s="13">
        <f>BD161*VLOOKUP('Données projet'!$B$11,Paramètres!$A$1:$I$89,3,0)*VLOOKUP('Données projet'!$B$11,Paramètres!$A$1:$I$89,5,0)</f>
        <v>137.8963949999995</v>
      </c>
      <c r="BF161" s="13">
        <f t="shared" si="167"/>
        <v>35.814675327481773</v>
      </c>
      <c r="BG161" s="20">
        <f t="shared" si="168"/>
        <v>302.54678082036321</v>
      </c>
      <c r="BH161" s="59">
        <f t="shared" si="116"/>
        <v>595.88011415369647</v>
      </c>
      <c r="BI161" s="59">
        <f ca="1">AVERAGE(OFFSET($BH$3,0,0,'Données projet'!$E$11+1,1))-AVERAGE(OFFSET($H$3,0,0,'Données projet'!$E$11+1,1))</f>
        <v>402.5435069258703</v>
      </c>
      <c r="BJ161" s="59">
        <f t="shared" si="146"/>
        <v>163.60655195816349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207.52007726901039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207.52007726901039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-0.57750000000000057</v>
      </c>
      <c r="BY161" s="12">
        <f>IF('Données projet'!$A$114&gt;35,BY160+BX161-CG160,IF(A161&lt;'Données projet'!$A$114,$BV$205^A161,IF(A161='Données projet'!$A$114,'Données projet'!$B$114,BY160+BX161-CG160)))</f>
        <v>135.9924999999995</v>
      </c>
      <c r="BZ161" s="13">
        <f>BY161*VLOOKUP('Données projet'!$B$12,Paramètres!$A$1:$I$89,3,0)*VLOOKUP('Données projet'!$B$12,Paramètres!$A$1:$I$89,5,0)</f>
        <v>123.04601399999953</v>
      </c>
      <c r="CA161" s="13">
        <f t="shared" si="170"/>
        <v>32.384392287025314</v>
      </c>
      <c r="CB161" s="20">
        <f t="shared" si="171"/>
        <v>270.70795761656831</v>
      </c>
      <c r="CC161" s="59">
        <f t="shared" si="119"/>
        <v>564.04129094990162</v>
      </c>
      <c r="CD161" s="59">
        <f ca="1">AVERAGE(OFFSET($CC$3,0,0,'Données projet'!$E$12+1,1))-AVERAGE(OFFSET($H$3,0,0,'Données projet'!$E$12+1,1))</f>
        <v>350.91577977538822</v>
      </c>
      <c r="CE161" s="59">
        <f t="shared" si="148"/>
        <v>142.87103313412547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185.17176125542466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185.17176125542466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266.99999999999983</v>
      </c>
      <c r="CU161" s="17">
        <f>CT161*VLOOKUP('Données projet'!$B$13,Paramètres!$A$1:$I$89,3,0)*VLOOKUP('Données projet'!$B$13,Paramètres!$A$1:$I$89,5,0)</f>
        <v>216.59039999999987</v>
      </c>
      <c r="CV161" s="13">
        <f t="shared" si="173"/>
        <v>53.373153688190904</v>
      </c>
      <c r="CW161" s="20">
        <f t="shared" si="174"/>
        <v>470.18652267359886</v>
      </c>
      <c r="CX161" s="59">
        <f t="shared" si="122"/>
        <v>763.51985600693217</v>
      </c>
      <c r="CY161" s="59">
        <f ca="1">AVERAGE(OFFSET($CX$3,0,0,'Données projet'!$E$13+1,1))-AVERAGE(OFFSET($H$3,0,0,'Données projet'!$E$13+1,1))</f>
        <v>230.38929580146208</v>
      </c>
      <c r="CZ161" s="59">
        <f t="shared" si="150"/>
        <v>227.1847788696258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9.4389505031997505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9.4389505031997505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3.009999999999792</v>
      </c>
      <c r="DP161" s="17">
        <f>DO161*VLOOKUP('Données projet'!$B$14,Paramètres!$A$1:$I$89,3,0)*VLOOKUP('Données projet'!$B$14,Paramètres!$A$1:$I$89,5,0)</f>
        <v>1.7999799999998758</v>
      </c>
      <c r="DQ161" s="13">
        <f t="shared" si="176"/>
        <v>0.77465189310357685</v>
      </c>
      <c r="DR161" s="20">
        <f t="shared" si="177"/>
        <v>4.4841505471551795</v>
      </c>
      <c r="DS161" s="59">
        <f t="shared" si="125"/>
        <v>297.81748388048851</v>
      </c>
      <c r="DT161" s="59">
        <f ca="1">AVERAGE(OFFSET($DS$3,0,0,'Données projet'!$E$14+1,1))-AVERAGE(OFFSET($H$3,0,0,'Données projet'!$E$14+1,1))</f>
        <v>145.97103392561058</v>
      </c>
      <c r="DU161" s="59">
        <f t="shared" si="152"/>
        <v>62.920713953681172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61.898977525995171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61.898977525995171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0.8600000000003547</v>
      </c>
      <c r="O162" s="13">
        <f>N162*VLOOKUP('Données projet'!$B$9,Paramètres!$A$1:$I$89,3,0)*VLOOKUP('Données projet'!$B$9,Paramètres!$A$1:$I$89,5,0)</f>
        <v>0.48074000000019829</v>
      </c>
      <c r="P162" s="13">
        <f t="shared" si="141"/>
        <v>0.24126147010950588</v>
      </c>
      <c r="Q162" s="20">
        <f t="shared" si="162"/>
        <v>1.2574858937744013</v>
      </c>
      <c r="R162" s="59">
        <f t="shared" si="109"/>
        <v>294.59081922710772</v>
      </c>
      <c r="S162" s="59">
        <f ca="1">AVERAGE(OFFSET($R$3,0,0,'Données projet'!$E$9+1,1))-AVERAGE(OFFSET($H$3,0,0,'Données projet'!$E$9+1,1))</f>
        <v>350.01600895263641</v>
      </c>
      <c r="T162" s="59">
        <f t="shared" si="142"/>
        <v>464.08921044376882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47.403278721258459</v>
      </c>
      <c r="AA162" s="21">
        <f>EXP(-LN(2)/25)*AA161+(1-EXP(-LN(2)/25))/(LN(2)/25)*Calculateur!V162*Calculateur!X162*VLOOKUP('Données projet'!$B$9,Paramètres!$A$1:$I$89,3,0)*0.475*44/12</f>
        <v>1.4144548717857011</v>
      </c>
      <c r="AB162" s="21">
        <f>EXP(-LN(2)/2)*AB161+(1-EXP(-LN(2)/2))/(LN(2)/2)*V162*Y162*VLOOKUP('Données projet'!$B$9,Paramètres!$A$1:$I$89,3,0)*0.475*44/12</f>
        <v>2.8362881902022224E-20</v>
      </c>
      <c r="AC162" s="22">
        <f t="shared" si="163"/>
        <v>48.81773359304416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227.99999999999994</v>
      </c>
      <c r="AJ162" s="13">
        <f>AI162*VLOOKUP('Données projet'!$B$10,Paramètres!$A$1:$I$89,3,0)*VLOOKUP('Données projet'!$B$10,Paramètres!$A$1:$I$89,5,0)</f>
        <v>199.18079999999998</v>
      </c>
      <c r="AK162" s="13">
        <f t="shared" si="164"/>
        <v>49.564089376413683</v>
      </c>
      <c r="AL162" s="20">
        <f t="shared" si="165"/>
        <v>433.23068233058711</v>
      </c>
      <c r="AM162" s="59">
        <f t="shared" si="113"/>
        <v>726.56401566392037</v>
      </c>
      <c r="AN162" s="59">
        <f ca="1">AVERAGE(OFFSET($AM$3,0,0,'Données projet'!$E$10+1,1))-AVERAGE(OFFSET($H$3,0,0,'Données projet'!$E$10+1,1))</f>
        <v>242.48830542479988</v>
      </c>
      <c r="AO162" s="59">
        <f t="shared" si="144"/>
        <v>226.11219631227061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15.45275767292015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15.45275767292015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-0.57750000000000057</v>
      </c>
      <c r="BD162" s="12">
        <f>IF('Données projet'!$A$88&gt;35,BD161+BC162-BL161,IF(A162&lt;'Données projet'!$A$88,$BA$205^A162,IF(A162='Données projet'!$A$88,'Données projet'!$B$88,BD161+BC162-BL161)))</f>
        <v>135.41499999999951</v>
      </c>
      <c r="BE162" s="13">
        <f>BD162*VLOOKUP('Données projet'!$B$11,Paramètres!$A$1:$I$89,3,0)*VLOOKUP('Données projet'!$B$11,Paramètres!$A$1:$I$89,5,0)</f>
        <v>137.31080999999952</v>
      </c>
      <c r="BF162" s="13">
        <f t="shared" si="167"/>
        <v>35.680256145224305</v>
      </c>
      <c r="BG162" s="20">
        <f t="shared" si="168"/>
        <v>301.29277353626486</v>
      </c>
      <c r="BH162" s="59">
        <f t="shared" si="116"/>
        <v>594.62610686959817</v>
      </c>
      <c r="BI162" s="59">
        <f ca="1">AVERAGE(OFFSET($BH$3,0,0,'Données projet'!$E$11+1,1))-AVERAGE(OFFSET($H$3,0,0,'Données projet'!$E$11+1,1))</f>
        <v>402.5435069258703</v>
      </c>
      <c r="BJ162" s="59">
        <f t="shared" si="146"/>
        <v>163.60655195816349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203.450735128514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203.450735128514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-0.57750000000000057</v>
      </c>
      <c r="BY162" s="12">
        <f>IF('Données projet'!$A$114&gt;35,BY161+BX162-CG161,IF(A162&lt;'Données projet'!$A$114,$BV$205^A162,IF(A162='Données projet'!$A$114,'Données projet'!$B$114,BY161+BX162-CG161)))</f>
        <v>135.41499999999951</v>
      </c>
      <c r="BZ162" s="13">
        <f>BY162*VLOOKUP('Données projet'!$B$12,Paramètres!$A$1:$I$89,3,0)*VLOOKUP('Données projet'!$B$12,Paramètres!$A$1:$I$89,5,0)</f>
        <v>122.52349199999954</v>
      </c>
      <c r="CA162" s="13">
        <f t="shared" si="170"/>
        <v>32.262847599287028</v>
      </c>
      <c r="CB162" s="20">
        <f t="shared" si="171"/>
        <v>269.5862081354241</v>
      </c>
      <c r="CC162" s="59">
        <f t="shared" si="119"/>
        <v>562.91954146875742</v>
      </c>
      <c r="CD162" s="59">
        <f ca="1">AVERAGE(OFFSET($CC$3,0,0,'Données projet'!$E$12+1,1))-AVERAGE(OFFSET($H$3,0,0,'Données projet'!$E$12+1,1))</f>
        <v>350.91577977538822</v>
      </c>
      <c r="CE162" s="59">
        <f t="shared" si="148"/>
        <v>142.87103313412547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181.54065596082788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181.54065596082788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266.99999999999983</v>
      </c>
      <c r="CU162" s="17">
        <f>CT162*VLOOKUP('Données projet'!$B$13,Paramètres!$A$1:$I$89,3,0)*VLOOKUP('Données projet'!$B$13,Paramètres!$A$1:$I$89,5,0)</f>
        <v>216.59039999999987</v>
      </c>
      <c r="CV162" s="13">
        <f t="shared" si="173"/>
        <v>53.373153688190904</v>
      </c>
      <c r="CW162" s="20">
        <f t="shared" si="174"/>
        <v>470.18652267359886</v>
      </c>
      <c r="CX162" s="59">
        <f t="shared" si="122"/>
        <v>763.51985600693217</v>
      </c>
      <c r="CY162" s="59">
        <f ca="1">AVERAGE(OFFSET($CX$3,0,0,'Données projet'!$E$13+1,1))-AVERAGE(OFFSET($H$3,0,0,'Données projet'!$E$13+1,1))</f>
        <v>230.38929580146208</v>
      </c>
      <c r="CZ162" s="59">
        <f t="shared" si="150"/>
        <v>227.1847788696258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9.2538584410233344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9.2538584410233344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3.009999999999792</v>
      </c>
      <c r="DP162" s="17">
        <f>DO162*VLOOKUP('Données projet'!$B$14,Paramètres!$A$1:$I$89,3,0)*VLOOKUP('Données projet'!$B$14,Paramètres!$A$1:$I$89,5,0)</f>
        <v>1.7999799999998758</v>
      </c>
      <c r="DQ162" s="13">
        <f t="shared" si="176"/>
        <v>0.77465189310357685</v>
      </c>
      <c r="DR162" s="20">
        <f t="shared" si="177"/>
        <v>4.4841505471551795</v>
      </c>
      <c r="DS162" s="59">
        <f t="shared" si="125"/>
        <v>297.81748388048851</v>
      </c>
      <c r="DT162" s="59">
        <f ca="1">AVERAGE(OFFSET($DS$3,0,0,'Données projet'!$E$14+1,1))-AVERAGE(OFFSET($H$3,0,0,'Données projet'!$E$14+1,1))</f>
        <v>145.97103392561058</v>
      </c>
      <c r="DU162" s="59">
        <f t="shared" si="152"/>
        <v>62.920713953681172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60.685176331358733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60.685176331358733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0.8600000000003547</v>
      </c>
      <c r="O163" s="13">
        <f>N163*VLOOKUP('Données projet'!$B$9,Paramètres!$A$1:$I$89,3,0)*VLOOKUP('Données projet'!$B$9,Paramètres!$A$1:$I$89,5,0)</f>
        <v>0.48074000000019829</v>
      </c>
      <c r="P163" s="13">
        <f t="shared" si="141"/>
        <v>0.24126147010950588</v>
      </c>
      <c r="Q163" s="20">
        <f t="shared" si="162"/>
        <v>1.2574858937744013</v>
      </c>
      <c r="R163" s="59">
        <f t="shared" si="109"/>
        <v>294.59081922710772</v>
      </c>
      <c r="S163" s="59">
        <f ca="1">AVERAGE(OFFSET($R$3,0,0,'Données projet'!$E$9+1,1))-AVERAGE(OFFSET($H$3,0,0,'Données projet'!$E$9+1,1))</f>
        <v>350.01600895263641</v>
      </c>
      <c r="T163" s="59">
        <f t="shared" si="142"/>
        <v>464.08921044376882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46.473729338679668</v>
      </c>
      <c r="AA163" s="21">
        <f>EXP(-LN(2)/25)*AA162+(1-EXP(-LN(2)/25))/(LN(2)/25)*Calculateur!V163*Calculateur!X163*VLOOKUP('Données projet'!$B$9,Paramètres!$A$1:$I$89,3,0)*0.475*44/12</f>
        <v>1.3757765289337722</v>
      </c>
      <c r="AB163" s="21">
        <f>EXP(-LN(2)/2)*AB162+(1-EXP(-LN(2)/2))/(LN(2)/2)*V163*Y163*VLOOKUP('Données projet'!$B$9,Paramètres!$A$1:$I$89,3,0)*0.475*44/12</f>
        <v>2.0055586126913119E-20</v>
      </c>
      <c r="AC163" s="22">
        <f t="shared" si="163"/>
        <v>47.849505867613438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227.99999999999994</v>
      </c>
      <c r="AJ163" s="13">
        <f>AI163*VLOOKUP('Données projet'!$B$10,Paramètres!$A$1:$I$89,3,0)*VLOOKUP('Données projet'!$B$10,Paramètres!$A$1:$I$89,5,0)</f>
        <v>199.18079999999998</v>
      </c>
      <c r="AK163" s="13">
        <f t="shared" si="164"/>
        <v>49.564089376413683</v>
      </c>
      <c r="AL163" s="20">
        <f t="shared" si="165"/>
        <v>433.23068233058711</v>
      </c>
      <c r="AM163" s="59">
        <f t="shared" si="113"/>
        <v>726.56401566392037</v>
      </c>
      <c r="AN163" s="59">
        <f ca="1">AVERAGE(OFFSET($AM$3,0,0,'Données projet'!$E$10+1,1))-AVERAGE(OFFSET($H$3,0,0,'Données projet'!$E$10+1,1))</f>
        <v>242.48830542479988</v>
      </c>
      <c r="AO163" s="59">
        <f t="shared" si="144"/>
        <v>226.11219631227061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15.1497385202057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15.1497385202057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-0.57750000000000057</v>
      </c>
      <c r="BD163" s="12">
        <f>IF('Données projet'!$A$88&gt;35,BD162+BC163-BL162,IF(A163&lt;'Données projet'!$A$88,$BA$205^A163,IF(A163='Données projet'!$A$88,'Données projet'!$B$88,BD162+BC163-BL162)))</f>
        <v>134.83749999999952</v>
      </c>
      <c r="BE163" s="13">
        <f>BD163*VLOOKUP('Données projet'!$B$11,Paramètres!$A$1:$I$89,3,0)*VLOOKUP('Données projet'!$B$11,Paramètres!$A$1:$I$89,5,0)</f>
        <v>136.72522499999954</v>
      </c>
      <c r="BF163" s="13">
        <f t="shared" si="167"/>
        <v>35.545770219519405</v>
      </c>
      <c r="BG163" s="20">
        <f t="shared" si="168"/>
        <v>300.03865000732878</v>
      </c>
      <c r="BH163" s="59">
        <f t="shared" si="116"/>
        <v>593.37198334066215</v>
      </c>
      <c r="BI163" s="59">
        <f ca="1">AVERAGE(OFFSET($BH$3,0,0,'Données projet'!$E$11+1,1))-AVERAGE(OFFSET($H$3,0,0,'Données projet'!$E$11+1,1))</f>
        <v>402.5435069258703</v>
      </c>
      <c r="BJ163" s="59">
        <f t="shared" si="146"/>
        <v>163.60655195816349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199.46119030533913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199.46119030533913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-0.57750000000000057</v>
      </c>
      <c r="BY163" s="12">
        <f>IF('Données projet'!$A$114&gt;35,BY162+BX163-CG162,IF(A163&lt;'Données projet'!$A$114,$BV$205^A163,IF(A163='Données projet'!$A$114,'Données projet'!$B$114,BY162+BX163-CG162)))</f>
        <v>134.83749999999952</v>
      </c>
      <c r="BZ163" s="13">
        <f>BY163*VLOOKUP('Données projet'!$B$12,Paramètres!$A$1:$I$89,3,0)*VLOOKUP('Données projet'!$B$12,Paramètres!$A$1:$I$89,5,0)</f>
        <v>122.00096999999957</v>
      </c>
      <c r="CA163" s="13">
        <f t="shared" si="170"/>
        <v>32.141242560701933</v>
      </c>
      <c r="CB163" s="20">
        <f t="shared" si="171"/>
        <v>268.46435354322176</v>
      </c>
      <c r="CC163" s="59">
        <f t="shared" si="119"/>
        <v>561.79768687655508</v>
      </c>
      <c r="CD163" s="59">
        <f ca="1">AVERAGE(OFFSET($CC$3,0,0,'Données projet'!$E$12+1,1))-AVERAGE(OFFSET($H$3,0,0,'Données projet'!$E$12+1,1))</f>
        <v>350.91577977538822</v>
      </c>
      <c r="CE163" s="59">
        <f t="shared" si="148"/>
        <v>142.87103313412547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177.98075442630261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177.98075442630261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266.99999999999983</v>
      </c>
      <c r="CU163" s="17">
        <f>CT163*VLOOKUP('Données projet'!$B$13,Paramètres!$A$1:$I$89,3,0)*VLOOKUP('Données projet'!$B$13,Paramètres!$A$1:$I$89,5,0)</f>
        <v>216.59039999999987</v>
      </c>
      <c r="CV163" s="13">
        <f t="shared" si="173"/>
        <v>53.373153688190904</v>
      </c>
      <c r="CW163" s="20">
        <f t="shared" si="174"/>
        <v>470.18652267359886</v>
      </c>
      <c r="CX163" s="59">
        <f t="shared" si="122"/>
        <v>763.51985600693217</v>
      </c>
      <c r="CY163" s="59">
        <f ca="1">AVERAGE(OFFSET($CX$3,0,0,'Données projet'!$E$13+1,1))-AVERAGE(OFFSET($H$3,0,0,'Données projet'!$E$13+1,1))</f>
        <v>230.38929580146208</v>
      </c>
      <c r="CZ163" s="59">
        <f t="shared" si="150"/>
        <v>227.1847788696258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9.0723959212911875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9.0723959212911875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3.009999999999792</v>
      </c>
      <c r="DP163" s="17">
        <f>DO163*VLOOKUP('Données projet'!$B$14,Paramètres!$A$1:$I$89,3,0)*VLOOKUP('Données projet'!$B$14,Paramètres!$A$1:$I$89,5,0)</f>
        <v>1.7999799999998758</v>
      </c>
      <c r="DQ163" s="13">
        <f t="shared" si="176"/>
        <v>0.77465189310357685</v>
      </c>
      <c r="DR163" s="20">
        <f t="shared" si="177"/>
        <v>4.4841505471551795</v>
      </c>
      <c r="DS163" s="59">
        <f t="shared" si="125"/>
        <v>297.81748388048851</v>
      </c>
      <c r="DT163" s="59">
        <f ca="1">AVERAGE(OFFSET($DS$3,0,0,'Données projet'!$E$14+1,1))-AVERAGE(OFFSET($H$3,0,0,'Données projet'!$E$14+1,1))</f>
        <v>145.97103392561058</v>
      </c>
      <c r="DU163" s="59">
        <f t="shared" si="152"/>
        <v>62.920713953681172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59.495177037803494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59.495177037803494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0.8600000000003547</v>
      </c>
      <c r="O164" s="13">
        <f>N164*VLOOKUP('Données projet'!$B$9,Paramètres!$A$1:$I$89,3,0)*VLOOKUP('Données projet'!$B$9,Paramètres!$A$1:$I$89,5,0)</f>
        <v>0.48074000000019829</v>
      </c>
      <c r="P164" s="13">
        <f t="shared" si="141"/>
        <v>0.24126147010950588</v>
      </c>
      <c r="Q164" s="20">
        <f t="shared" si="162"/>
        <v>1.2574858937744013</v>
      </c>
      <c r="R164" s="59">
        <f t="shared" si="109"/>
        <v>294.59081922710772</v>
      </c>
      <c r="S164" s="59">
        <f ca="1">AVERAGE(OFFSET($R$3,0,0,'Données projet'!$E$9+1,1))-AVERAGE(OFFSET($H$3,0,0,'Données projet'!$E$9+1,1))</f>
        <v>350.01600895263641</v>
      </c>
      <c r="T164" s="59">
        <f t="shared" si="142"/>
        <v>464.08921044376882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45.562407852524103</v>
      </c>
      <c r="AA164" s="21">
        <f>EXP(-LN(2)/25)*AA163+(1-EXP(-LN(2)/25))/(LN(2)/25)*Calculateur!V164*Calculateur!X164*VLOOKUP('Données projet'!$B$9,Paramètres!$A$1:$I$89,3,0)*0.475*44/12</f>
        <v>1.338155847401135</v>
      </c>
      <c r="AB164" s="21">
        <f>EXP(-LN(2)/2)*AB163+(1-EXP(-LN(2)/2))/(LN(2)/2)*V164*Y164*VLOOKUP('Données projet'!$B$9,Paramètres!$A$1:$I$89,3,0)*0.475*44/12</f>
        <v>1.4181440951011112E-20</v>
      </c>
      <c r="AC164" s="22">
        <f t="shared" si="163"/>
        <v>46.900563699925236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227.99999999999994</v>
      </c>
      <c r="AJ164" s="13">
        <f>AI164*VLOOKUP('Données projet'!$B$10,Paramètres!$A$1:$I$89,3,0)*VLOOKUP('Données projet'!$B$10,Paramètres!$A$1:$I$89,5,0)</f>
        <v>199.18079999999998</v>
      </c>
      <c r="AK164" s="13">
        <f t="shared" si="164"/>
        <v>49.564089376413683</v>
      </c>
      <c r="AL164" s="20">
        <f t="shared" si="165"/>
        <v>433.23068233058711</v>
      </c>
      <c r="AM164" s="59">
        <f t="shared" si="113"/>
        <v>726.56401566392037</v>
      </c>
      <c r="AN164" s="59">
        <f ca="1">AVERAGE(OFFSET($AM$3,0,0,'Données projet'!$E$10+1,1))-AVERAGE(OFFSET($H$3,0,0,'Données projet'!$E$10+1,1))</f>
        <v>242.48830542479988</v>
      </c>
      <c r="AO164" s="59">
        <f t="shared" si="144"/>
        <v>226.11219631227061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14.852661388252548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14.852661388252548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>
        <f>VLOOKUP(A164,'Données projet'!$A$87:$I$107,2,0)</f>
        <v>134.26</v>
      </c>
      <c r="BB164" s="12">
        <f>VLOOKUP(A164,'Données projet'!$A$87:$I$107,9,0)</f>
        <v>-0.57750000000000057</v>
      </c>
      <c r="BC164" s="12">
        <f t="array" ref="BC164">INDEX(BB:BB,MIN(IF(ISNUMBER(BB164:BB360),ROW(BB164:BB360),"")))</f>
        <v>-0.57750000000000057</v>
      </c>
      <c r="BD164" s="12">
        <f>IF('Données projet'!$A$88&gt;35,BD163+BC164-BL163,IF(A164&lt;'Données projet'!$A$88,$BA$205^A164,IF(A164='Données projet'!$A$88,'Données projet'!$B$88,BD163+BC164-BL163)))</f>
        <v>134.25999999999954</v>
      </c>
      <c r="BE164" s="13">
        <f>BD164*VLOOKUP('Données projet'!$B$11,Paramètres!$A$1:$I$89,3,0)*VLOOKUP('Données projet'!$B$11,Paramètres!$A$1:$I$89,5,0)</f>
        <v>136.13963999999956</v>
      </c>
      <c r="BF164" s="13">
        <f t="shared" si="167"/>
        <v>35.411217231153969</v>
      </c>
      <c r="BG164" s="20">
        <f t="shared" si="168"/>
        <v>298.78440967759246</v>
      </c>
      <c r="BH164" s="59">
        <f t="shared" si="116"/>
        <v>592.11774301092578</v>
      </c>
      <c r="BI164" s="59">
        <f ca="1">AVERAGE(OFFSET($BH$3,0,0,'Données projet'!$E$11+1,1))-AVERAGE(OFFSET($H$3,0,0,'Données projet'!$E$11+1,1))</f>
        <v>402.5435069258703</v>
      </c>
      <c r="BJ164" s="59">
        <f t="shared" si="146"/>
        <v>163.60655195816349</v>
      </c>
      <c r="BK164" s="15">
        <f>IF(ISNA(VLOOKUP(A164,'Données projet'!$A$87:$I$107,3,0)),0,VLOOKUP(A164,'Données projet'!$A$87:$I$107,3,0))</f>
        <v>15</v>
      </c>
      <c r="BL164" s="15">
        <f>IF(ISNA(VLOOKUP(A164,'Données projet'!$A$87:$I$107,4,0)),0,VLOOKUP(A164,'Données projet'!$A$87:$I$107,4,0))</f>
        <v>115.43</v>
      </c>
      <c r="BM164" s="16">
        <f>IF(ISNA(VLOOKUP(A164,'Données projet'!$A$87:$I$107,5,0)),0%,VLOOKUP(A164,'Données projet'!$A$87:$I$107,5,0)*VLOOKUP('Données projet'!$B$11,Paramètres!$A$1:$I$89,7,0))</f>
        <v>0.43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251.18796852821981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251.18796852821981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>
        <f>VLOOKUP(A164,'Données projet'!$A$113:$I$133,2,0)</f>
        <v>134.26</v>
      </c>
      <c r="BW164" s="12">
        <f>VLOOKUP(A164,'Données projet'!$A$113:$I$133,9,0)</f>
        <v>-0.57750000000000057</v>
      </c>
      <c r="BX164" s="12">
        <f t="array" ref="BX164">INDEX(BW:BW,MIN(IF(ISNUMBER(BW164:BW360),ROW(BW164:BW360),"")))</f>
        <v>-0.57750000000000057</v>
      </c>
      <c r="BY164" s="12">
        <f>IF('Données projet'!$A$114&gt;35,BY163+BX164-CG163,IF(A164&lt;'Données projet'!$A$114,$BV$205^A164,IF(A164='Données projet'!$A$114,'Données projet'!$B$114,BY163+BX164-CG163)))</f>
        <v>134.25999999999954</v>
      </c>
      <c r="BZ164" s="13">
        <f>BY164*VLOOKUP('Données projet'!$B$12,Paramètres!$A$1:$I$89,3,0)*VLOOKUP('Données projet'!$B$12,Paramètres!$A$1:$I$89,5,0)</f>
        <v>121.47844799999959</v>
      </c>
      <c r="CA164" s="13">
        <f t="shared" si="170"/>
        <v>32.019576882630702</v>
      </c>
      <c r="CB164" s="20">
        <f t="shared" si="171"/>
        <v>267.34239333724776</v>
      </c>
      <c r="CC164" s="59">
        <f t="shared" si="119"/>
        <v>560.67572667058107</v>
      </c>
      <c r="CD164" s="59">
        <f ca="1">AVERAGE(OFFSET($CC$3,0,0,'Données projet'!$E$12+1,1))-AVERAGE(OFFSET($H$3,0,0,'Données projet'!$E$12+1,1))</f>
        <v>350.91577977538822</v>
      </c>
      <c r="CE164" s="59">
        <f t="shared" si="148"/>
        <v>142.87103313412547</v>
      </c>
      <c r="CF164" s="15">
        <f>IF(ISNA(VLOOKUP(A164,'Données projet'!$A$113:$I$133,3,0)),0,VLOOKUP(A164,'Données projet'!$A$113:$I$133,3,0))</f>
        <v>15</v>
      </c>
      <c r="CG164" s="15">
        <f>IF(ISNA(VLOOKUP(A164,'Données projet'!$A$113:$I$133,4,0)),0,VLOOKUP(A164,'Données projet'!$A$113:$I$133,4,0))</f>
        <v>115.43</v>
      </c>
      <c r="CH164" s="16">
        <f>IF(ISNA(VLOOKUP(A164,'Données projet'!$A$113:$I$133,5,0)),0%,VLOOKUP(A164,'Données projet'!$A$113:$I$133,5,0)*VLOOKUP('Données projet'!$B$12,Paramètres!$A$1:$I$89,7,0))</f>
        <v>0.43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224.13695653287306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224.13695653287306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266.99999999999983</v>
      </c>
      <c r="CU164" s="17">
        <f>CT164*VLOOKUP('Données projet'!$B$13,Paramètres!$A$1:$I$89,3,0)*VLOOKUP('Données projet'!$B$13,Paramètres!$A$1:$I$89,5,0)</f>
        <v>216.59039999999987</v>
      </c>
      <c r="CV164" s="13">
        <f t="shared" si="173"/>
        <v>53.373153688190904</v>
      </c>
      <c r="CW164" s="20">
        <f t="shared" si="174"/>
        <v>470.18652267359886</v>
      </c>
      <c r="CX164" s="59">
        <f t="shared" si="122"/>
        <v>763.51985600693217</v>
      </c>
      <c r="CY164" s="59">
        <f ca="1">AVERAGE(OFFSET($CX$3,0,0,'Données projet'!$E$13+1,1))-AVERAGE(OFFSET($H$3,0,0,'Données projet'!$E$13+1,1))</f>
        <v>230.38929580146208</v>
      </c>
      <c r="CZ164" s="59">
        <f t="shared" si="150"/>
        <v>227.1847788696258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8.8944917708897808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8.8944917708897808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3.009999999999792</v>
      </c>
      <c r="DP164" s="17">
        <f>DO164*VLOOKUP('Données projet'!$B$14,Paramètres!$A$1:$I$89,3,0)*VLOOKUP('Données projet'!$B$14,Paramètres!$A$1:$I$89,5,0)</f>
        <v>1.7999799999998758</v>
      </c>
      <c r="DQ164" s="13">
        <f t="shared" si="176"/>
        <v>0.77465189310357685</v>
      </c>
      <c r="DR164" s="20">
        <f t="shared" si="177"/>
        <v>4.4841505471551795</v>
      </c>
      <c r="DS164" s="59">
        <f t="shared" si="125"/>
        <v>297.81748388048851</v>
      </c>
      <c r="DT164" s="59">
        <f ca="1">AVERAGE(OFFSET($DS$3,0,0,'Données projet'!$E$14+1,1))-AVERAGE(OFFSET($H$3,0,0,'Données projet'!$E$14+1,1))</f>
        <v>145.97103392561058</v>
      </c>
      <c r="DU164" s="59">
        <f t="shared" si="152"/>
        <v>62.920713953681172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58.328512904566971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58.328512904566971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0.8600000000003547</v>
      </c>
      <c r="O165" s="13">
        <f>N165*VLOOKUP('Données projet'!$B$9,Paramètres!$A$1:$I$89,3,0)*VLOOKUP('Données projet'!$B$9,Paramètres!$A$1:$I$89,5,0)</f>
        <v>0.48074000000019829</v>
      </c>
      <c r="P165" s="13">
        <f t="shared" si="141"/>
        <v>0.24126147010950588</v>
      </c>
      <c r="Q165" s="20">
        <f t="shared" si="162"/>
        <v>1.2574858937744013</v>
      </c>
      <c r="R165" s="59">
        <f t="shared" si="109"/>
        <v>294.59081922710772</v>
      </c>
      <c r="S165" s="59">
        <f ca="1">AVERAGE(OFFSET($R$3,0,0,'Données projet'!$E$9+1,1))-AVERAGE(OFFSET($H$3,0,0,'Données projet'!$E$9+1,1))</f>
        <v>350.01600895263641</v>
      </c>
      <c r="T165" s="59">
        <f t="shared" si="142"/>
        <v>464.08921044376882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44.668956824860828</v>
      </c>
      <c r="AA165" s="21">
        <f>EXP(-LN(2)/25)*AA164+(1-EXP(-LN(2)/25))/(LN(2)/25)*Calculateur!V165*Calculateur!X165*VLOOKUP('Données projet'!$B$9,Paramètres!$A$1:$I$89,3,0)*0.475*44/12</f>
        <v>1.3015639053833934</v>
      </c>
      <c r="AB165" s="21">
        <f>EXP(-LN(2)/2)*AB164+(1-EXP(-LN(2)/2))/(LN(2)/2)*V165*Y165*VLOOKUP('Données projet'!$B$9,Paramètres!$A$1:$I$89,3,0)*0.475*44/12</f>
        <v>1.0027793063456559E-20</v>
      </c>
      <c r="AC165" s="22">
        <f t="shared" si="163"/>
        <v>45.970520730244225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227.99999999999994</v>
      </c>
      <c r="AJ165" s="13">
        <f>AI165*VLOOKUP('Données projet'!$B$10,Paramètres!$A$1:$I$89,3,0)*VLOOKUP('Données projet'!$B$10,Paramètres!$A$1:$I$89,5,0)</f>
        <v>199.18079999999998</v>
      </c>
      <c r="AK165" s="13">
        <f t="shared" si="164"/>
        <v>49.564089376413683</v>
      </c>
      <c r="AL165" s="20">
        <f t="shared" si="165"/>
        <v>433.23068233058711</v>
      </c>
      <c r="AM165" s="59">
        <f t="shared" si="113"/>
        <v>726.56401566392037</v>
      </c>
      <c r="AN165" s="59">
        <f ca="1">AVERAGE(OFFSET($AM$3,0,0,'Données projet'!$E$10+1,1))-AVERAGE(OFFSET($H$3,0,0,'Données projet'!$E$10+1,1))</f>
        <v>242.48830542479988</v>
      </c>
      <c r="AO165" s="59">
        <f t="shared" si="144"/>
        <v>226.11219631227061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14.561409757657838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14.561409757657838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18.829999999999529</v>
      </c>
      <c r="BE165" s="13">
        <f>BD165*VLOOKUP('Données projet'!$B$11,Paramètres!$A$1:$I$89,3,0)*VLOOKUP('Données projet'!$B$11,Paramètres!$A$1:$I$89,5,0)</f>
        <v>19.093619999999522</v>
      </c>
      <c r="BF165" s="13">
        <f t="shared" si="167"/>
        <v>6.2423044268988255</v>
      </c>
      <c r="BG165" s="20">
        <f t="shared" si="168"/>
        <v>44.126735043514621</v>
      </c>
      <c r="BH165" s="59">
        <f t="shared" si="116"/>
        <v>337.46006837684791</v>
      </c>
      <c r="BI165" s="59">
        <f ca="1">AVERAGE(OFFSET($BH$3,0,0,'Données projet'!$E$11+1,1))-AVERAGE(OFFSET($H$3,0,0,'Données projet'!$E$11+1,1))</f>
        <v>402.5435069258703</v>
      </c>
      <c r="BJ165" s="59">
        <f t="shared" si="146"/>
        <v>163.60655195816349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246.26232567491405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246.26232567491405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18.829999999999529</v>
      </c>
      <c r="BZ165" s="13">
        <f>BY165*VLOOKUP('Données projet'!$B$12,Paramètres!$A$1:$I$89,3,0)*VLOOKUP('Données projet'!$B$12,Paramètres!$A$1:$I$89,5,0)</f>
        <v>17.037383999999573</v>
      </c>
      <c r="CA165" s="13">
        <f t="shared" si="170"/>
        <v>5.6444246244669305</v>
      </c>
      <c r="CB165" s="20">
        <f t="shared" si="171"/>
        <v>39.504150020945822</v>
      </c>
      <c r="CC165" s="59">
        <f t="shared" si="119"/>
        <v>332.83748335427913</v>
      </c>
      <c r="CD165" s="59">
        <f ca="1">AVERAGE(OFFSET($CC$3,0,0,'Données projet'!$E$12+1,1))-AVERAGE(OFFSET($H$3,0,0,'Données projet'!$E$12+1,1))</f>
        <v>350.91577977538822</v>
      </c>
      <c r="CE165" s="59">
        <f t="shared" si="148"/>
        <v>142.87103313412547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219.74176752530789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219.74176752530789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266.99999999999983</v>
      </c>
      <c r="CU165" s="17">
        <f>CT165*VLOOKUP('Données projet'!$B$13,Paramètres!$A$1:$I$89,3,0)*VLOOKUP('Données projet'!$B$13,Paramètres!$A$1:$I$89,5,0)</f>
        <v>216.59039999999987</v>
      </c>
      <c r="CV165" s="13">
        <f t="shared" si="173"/>
        <v>53.373153688190904</v>
      </c>
      <c r="CW165" s="20">
        <f t="shared" si="174"/>
        <v>470.18652267359886</v>
      </c>
      <c r="CX165" s="59">
        <f t="shared" si="122"/>
        <v>763.51985600693217</v>
      </c>
      <c r="CY165" s="59">
        <f ca="1">AVERAGE(OFFSET($CX$3,0,0,'Données projet'!$E$13+1,1))-AVERAGE(OFFSET($H$3,0,0,'Données projet'!$E$13+1,1))</f>
        <v>230.38929580146208</v>
      </c>
      <c r="CZ165" s="59">
        <f t="shared" si="150"/>
        <v>227.1847788696258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8.7200762123669282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8.7200762123669282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3.009999999999792</v>
      </c>
      <c r="DP165" s="17">
        <f>DO165*VLOOKUP('Données projet'!$B$14,Paramètres!$A$1:$I$89,3,0)*VLOOKUP('Données projet'!$B$14,Paramètres!$A$1:$I$89,5,0)</f>
        <v>1.7999799999998758</v>
      </c>
      <c r="DQ165" s="13">
        <f t="shared" si="176"/>
        <v>0.77465189310357685</v>
      </c>
      <c r="DR165" s="20">
        <f t="shared" si="177"/>
        <v>4.4841505471551795</v>
      </c>
      <c r="DS165" s="59">
        <f t="shared" si="125"/>
        <v>297.81748388048851</v>
      </c>
      <c r="DT165" s="59">
        <f ca="1">AVERAGE(OFFSET($DS$3,0,0,'Données projet'!$E$14+1,1))-AVERAGE(OFFSET($H$3,0,0,'Données projet'!$E$14+1,1))</f>
        <v>145.97103392561058</v>
      </c>
      <c r="DU165" s="59">
        <f t="shared" si="152"/>
        <v>62.920713953681172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57.184726343388355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57.184726343388355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0.8600000000003547</v>
      </c>
      <c r="O166" s="13">
        <f>N166*VLOOKUP('Données projet'!$B$9,Paramètres!$A$1:$I$89,3,0)*VLOOKUP('Données projet'!$B$9,Paramètres!$A$1:$I$89,5,0)</f>
        <v>0.48074000000019829</v>
      </c>
      <c r="P166" s="13">
        <f t="shared" si="141"/>
        <v>0.24126147010950588</v>
      </c>
      <c r="Q166" s="20">
        <f t="shared" si="162"/>
        <v>1.2574858937744013</v>
      </c>
      <c r="R166" s="59">
        <f t="shared" si="109"/>
        <v>294.59081922710772</v>
      </c>
      <c r="S166" s="59">
        <f ca="1">AVERAGE(OFFSET($R$3,0,0,'Données projet'!$E$9+1,1))-AVERAGE(OFFSET($H$3,0,0,'Données projet'!$E$9+1,1))</f>
        <v>350.01600895263641</v>
      </c>
      <c r="T166" s="59">
        <f t="shared" si="142"/>
        <v>464.08921044376882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43.793025826898713</v>
      </c>
      <c r="AA166" s="21">
        <f>EXP(-LN(2)/25)*AA165+(1-EXP(-LN(2)/25))/(LN(2)/25)*Calculateur!V166*Calculateur!X166*VLOOKUP('Données projet'!$B$9,Paramètres!$A$1:$I$89,3,0)*0.475*44/12</f>
        <v>1.2659725719444135</v>
      </c>
      <c r="AB166" s="21">
        <f>EXP(-LN(2)/2)*AB165+(1-EXP(-LN(2)/2))/(LN(2)/2)*V166*Y166*VLOOKUP('Données projet'!$B$9,Paramètres!$A$1:$I$89,3,0)*0.475*44/12</f>
        <v>7.0907204755055561E-21</v>
      </c>
      <c r="AC166" s="22">
        <f t="shared" si="163"/>
        <v>45.05899839884313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227.99999999999994</v>
      </c>
      <c r="AJ166" s="13">
        <f>AI166*VLOOKUP('Données projet'!$B$10,Paramètres!$A$1:$I$89,3,0)*VLOOKUP('Données projet'!$B$10,Paramètres!$A$1:$I$89,5,0)</f>
        <v>199.18079999999998</v>
      </c>
      <c r="AK166" s="13">
        <f t="shared" si="164"/>
        <v>49.564089376413683</v>
      </c>
      <c r="AL166" s="20">
        <f t="shared" si="165"/>
        <v>433.23068233058711</v>
      </c>
      <c r="AM166" s="59">
        <f t="shared" si="113"/>
        <v>726.56401566392037</v>
      </c>
      <c r="AN166" s="59">
        <f ca="1">AVERAGE(OFFSET($AM$3,0,0,'Données projet'!$E$10+1,1))-AVERAGE(OFFSET($H$3,0,0,'Données projet'!$E$10+1,1))</f>
        <v>242.48830542479988</v>
      </c>
      <c r="AO166" s="59">
        <f t="shared" si="144"/>
        <v>226.11219631227061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14.275869393893137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14.275869393893137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18.829999999999529</v>
      </c>
      <c r="BE166" s="13">
        <f>BD166*VLOOKUP('Données projet'!$B$11,Paramètres!$A$1:$I$89,3,0)*VLOOKUP('Données projet'!$B$11,Paramètres!$A$1:$I$89,5,0)</f>
        <v>19.093619999999522</v>
      </c>
      <c r="BF166" s="13">
        <f t="shared" si="167"/>
        <v>6.2423044268988255</v>
      </c>
      <c r="BG166" s="20">
        <f t="shared" si="168"/>
        <v>44.126735043514621</v>
      </c>
      <c r="BH166" s="59">
        <f t="shared" si="116"/>
        <v>337.46006837684791</v>
      </c>
      <c r="BI166" s="59">
        <f ca="1">AVERAGE(OFFSET($BH$3,0,0,'Données projet'!$E$11+1,1))-AVERAGE(OFFSET($H$3,0,0,'Données projet'!$E$11+1,1))</f>
        <v>402.5435069258703</v>
      </c>
      <c r="BJ166" s="59">
        <f t="shared" si="146"/>
        <v>163.60655195816349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241.43327167361613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241.43327167361613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18.829999999999529</v>
      </c>
      <c r="BZ166" s="13">
        <f>BY166*VLOOKUP('Données projet'!$B$12,Paramètres!$A$1:$I$89,3,0)*VLOOKUP('Données projet'!$B$12,Paramètres!$A$1:$I$89,5,0)</f>
        <v>17.037383999999573</v>
      </c>
      <c r="CA166" s="13">
        <f t="shared" si="170"/>
        <v>5.6444246244669305</v>
      </c>
      <c r="CB166" s="20">
        <f t="shared" si="171"/>
        <v>39.504150020945822</v>
      </c>
      <c r="CC166" s="59">
        <f t="shared" si="119"/>
        <v>332.83748335427913</v>
      </c>
      <c r="CD166" s="59">
        <f ca="1">AVERAGE(OFFSET($CC$3,0,0,'Données projet'!$E$12+1,1))-AVERAGE(OFFSET($H$3,0,0,'Données projet'!$E$12+1,1))</f>
        <v>350.91577977538822</v>
      </c>
      <c r="CE166" s="59">
        <f t="shared" si="148"/>
        <v>142.87103313412547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215.43276549338051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215.43276549338051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266.99999999999983</v>
      </c>
      <c r="CU166" s="17">
        <f>CT166*VLOOKUP('Données projet'!$B$13,Paramètres!$A$1:$I$89,3,0)*VLOOKUP('Données projet'!$B$13,Paramètres!$A$1:$I$89,5,0)</f>
        <v>216.59039999999987</v>
      </c>
      <c r="CV166" s="13">
        <f t="shared" si="173"/>
        <v>53.373153688190904</v>
      </c>
      <c r="CW166" s="20">
        <f t="shared" si="174"/>
        <v>470.18652267359886</v>
      </c>
      <c r="CX166" s="59">
        <f t="shared" si="122"/>
        <v>763.51985600693217</v>
      </c>
      <c r="CY166" s="59">
        <f ca="1">AVERAGE(OFFSET($CX$3,0,0,'Données projet'!$E$13+1,1))-AVERAGE(OFFSET($H$3,0,0,'Données projet'!$E$13+1,1))</f>
        <v>230.38929580146208</v>
      </c>
      <c r="CZ166" s="59">
        <f t="shared" si="150"/>
        <v>227.1847788696258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8.5490808365637214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8.5490808365637214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3.009999999999792</v>
      </c>
      <c r="DP166" s="17">
        <f>DO166*VLOOKUP('Données projet'!$B$14,Paramètres!$A$1:$I$89,3,0)*VLOOKUP('Données projet'!$B$14,Paramètres!$A$1:$I$89,5,0)</f>
        <v>1.7999799999998758</v>
      </c>
      <c r="DQ166" s="13">
        <f t="shared" si="176"/>
        <v>0.77465189310357685</v>
      </c>
      <c r="DR166" s="20">
        <f t="shared" si="177"/>
        <v>4.4841505471551795</v>
      </c>
      <c r="DS166" s="59">
        <f t="shared" si="125"/>
        <v>297.81748388048851</v>
      </c>
      <c r="DT166" s="59">
        <f ca="1">AVERAGE(OFFSET($DS$3,0,0,'Données projet'!$E$14+1,1))-AVERAGE(OFFSET($H$3,0,0,'Données projet'!$E$14+1,1))</f>
        <v>145.97103392561058</v>
      </c>
      <c r="DU166" s="59">
        <f t="shared" si="152"/>
        <v>62.920713953681172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56.063368739033542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56.063368739033542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0.8600000000003547</v>
      </c>
      <c r="O167" s="13">
        <f>N167*VLOOKUP('Données projet'!$B$9,Paramètres!$A$1:$I$89,3,0)*VLOOKUP('Données projet'!$B$9,Paramètres!$A$1:$I$89,5,0)</f>
        <v>0.48074000000019829</v>
      </c>
      <c r="P167" s="13">
        <f t="shared" si="141"/>
        <v>0.24126147010950588</v>
      </c>
      <c r="Q167" s="20">
        <f t="shared" si="162"/>
        <v>1.2574858937744013</v>
      </c>
      <c r="R167" s="59">
        <f t="shared" si="109"/>
        <v>294.59081922710772</v>
      </c>
      <c r="S167" s="59">
        <f ca="1">AVERAGE(OFFSET($R$3,0,0,'Données projet'!$E$9+1,1))-AVERAGE(OFFSET($H$3,0,0,'Données projet'!$E$9+1,1))</f>
        <v>350.01600895263641</v>
      </c>
      <c r="T167" s="59">
        <f t="shared" si="142"/>
        <v>464.08921044376882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42.934271301541479</v>
      </c>
      <c r="AA167" s="21">
        <f>EXP(-LN(2)/25)*AA166+(1-EXP(-LN(2)/25))/(LN(2)/25)*Calculateur!V167*Calculateur!X167*VLOOKUP('Données projet'!$B$9,Paramètres!$A$1:$I$89,3,0)*0.475*44/12</f>
        <v>1.2313544853899894</v>
      </c>
      <c r="AB167" s="21">
        <f>EXP(-LN(2)/2)*AB166+(1-EXP(-LN(2)/2))/(LN(2)/2)*V167*Y167*VLOOKUP('Données projet'!$B$9,Paramètres!$A$1:$I$89,3,0)*0.475*44/12</f>
        <v>5.0138965317282796E-21</v>
      </c>
      <c r="AC167" s="22">
        <f t="shared" si="163"/>
        <v>44.165625786931471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227.99999999999994</v>
      </c>
      <c r="AJ167" s="13">
        <f>AI167*VLOOKUP('Données projet'!$B$10,Paramètres!$A$1:$I$89,3,0)*VLOOKUP('Données projet'!$B$10,Paramètres!$A$1:$I$89,5,0)</f>
        <v>199.18079999999998</v>
      </c>
      <c r="AK167" s="13">
        <f t="shared" si="164"/>
        <v>49.564089376413683</v>
      </c>
      <c r="AL167" s="20">
        <f t="shared" si="165"/>
        <v>433.23068233058711</v>
      </c>
      <c r="AM167" s="59">
        <f t="shared" si="113"/>
        <v>726.56401566392037</v>
      </c>
      <c r="AN167" s="59">
        <f ca="1">AVERAGE(OFFSET($AM$3,0,0,'Données projet'!$E$10+1,1))-AVERAGE(OFFSET($H$3,0,0,'Données projet'!$E$10+1,1))</f>
        <v>242.48830542479988</v>
      </c>
      <c r="AO167" s="59">
        <f t="shared" si="144"/>
        <v>226.11219631227061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13.995928302499436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13.995928302499436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18.829999999999529</v>
      </c>
      <c r="BE167" s="13">
        <f>BD167*VLOOKUP('Données projet'!$B$11,Paramètres!$A$1:$I$89,3,0)*VLOOKUP('Données projet'!$B$11,Paramètres!$A$1:$I$89,5,0)</f>
        <v>19.093619999999522</v>
      </c>
      <c r="BF167" s="13">
        <f t="shared" si="167"/>
        <v>6.2423044268988255</v>
      </c>
      <c r="BG167" s="20">
        <f t="shared" si="168"/>
        <v>44.126735043514621</v>
      </c>
      <c r="BH167" s="59">
        <f t="shared" si="116"/>
        <v>337.46006837684791</v>
      </c>
      <c r="BI167" s="59">
        <f ca="1">AVERAGE(OFFSET($BH$3,0,0,'Données projet'!$E$11+1,1))-AVERAGE(OFFSET($H$3,0,0,'Données projet'!$E$11+1,1))</f>
        <v>402.5435069258703</v>
      </c>
      <c r="BJ167" s="59">
        <f t="shared" si="146"/>
        <v>163.60655195816349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236.69891247585156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236.69891247585156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18.829999999999529</v>
      </c>
      <c r="BZ167" s="13">
        <f>BY167*VLOOKUP('Données projet'!$B$12,Paramètres!$A$1:$I$89,3,0)*VLOOKUP('Données projet'!$B$12,Paramètres!$A$1:$I$89,5,0)</f>
        <v>17.037383999999573</v>
      </c>
      <c r="CA167" s="13">
        <f t="shared" si="170"/>
        <v>5.6444246244669305</v>
      </c>
      <c r="CB167" s="20">
        <f t="shared" si="171"/>
        <v>39.504150020945822</v>
      </c>
      <c r="CC167" s="59">
        <f t="shared" si="119"/>
        <v>332.83748335427913</v>
      </c>
      <c r="CD167" s="59">
        <f ca="1">AVERAGE(OFFSET($CC$3,0,0,'Données projet'!$E$12+1,1))-AVERAGE(OFFSET($H$3,0,0,'Données projet'!$E$12+1,1))</f>
        <v>350.91577977538822</v>
      </c>
      <c r="CE167" s="59">
        <f t="shared" si="148"/>
        <v>142.87103313412547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211.2082603630675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211.2082603630675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266.99999999999983</v>
      </c>
      <c r="CU167" s="17">
        <f>CT167*VLOOKUP('Données projet'!$B$13,Paramètres!$A$1:$I$89,3,0)*VLOOKUP('Données projet'!$B$13,Paramètres!$A$1:$I$89,5,0)</f>
        <v>216.59039999999987</v>
      </c>
      <c r="CV167" s="13">
        <f t="shared" si="173"/>
        <v>53.373153688190904</v>
      </c>
      <c r="CW167" s="20">
        <f t="shared" si="174"/>
        <v>470.18652267359886</v>
      </c>
      <c r="CX167" s="59">
        <f t="shared" si="122"/>
        <v>763.51985600693217</v>
      </c>
      <c r="CY167" s="59">
        <f ca="1">AVERAGE(OFFSET($CX$3,0,0,'Données projet'!$E$13+1,1))-AVERAGE(OFFSET($H$3,0,0,'Données projet'!$E$13+1,1))</f>
        <v>230.38929580146208</v>
      </c>
      <c r="CZ167" s="59">
        <f t="shared" si="150"/>
        <v>227.1847788696258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8.381438575783136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8.381438575783136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3.009999999999792</v>
      </c>
      <c r="DP167" s="17">
        <f>DO167*VLOOKUP('Données projet'!$B$14,Paramètres!$A$1:$I$89,3,0)*VLOOKUP('Données projet'!$B$14,Paramètres!$A$1:$I$89,5,0)</f>
        <v>1.7999799999998758</v>
      </c>
      <c r="DQ167" s="13">
        <f t="shared" si="176"/>
        <v>0.77465189310357685</v>
      </c>
      <c r="DR167" s="20">
        <f t="shared" si="177"/>
        <v>4.4841505471551795</v>
      </c>
      <c r="DS167" s="59">
        <f t="shared" si="125"/>
        <v>297.81748388048851</v>
      </c>
      <c r="DT167" s="59">
        <f ca="1">AVERAGE(OFFSET($DS$3,0,0,'Données projet'!$E$14+1,1))-AVERAGE(OFFSET($H$3,0,0,'Données projet'!$E$14+1,1))</f>
        <v>145.97103392561058</v>
      </c>
      <c r="DU167" s="59">
        <f t="shared" si="152"/>
        <v>62.920713953681172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54.964000273339522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54.964000273339522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0.8600000000003547</v>
      </c>
      <c r="O168" s="13">
        <f>N168*VLOOKUP('Données projet'!$B$9,Paramètres!$A$1:$I$89,3,0)*VLOOKUP('Données projet'!$B$9,Paramètres!$A$1:$I$89,5,0)</f>
        <v>0.48074000000019829</v>
      </c>
      <c r="P168" s="13">
        <f t="shared" si="141"/>
        <v>0.24126147010950588</v>
      </c>
      <c r="Q168" s="20">
        <f t="shared" si="162"/>
        <v>1.2574858937744013</v>
      </c>
      <c r="R168" s="59">
        <f t="shared" si="109"/>
        <v>294.59081922710772</v>
      </c>
      <c r="S168" s="59">
        <f ca="1">AVERAGE(OFFSET($R$3,0,0,'Données projet'!$E$9+1,1))-AVERAGE(OFFSET($H$3,0,0,'Données projet'!$E$9+1,1))</f>
        <v>350.01600895263641</v>
      </c>
      <c r="T168" s="59">
        <f t="shared" si="142"/>
        <v>464.08921044376882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42.092356428637963</v>
      </c>
      <c r="AA168" s="21">
        <f>EXP(-LN(2)/25)*AA167+(1-EXP(-LN(2)/25))/(LN(2)/25)*Calculateur!V168*Calculateur!X168*VLOOKUP('Données projet'!$B$9,Paramètres!$A$1:$I$89,3,0)*0.475*44/12</f>
        <v>1.197683032232882</v>
      </c>
      <c r="AB168" s="21">
        <f>EXP(-LN(2)/2)*AB167+(1-EXP(-LN(2)/2))/(LN(2)/2)*V168*Y168*VLOOKUP('Données projet'!$B$9,Paramètres!$A$1:$I$89,3,0)*0.475*44/12</f>
        <v>3.5453602377527781E-21</v>
      </c>
      <c r="AC168" s="22">
        <f t="shared" si="163"/>
        <v>43.290039460870844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227.99999999999994</v>
      </c>
      <c r="AJ168" s="13">
        <f>AI168*VLOOKUP('Données projet'!$B$10,Paramètres!$A$1:$I$89,3,0)*VLOOKUP('Données projet'!$B$10,Paramètres!$A$1:$I$89,5,0)</f>
        <v>199.18079999999998</v>
      </c>
      <c r="AK168" s="13">
        <f t="shared" si="164"/>
        <v>49.564089376413683</v>
      </c>
      <c r="AL168" s="20">
        <f t="shared" si="165"/>
        <v>433.23068233058711</v>
      </c>
      <c r="AM168" s="59">
        <f t="shared" si="113"/>
        <v>726.56401566392037</v>
      </c>
      <c r="AN168" s="59">
        <f ca="1">AVERAGE(OFFSET($AM$3,0,0,'Données projet'!$E$10+1,1))-AVERAGE(OFFSET($H$3,0,0,'Données projet'!$E$10+1,1))</f>
        <v>242.48830542479988</v>
      </c>
      <c r="AO168" s="59">
        <f t="shared" si="144"/>
        <v>226.11219631227061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13.721476685160761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13.721476685160761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18.829999999999529</v>
      </c>
      <c r="BE168" s="13">
        <f>BD168*VLOOKUP('Données projet'!$B$11,Paramètres!$A$1:$I$89,3,0)*VLOOKUP('Données projet'!$B$11,Paramètres!$A$1:$I$89,5,0)</f>
        <v>19.093619999999522</v>
      </c>
      <c r="BF168" s="13">
        <f t="shared" si="167"/>
        <v>6.2423044268988255</v>
      </c>
      <c r="BG168" s="20">
        <f t="shared" si="168"/>
        <v>44.126735043514621</v>
      </c>
      <c r="BH168" s="59">
        <f t="shared" si="116"/>
        <v>337.46006837684791</v>
      </c>
      <c r="BI168" s="59">
        <f ca="1">AVERAGE(OFFSET($BH$3,0,0,'Données projet'!$E$11+1,1))-AVERAGE(OFFSET($H$3,0,0,'Données projet'!$E$11+1,1))</f>
        <v>402.5435069258703</v>
      </c>
      <c r="BJ168" s="59">
        <f t="shared" si="146"/>
        <v>163.60655195816349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232.05739117428115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232.05739117428115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18.829999999999529</v>
      </c>
      <c r="BZ168" s="13">
        <f>BY168*VLOOKUP('Données projet'!$B$12,Paramètres!$A$1:$I$89,3,0)*VLOOKUP('Données projet'!$B$12,Paramètres!$A$1:$I$89,5,0)</f>
        <v>17.037383999999573</v>
      </c>
      <c r="CA168" s="13">
        <f t="shared" si="170"/>
        <v>5.6444246244669305</v>
      </c>
      <c r="CB168" s="20">
        <f t="shared" si="171"/>
        <v>39.504150020945822</v>
      </c>
      <c r="CC168" s="59">
        <f t="shared" si="119"/>
        <v>332.83748335427913</v>
      </c>
      <c r="CD168" s="59">
        <f ca="1">AVERAGE(OFFSET($CC$3,0,0,'Données projet'!$E$12+1,1))-AVERAGE(OFFSET($H$3,0,0,'Données projet'!$E$12+1,1))</f>
        <v>350.91577977538822</v>
      </c>
      <c r="CE168" s="59">
        <f t="shared" si="148"/>
        <v>142.87103313412547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207.06659520166622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207.06659520166622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266.99999999999983</v>
      </c>
      <c r="CU168" s="17">
        <f>CT168*VLOOKUP('Données projet'!$B$13,Paramètres!$A$1:$I$89,3,0)*VLOOKUP('Données projet'!$B$13,Paramètres!$A$1:$I$89,5,0)</f>
        <v>216.59039999999987</v>
      </c>
      <c r="CV168" s="13">
        <f t="shared" si="173"/>
        <v>53.373153688190904</v>
      </c>
      <c r="CW168" s="20">
        <f t="shared" si="174"/>
        <v>470.18652267359886</v>
      </c>
      <c r="CX168" s="59">
        <f t="shared" si="122"/>
        <v>763.51985600693217</v>
      </c>
      <c r="CY168" s="59">
        <f ca="1">AVERAGE(OFFSET($CX$3,0,0,'Données projet'!$E$13+1,1))-AVERAGE(OFFSET($H$3,0,0,'Données projet'!$E$13+1,1))</f>
        <v>230.38929580146208</v>
      </c>
      <c r="CZ168" s="59">
        <f t="shared" si="150"/>
        <v>227.1847788696258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8.2170836774847746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8.2170836774847746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3.009999999999792</v>
      </c>
      <c r="DP168" s="17">
        <f>DO168*VLOOKUP('Données projet'!$B$14,Paramètres!$A$1:$I$89,3,0)*VLOOKUP('Données projet'!$B$14,Paramètres!$A$1:$I$89,5,0)</f>
        <v>1.7999799999998758</v>
      </c>
      <c r="DQ168" s="13">
        <f t="shared" si="176"/>
        <v>0.77465189310357685</v>
      </c>
      <c r="DR168" s="20">
        <f t="shared" si="177"/>
        <v>4.4841505471551795</v>
      </c>
      <c r="DS168" s="59">
        <f t="shared" si="125"/>
        <v>297.81748388048851</v>
      </c>
      <c r="DT168" s="59">
        <f ca="1">AVERAGE(OFFSET($DS$3,0,0,'Données projet'!$E$14+1,1))-AVERAGE(OFFSET($H$3,0,0,'Données projet'!$E$14+1,1))</f>
        <v>145.97103392561058</v>
      </c>
      <c r="DU168" s="59">
        <f t="shared" si="152"/>
        <v>62.920713953681172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53.886189752709207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53.886189752709207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0.8600000000003547</v>
      </c>
      <c r="O169" s="13">
        <f>N169*VLOOKUP('Données projet'!$B$9,Paramètres!$A$1:$I$89,3,0)*VLOOKUP('Données projet'!$B$9,Paramètres!$A$1:$I$89,5,0)</f>
        <v>0.48074000000019829</v>
      </c>
      <c r="P169" s="13">
        <f t="shared" si="141"/>
        <v>0.24126147010950588</v>
      </c>
      <c r="Q169" s="20">
        <f t="shared" si="162"/>
        <v>1.2574858937744013</v>
      </c>
      <c r="R169" s="59">
        <f t="shared" si="109"/>
        <v>294.59081922710772</v>
      </c>
      <c r="S169" s="59">
        <f ca="1">AVERAGE(OFFSET($R$3,0,0,'Données projet'!$E$9+1,1))-AVERAGE(OFFSET($H$3,0,0,'Données projet'!$E$9+1,1))</f>
        <v>350.01600895263641</v>
      </c>
      <c r="T169" s="59">
        <f t="shared" si="142"/>
        <v>464.08921044376882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41.266950992874719</v>
      </c>
      <c r="AA169" s="21">
        <f>EXP(-LN(2)/25)*AA168+(1-EXP(-LN(2)/25))/(LN(2)/25)*Calculateur!V169*Calculateur!X169*VLOOKUP('Données projet'!$B$9,Paramètres!$A$1:$I$89,3,0)*0.475*44/12</f>
        <v>1.1649323267330605</v>
      </c>
      <c r="AB169" s="21">
        <f>EXP(-LN(2)/2)*AB168+(1-EXP(-LN(2)/2))/(LN(2)/2)*V169*Y169*VLOOKUP('Données projet'!$B$9,Paramètres!$A$1:$I$89,3,0)*0.475*44/12</f>
        <v>2.5069482658641398E-21</v>
      </c>
      <c r="AC169" s="22">
        <f t="shared" si="163"/>
        <v>42.431883319607778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227.99999999999994</v>
      </c>
      <c r="AJ169" s="13">
        <f>AI169*VLOOKUP('Données projet'!$B$10,Paramètres!$A$1:$I$89,3,0)*VLOOKUP('Données projet'!$B$10,Paramètres!$A$1:$I$89,5,0)</f>
        <v>199.18079999999998</v>
      </c>
      <c r="AK169" s="13">
        <f t="shared" si="164"/>
        <v>49.564089376413683</v>
      </c>
      <c r="AL169" s="20">
        <f t="shared" si="165"/>
        <v>433.23068233058711</v>
      </c>
      <c r="AM169" s="59">
        <f t="shared" si="113"/>
        <v>726.56401566392037</v>
      </c>
      <c r="AN169" s="59">
        <f ca="1">AVERAGE(OFFSET($AM$3,0,0,'Données projet'!$E$10+1,1))-AVERAGE(OFFSET($H$3,0,0,'Données projet'!$E$10+1,1))</f>
        <v>242.48830542479988</v>
      </c>
      <c r="AO169" s="59">
        <f t="shared" si="144"/>
        <v>226.11219631227061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13.45240689663914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13.45240689663914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18.829999999999529</v>
      </c>
      <c r="BE169" s="13">
        <f>BD169*VLOOKUP('Données projet'!$B$11,Paramètres!$A$1:$I$89,3,0)*VLOOKUP('Données projet'!$B$11,Paramètres!$A$1:$I$89,5,0)</f>
        <v>19.093619999999522</v>
      </c>
      <c r="BF169" s="13">
        <f t="shared" si="167"/>
        <v>6.2423044268988255</v>
      </c>
      <c r="BG169" s="20">
        <f t="shared" si="168"/>
        <v>44.126735043514621</v>
      </c>
      <c r="BH169" s="59">
        <f t="shared" si="116"/>
        <v>337.46006837684791</v>
      </c>
      <c r="BI169" s="59">
        <f ca="1">AVERAGE(OFFSET($BH$3,0,0,'Données projet'!$E$11+1,1))-AVERAGE(OFFSET($H$3,0,0,'Données projet'!$E$11+1,1))</f>
        <v>402.5435069258703</v>
      </c>
      <c r="BJ169" s="59">
        <f t="shared" si="146"/>
        <v>163.60655195816349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227.50688727438609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227.50688727438609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18.829999999999529</v>
      </c>
      <c r="BZ169" s="13">
        <f>BY169*VLOOKUP('Données projet'!$B$12,Paramètres!$A$1:$I$89,3,0)*VLOOKUP('Données projet'!$B$12,Paramètres!$A$1:$I$89,5,0)</f>
        <v>17.037383999999573</v>
      </c>
      <c r="CA169" s="13">
        <f t="shared" si="170"/>
        <v>5.6444246244669305</v>
      </c>
      <c r="CB169" s="20">
        <f t="shared" si="171"/>
        <v>39.504150020945822</v>
      </c>
      <c r="CC169" s="59">
        <f t="shared" si="119"/>
        <v>332.83748335427913</v>
      </c>
      <c r="CD169" s="59">
        <f ca="1">AVERAGE(OFFSET($CC$3,0,0,'Données projet'!$E$12+1,1))-AVERAGE(OFFSET($H$3,0,0,'Données projet'!$E$12+1,1))</f>
        <v>350.91577977538822</v>
      </c>
      <c r="CE169" s="59">
        <f t="shared" si="148"/>
        <v>142.87103313412547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203.00614556791371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203.00614556791371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266.99999999999983</v>
      </c>
      <c r="CU169" s="17">
        <f>CT169*VLOOKUP('Données projet'!$B$13,Paramètres!$A$1:$I$89,3,0)*VLOOKUP('Données projet'!$B$13,Paramètres!$A$1:$I$89,5,0)</f>
        <v>216.59039999999987</v>
      </c>
      <c r="CV169" s="13">
        <f t="shared" si="173"/>
        <v>53.373153688190904</v>
      </c>
      <c r="CW169" s="20">
        <f t="shared" si="174"/>
        <v>470.18652267359886</v>
      </c>
      <c r="CX169" s="59">
        <f t="shared" si="122"/>
        <v>763.51985600693217</v>
      </c>
      <c r="CY169" s="59">
        <f ca="1">AVERAGE(OFFSET($CX$3,0,0,'Données projet'!$E$13+1,1))-AVERAGE(OFFSET($H$3,0,0,'Données projet'!$E$13+1,1))</f>
        <v>230.38929580146208</v>
      </c>
      <c r="CZ169" s="59">
        <f t="shared" si="150"/>
        <v>227.1847788696258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8.0559516784954557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8.0559516784954557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3.009999999999792</v>
      </c>
      <c r="DP169" s="17">
        <f>DO169*VLOOKUP('Données projet'!$B$14,Paramètres!$A$1:$I$89,3,0)*VLOOKUP('Données projet'!$B$14,Paramètres!$A$1:$I$89,5,0)</f>
        <v>1.7999799999998758</v>
      </c>
      <c r="DQ169" s="13">
        <f t="shared" si="176"/>
        <v>0.77465189310357685</v>
      </c>
      <c r="DR169" s="20">
        <f t="shared" si="177"/>
        <v>4.4841505471551795</v>
      </c>
      <c r="DS169" s="59">
        <f t="shared" si="125"/>
        <v>297.81748388048851</v>
      </c>
      <c r="DT169" s="59">
        <f ca="1">AVERAGE(OFFSET($DS$3,0,0,'Données projet'!$E$14+1,1))-AVERAGE(OFFSET($H$3,0,0,'Données projet'!$E$14+1,1))</f>
        <v>145.97103392561058</v>
      </c>
      <c r="DU169" s="59">
        <f t="shared" si="152"/>
        <v>62.920713953681172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52.829514438988951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52.829514438988951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0.8600000000003547</v>
      </c>
      <c r="O170" s="13">
        <f>N170*VLOOKUP('Données projet'!$B$9,Paramètres!$A$1:$I$89,3,0)*VLOOKUP('Données projet'!$B$9,Paramètres!$A$1:$I$89,5,0)</f>
        <v>0.48074000000019829</v>
      </c>
      <c r="P170" s="13">
        <f t="shared" si="141"/>
        <v>0.24126147010950588</v>
      </c>
      <c r="Q170" s="20">
        <f t="shared" si="162"/>
        <v>1.2574858937744013</v>
      </c>
      <c r="R170" s="59">
        <f t="shared" si="109"/>
        <v>294.59081922710772</v>
      </c>
      <c r="S170" s="59">
        <f ca="1">AVERAGE(OFFSET($R$3,0,0,'Données projet'!$E$9+1,1))-AVERAGE(OFFSET($H$3,0,0,'Données projet'!$E$9+1,1))</f>
        <v>350.01600895263641</v>
      </c>
      <c r="T170" s="59">
        <f t="shared" si="142"/>
        <v>464.08921044376882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40.457731254259187</v>
      </c>
      <c r="AA170" s="21">
        <f>EXP(-LN(2)/25)*AA169+(1-EXP(-LN(2)/25))/(LN(2)/25)*Calculateur!V170*Calculateur!X170*VLOOKUP('Données projet'!$B$9,Paramètres!$A$1:$I$89,3,0)*0.475*44/12</f>
        <v>1.1330771909974164</v>
      </c>
      <c r="AB170" s="21">
        <f>EXP(-LN(2)/2)*AB169+(1-EXP(-LN(2)/2))/(LN(2)/2)*V170*Y170*VLOOKUP('Données projet'!$B$9,Paramètres!$A$1:$I$89,3,0)*0.475*44/12</f>
        <v>1.772680118876389E-21</v>
      </c>
      <c r="AC170" s="22">
        <f t="shared" si="163"/>
        <v>41.590808445256606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227.99999999999994</v>
      </c>
      <c r="AJ170" s="13">
        <f>AI170*VLOOKUP('Données projet'!$B$10,Paramètres!$A$1:$I$89,3,0)*VLOOKUP('Données projet'!$B$10,Paramètres!$A$1:$I$89,5,0)</f>
        <v>199.18079999999998</v>
      </c>
      <c r="AK170" s="13">
        <f t="shared" si="164"/>
        <v>49.564089376413683</v>
      </c>
      <c r="AL170" s="20">
        <f t="shared" si="165"/>
        <v>433.23068233058711</v>
      </c>
      <c r="AM170" s="59">
        <f t="shared" si="113"/>
        <v>726.56401566392037</v>
      </c>
      <c r="AN170" s="59">
        <f ca="1">AVERAGE(OFFSET($AM$3,0,0,'Données projet'!$E$10+1,1))-AVERAGE(OFFSET($H$3,0,0,'Données projet'!$E$10+1,1))</f>
        <v>242.48830542479988</v>
      </c>
      <c r="AO170" s="59">
        <f t="shared" si="144"/>
        <v>226.11219631227061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13.188613402554061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13.188613402554061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18.829999999999529</v>
      </c>
      <c r="BE170" s="13">
        <f>BD170*VLOOKUP('Données projet'!$B$11,Paramètres!$A$1:$I$89,3,0)*VLOOKUP('Données projet'!$B$11,Paramètres!$A$1:$I$89,5,0)</f>
        <v>19.093619999999522</v>
      </c>
      <c r="BF170" s="13">
        <f t="shared" si="167"/>
        <v>6.2423044268988255</v>
      </c>
      <c r="BG170" s="20">
        <f t="shared" si="168"/>
        <v>44.126735043514621</v>
      </c>
      <c r="BH170" s="59">
        <f t="shared" si="116"/>
        <v>337.46006837684791</v>
      </c>
      <c r="BI170" s="59">
        <f ca="1">AVERAGE(OFFSET($BH$3,0,0,'Données projet'!$E$11+1,1))-AVERAGE(OFFSET($H$3,0,0,'Données projet'!$E$11+1,1))</f>
        <v>402.5435069258703</v>
      </c>
      <c r="BJ170" s="59">
        <f t="shared" si="146"/>
        <v>163.60655195816349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223.04561598043466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223.04561598043466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18.829999999999529</v>
      </c>
      <c r="BZ170" s="13">
        <f>BY170*VLOOKUP('Données projet'!$B$12,Paramètres!$A$1:$I$89,3,0)*VLOOKUP('Données projet'!$B$12,Paramètres!$A$1:$I$89,5,0)</f>
        <v>17.037383999999573</v>
      </c>
      <c r="CA170" s="13">
        <f t="shared" si="170"/>
        <v>5.6444246244669305</v>
      </c>
      <c r="CB170" s="20">
        <f t="shared" si="171"/>
        <v>39.504150020945822</v>
      </c>
      <c r="CC170" s="59">
        <f t="shared" si="119"/>
        <v>332.83748335427913</v>
      </c>
      <c r="CD170" s="59">
        <f ca="1">AVERAGE(OFFSET($CC$3,0,0,'Données projet'!$E$12+1,1))-AVERAGE(OFFSET($H$3,0,0,'Données projet'!$E$12+1,1))</f>
        <v>350.91577977538822</v>
      </c>
      <c r="CE170" s="59">
        <f t="shared" si="148"/>
        <v>142.87103313412547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199.02531887484935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199.02531887484935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266.99999999999983</v>
      </c>
      <c r="CU170" s="17">
        <f>CT170*VLOOKUP('Données projet'!$B$13,Paramètres!$A$1:$I$89,3,0)*VLOOKUP('Données projet'!$B$13,Paramètres!$A$1:$I$89,5,0)</f>
        <v>216.59039999999987</v>
      </c>
      <c r="CV170" s="13">
        <f t="shared" si="173"/>
        <v>53.373153688190904</v>
      </c>
      <c r="CW170" s="20">
        <f t="shared" si="174"/>
        <v>470.18652267359886</v>
      </c>
      <c r="CX170" s="59">
        <f t="shared" si="122"/>
        <v>763.51985600693217</v>
      </c>
      <c r="CY170" s="59">
        <f ca="1">AVERAGE(OFFSET($CX$3,0,0,'Données projet'!$E$13+1,1))-AVERAGE(OFFSET($H$3,0,0,'Données projet'!$E$13+1,1))</f>
        <v>230.38929580146208</v>
      </c>
      <c r="CZ170" s="59">
        <f t="shared" si="150"/>
        <v>227.1847788696258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7.8979793797255011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7.8979793797255011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3.009999999999792</v>
      </c>
      <c r="DP170" s="17">
        <f>DO170*VLOOKUP('Données projet'!$B$14,Paramètres!$A$1:$I$89,3,0)*VLOOKUP('Données projet'!$B$14,Paramètres!$A$1:$I$89,5,0)</f>
        <v>1.7999799999998758</v>
      </c>
      <c r="DQ170" s="13">
        <f t="shared" si="176"/>
        <v>0.77465189310357685</v>
      </c>
      <c r="DR170" s="20">
        <f t="shared" si="177"/>
        <v>4.4841505471551795</v>
      </c>
      <c r="DS170" s="59">
        <f t="shared" si="125"/>
        <v>297.81748388048851</v>
      </c>
      <c r="DT170" s="59">
        <f ca="1">AVERAGE(OFFSET($DS$3,0,0,'Données projet'!$E$14+1,1))-AVERAGE(OFFSET($H$3,0,0,'Données projet'!$E$14+1,1))</f>
        <v>145.97103392561058</v>
      </c>
      <c r="DU170" s="59">
        <f t="shared" si="152"/>
        <v>62.920713953681172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51.793559883662446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51.793559883662446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0.8600000000003547</v>
      </c>
      <c r="O171" s="13">
        <f>N171*VLOOKUP('Données projet'!$B$9,Paramètres!$A$1:$I$89,3,0)*VLOOKUP('Données projet'!$B$9,Paramètres!$A$1:$I$89,5,0)</f>
        <v>0.48074000000019829</v>
      </c>
      <c r="P171" s="13">
        <f t="shared" si="141"/>
        <v>0.24126147010950588</v>
      </c>
      <c r="Q171" s="20">
        <f t="shared" si="162"/>
        <v>1.2574858937744013</v>
      </c>
      <c r="R171" s="59">
        <f t="shared" si="109"/>
        <v>294.59081922710772</v>
      </c>
      <c r="S171" s="59">
        <f ca="1">AVERAGE(OFFSET($R$3,0,0,'Données projet'!$E$9+1,1))-AVERAGE(OFFSET($H$3,0,0,'Données projet'!$E$9+1,1))</f>
        <v>350.01600895263641</v>
      </c>
      <c r="T171" s="59">
        <f t="shared" si="142"/>
        <v>464.08921044376882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39.664379821142603</v>
      </c>
      <c r="AA171" s="21">
        <f>EXP(-LN(2)/25)*AA170+(1-EXP(-LN(2)/25))/(LN(2)/25)*Calculateur!V171*Calculateur!X171*VLOOKUP('Données projet'!$B$9,Paramètres!$A$1:$I$89,3,0)*0.475*44/12</f>
        <v>1.1020931356236523</v>
      </c>
      <c r="AB171" s="21">
        <f>EXP(-LN(2)/2)*AB170+(1-EXP(-LN(2)/2))/(LN(2)/2)*V171*Y171*VLOOKUP('Données projet'!$B$9,Paramètres!$A$1:$I$89,3,0)*0.475*44/12</f>
        <v>1.2534741329320699E-21</v>
      </c>
      <c r="AC171" s="22">
        <f t="shared" si="163"/>
        <v>40.766472956766258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227.99999999999994</v>
      </c>
      <c r="AJ171" s="13">
        <f>AI171*VLOOKUP('Données projet'!$B$10,Paramètres!$A$1:$I$89,3,0)*VLOOKUP('Données projet'!$B$10,Paramètres!$A$1:$I$89,5,0)</f>
        <v>199.18079999999998</v>
      </c>
      <c r="AK171" s="13">
        <f t="shared" si="164"/>
        <v>49.564089376413683</v>
      </c>
      <c r="AL171" s="20">
        <f t="shared" si="165"/>
        <v>433.23068233058711</v>
      </c>
      <c r="AM171" s="59">
        <f t="shared" si="113"/>
        <v>726.56401566392037</v>
      </c>
      <c r="AN171" s="59">
        <f ca="1">AVERAGE(OFFSET($AM$3,0,0,'Données projet'!$E$10+1,1))-AVERAGE(OFFSET($H$3,0,0,'Données projet'!$E$10+1,1))</f>
        <v>242.48830542479988</v>
      </c>
      <c r="AO171" s="59">
        <f t="shared" si="144"/>
        <v>226.11219631227061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12.929992737989847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12.929992737989847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18.829999999999529</v>
      </c>
      <c r="BE171" s="13">
        <f>BD171*VLOOKUP('Données projet'!$B$11,Paramètres!$A$1:$I$89,3,0)*VLOOKUP('Données projet'!$B$11,Paramètres!$A$1:$I$89,5,0)</f>
        <v>19.093619999999522</v>
      </c>
      <c r="BF171" s="13">
        <f t="shared" si="167"/>
        <v>6.2423044268988255</v>
      </c>
      <c r="BG171" s="20">
        <f t="shared" si="168"/>
        <v>44.126735043514621</v>
      </c>
      <c r="BH171" s="59">
        <f t="shared" si="116"/>
        <v>337.46006837684791</v>
      </c>
      <c r="BI171" s="59">
        <f ca="1">AVERAGE(OFFSET($BH$3,0,0,'Données projet'!$E$11+1,1))-AVERAGE(OFFSET($H$3,0,0,'Données projet'!$E$11+1,1))</f>
        <v>402.5435069258703</v>
      </c>
      <c r="BJ171" s="59">
        <f t="shared" si="146"/>
        <v>163.60655195816349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218.67182749545083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218.67182749545083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18.829999999999529</v>
      </c>
      <c r="BZ171" s="13">
        <f>BY171*VLOOKUP('Données projet'!$B$12,Paramètres!$A$1:$I$89,3,0)*VLOOKUP('Données projet'!$B$12,Paramètres!$A$1:$I$89,5,0)</f>
        <v>17.037383999999573</v>
      </c>
      <c r="CA171" s="13">
        <f t="shared" si="170"/>
        <v>5.6444246244669305</v>
      </c>
      <c r="CB171" s="20">
        <f t="shared" si="171"/>
        <v>39.504150020945822</v>
      </c>
      <c r="CC171" s="59">
        <f t="shared" si="119"/>
        <v>332.83748335427913</v>
      </c>
      <c r="CD171" s="59">
        <f ca="1">AVERAGE(OFFSET($CC$3,0,0,'Données projet'!$E$12+1,1))-AVERAGE(OFFSET($H$3,0,0,'Données projet'!$E$12+1,1))</f>
        <v>350.91577977538822</v>
      </c>
      <c r="CE171" s="59">
        <f t="shared" si="148"/>
        <v>142.87103313412547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195.12255376517146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195.12255376517146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266.99999999999983</v>
      </c>
      <c r="CU171" s="17">
        <f>CT171*VLOOKUP('Données projet'!$B$13,Paramètres!$A$1:$I$89,3,0)*VLOOKUP('Données projet'!$B$13,Paramètres!$A$1:$I$89,5,0)</f>
        <v>216.59039999999987</v>
      </c>
      <c r="CV171" s="13">
        <f t="shared" si="173"/>
        <v>53.373153688190904</v>
      </c>
      <c r="CW171" s="20">
        <f t="shared" si="174"/>
        <v>470.18652267359886</v>
      </c>
      <c r="CX171" s="59">
        <f t="shared" si="122"/>
        <v>763.51985600693217</v>
      </c>
      <c r="CY171" s="59">
        <f ca="1">AVERAGE(OFFSET($CX$3,0,0,'Données projet'!$E$13+1,1))-AVERAGE(OFFSET($H$3,0,0,'Données projet'!$E$13+1,1))</f>
        <v>230.38929580146208</v>
      </c>
      <c r="CZ171" s="59">
        <f t="shared" si="150"/>
        <v>227.1847788696258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7.7431048213808378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7.7431048213808378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3.009999999999792</v>
      </c>
      <c r="DP171" s="17">
        <f>DO171*VLOOKUP('Données projet'!$B$14,Paramètres!$A$1:$I$89,3,0)*VLOOKUP('Données projet'!$B$14,Paramètres!$A$1:$I$89,5,0)</f>
        <v>1.7999799999998758</v>
      </c>
      <c r="DQ171" s="13">
        <f t="shared" si="176"/>
        <v>0.77465189310357685</v>
      </c>
      <c r="DR171" s="20">
        <f t="shared" si="177"/>
        <v>4.4841505471551795</v>
      </c>
      <c r="DS171" s="59">
        <f t="shared" si="125"/>
        <v>297.81748388048851</v>
      </c>
      <c r="DT171" s="59">
        <f ca="1">AVERAGE(OFFSET($DS$3,0,0,'Données projet'!$E$14+1,1))-AVERAGE(OFFSET($H$3,0,0,'Données projet'!$E$14+1,1))</f>
        <v>145.97103392561058</v>
      </c>
      <c r="DU171" s="59">
        <f t="shared" si="152"/>
        <v>62.920713953681172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50.777919765296005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50.777919765296005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0.8600000000003547</v>
      </c>
      <c r="O172" s="13">
        <f>N172*VLOOKUP('Données projet'!$B$9,Paramètres!$A$1:$I$89,3,0)*VLOOKUP('Données projet'!$B$9,Paramètres!$A$1:$I$89,5,0)</f>
        <v>0.48074000000019829</v>
      </c>
      <c r="P172" s="13">
        <f t="shared" si="141"/>
        <v>0.24126147010950588</v>
      </c>
      <c r="Q172" s="20">
        <f t="shared" si="162"/>
        <v>1.2574858937744013</v>
      </c>
      <c r="R172" s="59">
        <f t="shared" si="109"/>
        <v>294.59081922710772</v>
      </c>
      <c r="S172" s="59">
        <f ca="1">AVERAGE(OFFSET($R$3,0,0,'Données projet'!$E$9+1,1))-AVERAGE(OFFSET($H$3,0,0,'Données projet'!$E$9+1,1))</f>
        <v>350.01600895263641</v>
      </c>
      <c r="T172" s="59">
        <f t="shared" si="142"/>
        <v>464.08921044376882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38.886585525732841</v>
      </c>
      <c r="AA172" s="21">
        <f>EXP(-LN(2)/25)*AA171+(1-EXP(-LN(2)/25))/(LN(2)/25)*Calculateur!V172*Calculateur!X172*VLOOKUP('Données projet'!$B$9,Paramètres!$A$1:$I$89,3,0)*0.475*44/12</f>
        <v>1.0719563408734645</v>
      </c>
      <c r="AB172" s="21">
        <f>EXP(-LN(2)/2)*AB171+(1-EXP(-LN(2)/2))/(LN(2)/2)*V172*Y172*VLOOKUP('Données projet'!$B$9,Paramètres!$A$1:$I$89,3,0)*0.475*44/12</f>
        <v>8.8634005943819451E-22</v>
      </c>
      <c r="AC172" s="22">
        <f t="shared" si="163"/>
        <v>39.958541866606303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227.99999999999994</v>
      </c>
      <c r="AJ172" s="13">
        <f>AI172*VLOOKUP('Données projet'!$B$10,Paramètres!$A$1:$I$89,3,0)*VLOOKUP('Données projet'!$B$10,Paramètres!$A$1:$I$89,5,0)</f>
        <v>199.18079999999998</v>
      </c>
      <c r="AK172" s="13">
        <f t="shared" si="164"/>
        <v>49.564089376413683</v>
      </c>
      <c r="AL172" s="20">
        <f t="shared" si="165"/>
        <v>433.23068233058711</v>
      </c>
      <c r="AM172" s="59">
        <f t="shared" si="113"/>
        <v>726.56401566392037</v>
      </c>
      <c r="AN172" s="59">
        <f ca="1">AVERAGE(OFFSET($AM$3,0,0,'Données projet'!$E$10+1,1))-AVERAGE(OFFSET($H$3,0,0,'Données projet'!$E$10+1,1))</f>
        <v>242.48830542479988</v>
      </c>
      <c r="AO172" s="59">
        <f t="shared" si="144"/>
        <v>226.11219631227061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12.676443466914709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12.676443466914709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18.829999999999529</v>
      </c>
      <c r="BE172" s="13">
        <f>BD172*VLOOKUP('Données projet'!$B$11,Paramètres!$A$1:$I$89,3,0)*VLOOKUP('Données projet'!$B$11,Paramètres!$A$1:$I$89,5,0)</f>
        <v>19.093619999999522</v>
      </c>
      <c r="BF172" s="13">
        <f t="shared" si="167"/>
        <v>6.2423044268988255</v>
      </c>
      <c r="BG172" s="20">
        <f t="shared" si="168"/>
        <v>44.126735043514621</v>
      </c>
      <c r="BH172" s="59">
        <f t="shared" si="116"/>
        <v>337.46006837684791</v>
      </c>
      <c r="BI172" s="59">
        <f ca="1">AVERAGE(OFFSET($BH$3,0,0,'Données projet'!$E$11+1,1))-AVERAGE(OFFSET($H$3,0,0,'Données projet'!$E$11+1,1))</f>
        <v>402.5435069258703</v>
      </c>
      <c r="BJ172" s="59">
        <f t="shared" si="146"/>
        <v>163.60655195816349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214.38380633490996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214.38380633490996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18.829999999999529</v>
      </c>
      <c r="BZ172" s="13">
        <f>BY172*VLOOKUP('Données projet'!$B$12,Paramètres!$A$1:$I$89,3,0)*VLOOKUP('Données projet'!$B$12,Paramètres!$A$1:$I$89,5,0)</f>
        <v>17.037383999999573</v>
      </c>
      <c r="CA172" s="13">
        <f t="shared" si="170"/>
        <v>5.6444246244669305</v>
      </c>
      <c r="CB172" s="20">
        <f t="shared" si="171"/>
        <v>39.504150020945822</v>
      </c>
      <c r="CC172" s="59">
        <f t="shared" si="119"/>
        <v>332.83748335427913</v>
      </c>
      <c r="CD172" s="59">
        <f ca="1">AVERAGE(OFFSET($CC$3,0,0,'Données projet'!$E$12+1,1))-AVERAGE(OFFSET($H$3,0,0,'Données projet'!$E$12+1,1))</f>
        <v>350.91577977538822</v>
      </c>
      <c r="CE172" s="59">
        <f t="shared" si="148"/>
        <v>142.87103313412547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191.29631949884268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191.29631949884268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266.99999999999983</v>
      </c>
      <c r="CU172" s="17">
        <f>CT172*VLOOKUP('Données projet'!$B$13,Paramètres!$A$1:$I$89,3,0)*VLOOKUP('Données projet'!$B$13,Paramètres!$A$1:$I$89,5,0)</f>
        <v>216.59039999999987</v>
      </c>
      <c r="CV172" s="13">
        <f t="shared" si="173"/>
        <v>53.373153688190904</v>
      </c>
      <c r="CW172" s="20">
        <f t="shared" si="174"/>
        <v>470.18652267359886</v>
      </c>
      <c r="CX172" s="59">
        <f t="shared" si="122"/>
        <v>763.51985600693217</v>
      </c>
      <c r="CY172" s="59">
        <f ca="1">AVERAGE(OFFSET($CX$3,0,0,'Données projet'!$E$13+1,1))-AVERAGE(OFFSET($H$3,0,0,'Données projet'!$E$13+1,1))</f>
        <v>230.38929580146208</v>
      </c>
      <c r="CZ172" s="59">
        <f t="shared" si="150"/>
        <v>227.1847788696258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7.5912672586611603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7.5912672586611603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3.009999999999792</v>
      </c>
      <c r="DP172" s="17">
        <f>DO172*VLOOKUP('Données projet'!$B$14,Paramètres!$A$1:$I$89,3,0)*VLOOKUP('Données projet'!$B$14,Paramètres!$A$1:$I$89,5,0)</f>
        <v>1.7999799999998758</v>
      </c>
      <c r="DQ172" s="13">
        <f t="shared" si="176"/>
        <v>0.77465189310357685</v>
      </c>
      <c r="DR172" s="20">
        <f t="shared" si="177"/>
        <v>4.4841505471551795</v>
      </c>
      <c r="DS172" s="59">
        <f t="shared" si="125"/>
        <v>297.81748388048851</v>
      </c>
      <c r="DT172" s="59">
        <f ca="1">AVERAGE(OFFSET($DS$3,0,0,'Données projet'!$E$14+1,1))-AVERAGE(OFFSET($H$3,0,0,'Données projet'!$E$14+1,1))</f>
        <v>145.97103392561058</v>
      </c>
      <c r="DU172" s="59">
        <f t="shared" si="152"/>
        <v>62.920713953681172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49.782195730171431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49.782195730171431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0.8600000000003547</v>
      </c>
      <c r="O173" s="13">
        <f>N173*VLOOKUP('Données projet'!$B$9,Paramètres!$A$1:$I$89,3,0)*VLOOKUP('Données projet'!$B$9,Paramètres!$A$1:$I$89,5,0)</f>
        <v>0.48074000000019829</v>
      </c>
      <c r="P173" s="13">
        <f t="shared" si="141"/>
        <v>0.24126147010950588</v>
      </c>
      <c r="Q173" s="20">
        <f t="shared" si="162"/>
        <v>1.2574858937744013</v>
      </c>
      <c r="R173" s="59">
        <f t="shared" si="109"/>
        <v>294.59081922710772</v>
      </c>
      <c r="S173" s="59">
        <f ca="1">AVERAGE(OFFSET($R$3,0,0,'Données projet'!$E$9+1,1))-AVERAGE(OFFSET($H$3,0,0,'Données projet'!$E$9+1,1))</f>
        <v>350.01600895263641</v>
      </c>
      <c r="T173" s="59">
        <f t="shared" si="142"/>
        <v>464.08921044376882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38.124043302048385</v>
      </c>
      <c r="AA173" s="21">
        <f>EXP(-LN(2)/25)*AA172+(1-EXP(-LN(2)/25))/(LN(2)/25)*Calculateur!V173*Calculateur!X173*VLOOKUP('Données projet'!$B$9,Paramètres!$A$1:$I$89,3,0)*0.475*44/12</f>
        <v>1.0426436383605455</v>
      </c>
      <c r="AB173" s="21">
        <f>EXP(-LN(2)/2)*AB172+(1-EXP(-LN(2)/2))/(LN(2)/2)*V173*Y173*VLOOKUP('Données projet'!$B$9,Paramètres!$A$1:$I$89,3,0)*0.475*44/12</f>
        <v>6.2673706646603495E-22</v>
      </c>
      <c r="AC173" s="22">
        <f t="shared" si="163"/>
        <v>39.16668694040893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227.99999999999994</v>
      </c>
      <c r="AJ173" s="13">
        <f>AI173*VLOOKUP('Données projet'!$B$10,Paramètres!$A$1:$I$89,3,0)*VLOOKUP('Données projet'!$B$10,Paramètres!$A$1:$I$89,5,0)</f>
        <v>199.18079999999998</v>
      </c>
      <c r="AK173" s="13">
        <f t="shared" si="164"/>
        <v>49.564089376413683</v>
      </c>
      <c r="AL173" s="20">
        <f t="shared" si="165"/>
        <v>433.23068233058711</v>
      </c>
      <c r="AM173" s="59">
        <f t="shared" si="113"/>
        <v>726.56401566392037</v>
      </c>
      <c r="AN173" s="59">
        <f ca="1">AVERAGE(OFFSET($AM$3,0,0,'Données projet'!$E$10+1,1))-AVERAGE(OFFSET($H$3,0,0,'Données projet'!$E$10+1,1))</f>
        <v>242.48830542479988</v>
      </c>
      <c r="AO173" s="59">
        <f t="shared" si="144"/>
        <v>226.11219631227061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12.427866142395567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12.427866142395567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18.829999999999529</v>
      </c>
      <c r="BE173" s="13">
        <f>BD173*VLOOKUP('Données projet'!$B$11,Paramètres!$A$1:$I$89,3,0)*VLOOKUP('Données projet'!$B$11,Paramètres!$A$1:$I$89,5,0)</f>
        <v>19.093619999999522</v>
      </c>
      <c r="BF173" s="13">
        <f t="shared" si="167"/>
        <v>6.2423044268988255</v>
      </c>
      <c r="BG173" s="20">
        <f t="shared" si="168"/>
        <v>44.126735043514621</v>
      </c>
      <c r="BH173" s="59">
        <f t="shared" si="116"/>
        <v>337.46006837684791</v>
      </c>
      <c r="BI173" s="59">
        <f ca="1">AVERAGE(OFFSET($BH$3,0,0,'Données projet'!$E$11+1,1))-AVERAGE(OFFSET($H$3,0,0,'Données projet'!$E$11+1,1))</f>
        <v>402.5435069258703</v>
      </c>
      <c r="BJ173" s="59">
        <f t="shared" si="146"/>
        <v>163.60655195816349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210.17987065389264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210.17987065389264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18.829999999999529</v>
      </c>
      <c r="BZ173" s="13">
        <f>BY173*VLOOKUP('Données projet'!$B$12,Paramètres!$A$1:$I$89,3,0)*VLOOKUP('Données projet'!$B$12,Paramètres!$A$1:$I$89,5,0)</f>
        <v>17.037383999999573</v>
      </c>
      <c r="CA173" s="13">
        <f t="shared" si="170"/>
        <v>5.6444246244669305</v>
      </c>
      <c r="CB173" s="20">
        <f t="shared" si="171"/>
        <v>39.504150020945822</v>
      </c>
      <c r="CC173" s="59">
        <f t="shared" si="119"/>
        <v>332.83748335427913</v>
      </c>
      <c r="CD173" s="59">
        <f ca="1">AVERAGE(OFFSET($CC$3,0,0,'Données projet'!$E$12+1,1))-AVERAGE(OFFSET($H$3,0,0,'Données projet'!$E$12+1,1))</f>
        <v>350.91577977538822</v>
      </c>
      <c r="CE173" s="59">
        <f t="shared" si="148"/>
        <v>142.87103313412547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187.54511535270416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187.54511535270416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266.99999999999983</v>
      </c>
      <c r="CU173" s="17">
        <f>CT173*VLOOKUP('Données projet'!$B$13,Paramètres!$A$1:$I$89,3,0)*VLOOKUP('Données projet'!$B$13,Paramètres!$A$1:$I$89,5,0)</f>
        <v>216.59039999999987</v>
      </c>
      <c r="CV173" s="13">
        <f t="shared" si="173"/>
        <v>53.373153688190904</v>
      </c>
      <c r="CW173" s="20">
        <f t="shared" si="174"/>
        <v>470.18652267359886</v>
      </c>
      <c r="CX173" s="59">
        <f t="shared" si="122"/>
        <v>763.51985600693217</v>
      </c>
      <c r="CY173" s="59">
        <f ca="1">AVERAGE(OFFSET($CX$3,0,0,'Données projet'!$E$13+1,1))-AVERAGE(OFFSET($H$3,0,0,'Données projet'!$E$13+1,1))</f>
        <v>230.38929580146208</v>
      </c>
      <c r="CZ173" s="59">
        <f t="shared" si="150"/>
        <v>227.1847788696258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7.442407137934647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7.442407137934647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3.009999999999792</v>
      </c>
      <c r="DP173" s="17">
        <f>DO173*VLOOKUP('Données projet'!$B$14,Paramètres!$A$1:$I$89,3,0)*VLOOKUP('Données projet'!$B$14,Paramètres!$A$1:$I$89,5,0)</f>
        <v>1.7999799999998758</v>
      </c>
      <c r="DQ173" s="13">
        <f t="shared" si="176"/>
        <v>0.77465189310357685</v>
      </c>
      <c r="DR173" s="20">
        <f t="shared" si="177"/>
        <v>4.4841505471551795</v>
      </c>
      <c r="DS173" s="59">
        <f t="shared" si="125"/>
        <v>297.81748388048851</v>
      </c>
      <c r="DT173" s="59">
        <f ca="1">AVERAGE(OFFSET($DS$3,0,0,'Données projet'!$E$14+1,1))-AVERAGE(OFFSET($H$3,0,0,'Données projet'!$E$14+1,1))</f>
        <v>145.97103392561058</v>
      </c>
      <c r="DU173" s="59">
        <f t="shared" si="152"/>
        <v>62.920713953681172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48.805997236043957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48.805997236043957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0.8600000000003547</v>
      </c>
      <c r="O174" s="13">
        <f>N174*VLOOKUP('Données projet'!$B$9,Paramètres!$A$1:$I$89,3,0)*VLOOKUP('Données projet'!$B$9,Paramètres!$A$1:$I$89,5,0)</f>
        <v>0.48074000000019829</v>
      </c>
      <c r="P174" s="13">
        <f t="shared" si="141"/>
        <v>0.24126147010950588</v>
      </c>
      <c r="Q174" s="20">
        <f t="shared" si="162"/>
        <v>1.2574858937744013</v>
      </c>
      <c r="R174" s="59">
        <f t="shared" si="109"/>
        <v>294.59081922710772</v>
      </c>
      <c r="S174" s="59">
        <f ca="1">AVERAGE(OFFSET($R$3,0,0,'Données projet'!$E$9+1,1))-AVERAGE(OFFSET($H$3,0,0,'Données projet'!$E$9+1,1))</f>
        <v>350.01600895263641</v>
      </c>
      <c r="T174" s="59">
        <f t="shared" si="142"/>
        <v>464.08921044376882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37.376454066265552</v>
      </c>
      <c r="AA174" s="21">
        <f>EXP(-LN(2)/25)*AA173+(1-EXP(-LN(2)/25))/(LN(2)/25)*Calculateur!V174*Calculateur!X174*VLOOKUP('Données projet'!$B$9,Paramètres!$A$1:$I$89,3,0)*0.475*44/12</f>
        <v>1.0141324932393305</v>
      </c>
      <c r="AB174" s="21">
        <f>EXP(-LN(2)/2)*AB173+(1-EXP(-LN(2)/2))/(LN(2)/2)*V174*Y174*VLOOKUP('Données projet'!$B$9,Paramètres!$A$1:$I$89,3,0)*0.475*44/12</f>
        <v>4.4317002971909726E-22</v>
      </c>
      <c r="AC174" s="22">
        <f t="shared" si="163"/>
        <v>38.390586559504882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227.99999999999994</v>
      </c>
      <c r="AJ174" s="13">
        <f>AI174*VLOOKUP('Données projet'!$B$10,Paramètres!$A$1:$I$89,3,0)*VLOOKUP('Données projet'!$B$10,Paramètres!$A$1:$I$89,5,0)</f>
        <v>199.18079999999998</v>
      </c>
      <c r="AK174" s="13">
        <f t="shared" si="164"/>
        <v>49.564089376413683</v>
      </c>
      <c r="AL174" s="20">
        <f t="shared" si="165"/>
        <v>433.23068233058711</v>
      </c>
      <c r="AM174" s="59">
        <f t="shared" si="113"/>
        <v>726.56401566392037</v>
      </c>
      <c r="AN174" s="59">
        <f ca="1">AVERAGE(OFFSET($AM$3,0,0,'Données projet'!$E$10+1,1))-AVERAGE(OFFSET($H$3,0,0,'Données projet'!$E$10+1,1))</f>
        <v>242.48830542479988</v>
      </c>
      <c r="AO174" s="59">
        <f t="shared" si="144"/>
        <v>226.11219631227061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12.18416326759305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12.18416326759305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18.829999999999529</v>
      </c>
      <c r="BE174" s="13">
        <f>BD174*VLOOKUP('Données projet'!$B$11,Paramètres!$A$1:$I$89,3,0)*VLOOKUP('Données projet'!$B$11,Paramètres!$A$1:$I$89,5,0)</f>
        <v>19.093619999999522</v>
      </c>
      <c r="BF174" s="13">
        <f t="shared" si="167"/>
        <v>6.2423044268988255</v>
      </c>
      <c r="BG174" s="20">
        <f t="shared" si="168"/>
        <v>44.126735043514621</v>
      </c>
      <c r="BH174" s="59">
        <f t="shared" si="116"/>
        <v>337.46006837684791</v>
      </c>
      <c r="BI174" s="59">
        <f ca="1">AVERAGE(OFFSET($BH$3,0,0,'Données projet'!$E$11+1,1))-AVERAGE(OFFSET($H$3,0,0,'Données projet'!$E$11+1,1))</f>
        <v>402.5435069258703</v>
      </c>
      <c r="BJ174" s="59">
        <f t="shared" si="146"/>
        <v>163.60655195816349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206.0583715874325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206.0583715874325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18.829999999999529</v>
      </c>
      <c r="BZ174" s="13">
        <f>BY174*VLOOKUP('Données projet'!$B$12,Paramètres!$A$1:$I$89,3,0)*VLOOKUP('Données projet'!$B$12,Paramètres!$A$1:$I$89,5,0)</f>
        <v>17.037383999999573</v>
      </c>
      <c r="CA174" s="13">
        <f t="shared" si="170"/>
        <v>5.6444246244669305</v>
      </c>
      <c r="CB174" s="20">
        <f t="shared" si="171"/>
        <v>39.504150020945822</v>
      </c>
      <c r="CC174" s="59">
        <f t="shared" si="119"/>
        <v>332.83748335427913</v>
      </c>
      <c r="CD174" s="59">
        <f ca="1">AVERAGE(OFFSET($CC$3,0,0,'Données projet'!$E$12+1,1))-AVERAGE(OFFSET($H$3,0,0,'Données projet'!$E$12+1,1))</f>
        <v>350.91577977538822</v>
      </c>
      <c r="CE174" s="59">
        <f t="shared" si="148"/>
        <v>142.87103313412547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183.86747003186281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183.86747003186281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266.99999999999983</v>
      </c>
      <c r="CU174" s="17">
        <f>CT174*VLOOKUP('Données projet'!$B$13,Paramètres!$A$1:$I$89,3,0)*VLOOKUP('Données projet'!$B$13,Paramètres!$A$1:$I$89,5,0)</f>
        <v>216.59039999999987</v>
      </c>
      <c r="CV174" s="13">
        <f t="shared" si="173"/>
        <v>53.373153688190904</v>
      </c>
      <c r="CW174" s="20">
        <f t="shared" si="174"/>
        <v>470.18652267359886</v>
      </c>
      <c r="CX174" s="59">
        <f t="shared" si="122"/>
        <v>763.51985600693217</v>
      </c>
      <c r="CY174" s="59">
        <f ca="1">AVERAGE(OFFSET($CX$3,0,0,'Données projet'!$E$13+1,1))-AVERAGE(OFFSET($H$3,0,0,'Données projet'!$E$13+1,1))</f>
        <v>230.38929580146208</v>
      </c>
      <c r="CZ174" s="59">
        <f t="shared" si="150"/>
        <v>227.1847788696258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7.2964660733798725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7.2964660733798725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3.009999999999792</v>
      </c>
      <c r="DP174" s="17">
        <f>DO174*VLOOKUP('Données projet'!$B$14,Paramètres!$A$1:$I$89,3,0)*VLOOKUP('Données projet'!$B$14,Paramètres!$A$1:$I$89,5,0)</f>
        <v>1.7999799999998758</v>
      </c>
      <c r="DQ174" s="13">
        <f t="shared" si="176"/>
        <v>0.77465189310357685</v>
      </c>
      <c r="DR174" s="20">
        <f t="shared" si="177"/>
        <v>4.4841505471551795</v>
      </c>
      <c r="DS174" s="59">
        <f t="shared" si="125"/>
        <v>297.81748388048851</v>
      </c>
      <c r="DT174" s="59">
        <f ca="1">AVERAGE(OFFSET($DS$3,0,0,'Données projet'!$E$14+1,1))-AVERAGE(OFFSET($H$3,0,0,'Données projet'!$E$14+1,1))</f>
        <v>145.97103392561058</v>
      </c>
      <c r="DU174" s="59">
        <f t="shared" si="152"/>
        <v>62.920713953681172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47.84894139896403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47.84894139896403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0.8600000000003547</v>
      </c>
      <c r="O175" s="13">
        <f>N175*VLOOKUP('Données projet'!$B$9,Paramètres!$A$1:$I$89,3,0)*VLOOKUP('Données projet'!$B$9,Paramètres!$A$1:$I$89,5,0)</f>
        <v>0.48074000000019829</v>
      </c>
      <c r="P175" s="13">
        <f t="shared" si="141"/>
        <v>0.24126147010950588</v>
      </c>
      <c r="Q175" s="20">
        <f t="shared" si="162"/>
        <v>1.2574858937744013</v>
      </c>
      <c r="R175" s="59">
        <f t="shared" si="109"/>
        <v>294.59081922710772</v>
      </c>
      <c r="S175" s="59">
        <f ca="1">AVERAGE(OFFSET($R$3,0,0,'Données projet'!$E$9+1,1))-AVERAGE(OFFSET($H$3,0,0,'Données projet'!$E$9+1,1))</f>
        <v>350.01600895263641</v>
      </c>
      <c r="T175" s="59">
        <f t="shared" si="142"/>
        <v>464.08921044376882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36.643524599412011</v>
      </c>
      <c r="AA175" s="21">
        <f>EXP(-LN(2)/25)*AA174+(1-EXP(-LN(2)/25))/(LN(2)/25)*Calculateur!V175*Calculateur!X175*VLOOKUP('Données projet'!$B$9,Paramètres!$A$1:$I$89,3,0)*0.475*44/12</f>
        <v>0.98640098688079103</v>
      </c>
      <c r="AB175" s="21">
        <f>EXP(-LN(2)/2)*AB174+(1-EXP(-LN(2)/2))/(LN(2)/2)*V175*Y175*VLOOKUP('Données projet'!$B$9,Paramètres!$A$1:$I$89,3,0)*0.475*44/12</f>
        <v>3.1336853323301748E-22</v>
      </c>
      <c r="AC175" s="22">
        <f t="shared" si="163"/>
        <v>37.629925586292799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227.99999999999994</v>
      </c>
      <c r="AJ175" s="13">
        <f>AI175*VLOOKUP('Données projet'!$B$10,Paramètres!$A$1:$I$89,3,0)*VLOOKUP('Données projet'!$B$10,Paramètres!$A$1:$I$89,5,0)</f>
        <v>199.18079999999998</v>
      </c>
      <c r="AK175" s="13">
        <f t="shared" si="164"/>
        <v>49.564089376413683</v>
      </c>
      <c r="AL175" s="20">
        <f t="shared" si="165"/>
        <v>433.23068233058711</v>
      </c>
      <c r="AM175" s="59">
        <f t="shared" si="113"/>
        <v>726.56401566392037</v>
      </c>
      <c r="AN175" s="59">
        <f ca="1">AVERAGE(OFFSET($AM$3,0,0,'Données projet'!$E$10+1,1))-AVERAGE(OFFSET($H$3,0,0,'Données projet'!$E$10+1,1))</f>
        <v>242.48830542479988</v>
      </c>
      <c r="AO175" s="59">
        <f t="shared" si="144"/>
        <v>226.11219631227061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11.945239257521333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11.945239257521333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18.829999999999529</v>
      </c>
      <c r="BE175" s="13">
        <f>BD175*VLOOKUP('Données projet'!$B$11,Paramètres!$A$1:$I$89,3,0)*VLOOKUP('Données projet'!$B$11,Paramètres!$A$1:$I$89,5,0)</f>
        <v>19.093619999999522</v>
      </c>
      <c r="BF175" s="13">
        <f t="shared" si="167"/>
        <v>6.2423044268988255</v>
      </c>
      <c r="BG175" s="20">
        <f t="shared" si="168"/>
        <v>44.126735043514621</v>
      </c>
      <c r="BH175" s="59">
        <f t="shared" si="116"/>
        <v>337.46006837684791</v>
      </c>
      <c r="BI175" s="59">
        <f ca="1">AVERAGE(OFFSET($BH$3,0,0,'Données projet'!$E$11+1,1))-AVERAGE(OFFSET($H$3,0,0,'Données projet'!$E$11+1,1))</f>
        <v>402.5435069258703</v>
      </c>
      <c r="BJ175" s="59">
        <f t="shared" si="146"/>
        <v>163.60655195816349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202.01769260379945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202.01769260379945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18.829999999999529</v>
      </c>
      <c r="BZ175" s="13">
        <f>BY175*VLOOKUP('Données projet'!$B$12,Paramètres!$A$1:$I$89,3,0)*VLOOKUP('Données projet'!$B$12,Paramètres!$A$1:$I$89,5,0)</f>
        <v>17.037383999999573</v>
      </c>
      <c r="CA175" s="13">
        <f t="shared" si="170"/>
        <v>5.6444246244669305</v>
      </c>
      <c r="CB175" s="20">
        <f t="shared" si="171"/>
        <v>39.504150020945822</v>
      </c>
      <c r="CC175" s="59">
        <f t="shared" si="119"/>
        <v>332.83748335427913</v>
      </c>
      <c r="CD175" s="59">
        <f ca="1">AVERAGE(OFFSET($CC$3,0,0,'Données projet'!$E$12+1,1))-AVERAGE(OFFSET($H$3,0,0,'Données projet'!$E$12+1,1))</f>
        <v>350.91577977538822</v>
      </c>
      <c r="CE175" s="59">
        <f t="shared" si="148"/>
        <v>142.87103313412547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180.26194109262099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180.26194109262099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266.99999999999983</v>
      </c>
      <c r="CU175" s="17">
        <f>CT175*VLOOKUP('Données projet'!$B$13,Paramètres!$A$1:$I$89,3,0)*VLOOKUP('Données projet'!$B$13,Paramètres!$A$1:$I$89,5,0)</f>
        <v>216.59039999999987</v>
      </c>
      <c r="CV175" s="13">
        <f t="shared" si="173"/>
        <v>53.373153688190904</v>
      </c>
      <c r="CW175" s="20">
        <f t="shared" si="174"/>
        <v>470.18652267359886</v>
      </c>
      <c r="CX175" s="59">
        <f t="shared" si="122"/>
        <v>763.51985600693217</v>
      </c>
      <c r="CY175" s="59">
        <f ca="1">AVERAGE(OFFSET($CX$3,0,0,'Données projet'!$E$13+1,1))-AVERAGE(OFFSET($H$3,0,0,'Données projet'!$E$13+1,1))</f>
        <v>230.38929580146208</v>
      </c>
      <c r="CZ175" s="59">
        <f t="shared" si="150"/>
        <v>227.1847788696258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7.1533868240857572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7.1533868240857572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3.009999999999792</v>
      </c>
      <c r="DP175" s="17">
        <f>DO175*VLOOKUP('Données projet'!$B$14,Paramètres!$A$1:$I$89,3,0)*VLOOKUP('Données projet'!$B$14,Paramètres!$A$1:$I$89,5,0)</f>
        <v>1.7999799999998758</v>
      </c>
      <c r="DQ175" s="13">
        <f t="shared" si="176"/>
        <v>0.77465189310357685</v>
      </c>
      <c r="DR175" s="20">
        <f t="shared" si="177"/>
        <v>4.4841505471551795</v>
      </c>
      <c r="DS175" s="59">
        <f t="shared" si="125"/>
        <v>297.81748388048851</v>
      </c>
      <c r="DT175" s="59">
        <f ca="1">AVERAGE(OFFSET($DS$3,0,0,'Données projet'!$E$14+1,1))-AVERAGE(OFFSET($H$3,0,0,'Données projet'!$E$14+1,1))</f>
        <v>145.97103392561058</v>
      </c>
      <c r="DU175" s="59">
        <f t="shared" si="152"/>
        <v>62.920713953681172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46.910652843102824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46.910652843102824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0.8600000000003547</v>
      </c>
      <c r="O176" s="13">
        <f>N176*VLOOKUP('Données projet'!$B$9,Paramètres!$A$1:$I$89,3,0)*VLOOKUP('Données projet'!$B$9,Paramètres!$A$1:$I$89,5,0)</f>
        <v>0.48074000000019829</v>
      </c>
      <c r="P176" s="13">
        <f t="shared" si="141"/>
        <v>0.24126147010950588</v>
      </c>
      <c r="Q176" s="20">
        <f t="shared" si="162"/>
        <v>1.2574858937744013</v>
      </c>
      <c r="R176" s="59">
        <f t="shared" si="109"/>
        <v>294.59081922710772</v>
      </c>
      <c r="S176" s="59">
        <f ca="1">AVERAGE(OFFSET($R$3,0,0,'Données projet'!$E$9+1,1))-AVERAGE(OFFSET($H$3,0,0,'Données projet'!$E$9+1,1))</f>
        <v>350.01600895263641</v>
      </c>
      <c r="T176" s="59">
        <f t="shared" si="142"/>
        <v>464.08921044376882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35.924967432360631</v>
      </c>
      <c r="AA176" s="21">
        <f>EXP(-LN(2)/25)*AA175+(1-EXP(-LN(2)/25))/(LN(2)/25)*Calculateur!V176*Calculateur!X176*VLOOKUP('Données projet'!$B$9,Paramètres!$A$1:$I$89,3,0)*0.475*44/12</f>
        <v>0.95942780002196237</v>
      </c>
      <c r="AB176" s="21">
        <f>EXP(-LN(2)/2)*AB175+(1-EXP(-LN(2)/2))/(LN(2)/2)*V176*Y176*VLOOKUP('Données projet'!$B$9,Paramètres!$A$1:$I$89,3,0)*0.475*44/12</f>
        <v>2.2158501485954863E-22</v>
      </c>
      <c r="AC176" s="22">
        <f t="shared" si="163"/>
        <v>36.884395232382595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227.99999999999994</v>
      </c>
      <c r="AJ176" s="13">
        <f>AI176*VLOOKUP('Données projet'!$B$10,Paramètres!$A$1:$I$89,3,0)*VLOOKUP('Données projet'!$B$10,Paramètres!$A$1:$I$89,5,0)</f>
        <v>199.18079999999998</v>
      </c>
      <c r="AK176" s="13">
        <f t="shared" si="164"/>
        <v>49.564089376413683</v>
      </c>
      <c r="AL176" s="20">
        <f t="shared" si="165"/>
        <v>433.23068233058711</v>
      </c>
      <c r="AM176" s="59">
        <f t="shared" si="113"/>
        <v>726.56401566392037</v>
      </c>
      <c r="AN176" s="59">
        <f ca="1">AVERAGE(OFFSET($AM$3,0,0,'Données projet'!$E$10+1,1))-AVERAGE(OFFSET($H$3,0,0,'Données projet'!$E$10+1,1))</f>
        <v>242.48830542479988</v>
      </c>
      <c r="AO176" s="59">
        <f t="shared" si="144"/>
        <v>226.11219631227061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11.711000401557866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11.711000401557866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18.829999999999529</v>
      </c>
      <c r="BE176" s="13">
        <f>BD176*VLOOKUP('Données projet'!$B$11,Paramètres!$A$1:$I$89,3,0)*VLOOKUP('Données projet'!$B$11,Paramètres!$A$1:$I$89,5,0)</f>
        <v>19.093619999999522</v>
      </c>
      <c r="BF176" s="13">
        <f t="shared" si="167"/>
        <v>6.2423044268988255</v>
      </c>
      <c r="BG176" s="20">
        <f t="shared" si="168"/>
        <v>44.126735043514621</v>
      </c>
      <c r="BH176" s="59">
        <f t="shared" si="116"/>
        <v>337.46006837684791</v>
      </c>
      <c r="BI176" s="59">
        <f ca="1">AVERAGE(OFFSET($BH$3,0,0,'Données projet'!$E$11+1,1))-AVERAGE(OFFSET($H$3,0,0,'Données projet'!$E$11+1,1))</f>
        <v>402.5435069258703</v>
      </c>
      <c r="BJ176" s="59">
        <f t="shared" si="146"/>
        <v>163.60655195816349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198.0562488704646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198.0562488704646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18.829999999999529</v>
      </c>
      <c r="BZ176" s="13">
        <f>BY176*VLOOKUP('Données projet'!$B$12,Paramètres!$A$1:$I$89,3,0)*VLOOKUP('Données projet'!$B$12,Paramètres!$A$1:$I$89,5,0)</f>
        <v>17.037383999999573</v>
      </c>
      <c r="CA176" s="13">
        <f t="shared" si="170"/>
        <v>5.6444246244669305</v>
      </c>
      <c r="CB176" s="20">
        <f t="shared" si="171"/>
        <v>39.504150020945822</v>
      </c>
      <c r="CC176" s="59">
        <f t="shared" si="119"/>
        <v>332.83748335427913</v>
      </c>
      <c r="CD176" s="59">
        <f ca="1">AVERAGE(OFFSET($CC$3,0,0,'Données projet'!$E$12+1,1))-AVERAGE(OFFSET($H$3,0,0,'Données projet'!$E$12+1,1))</f>
        <v>350.91577977538822</v>
      </c>
      <c r="CE176" s="59">
        <f t="shared" si="148"/>
        <v>142.87103313412547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176.7271143767222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176.7271143767222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266.99999999999983</v>
      </c>
      <c r="CU176" s="17">
        <f>CT176*VLOOKUP('Données projet'!$B$13,Paramètres!$A$1:$I$89,3,0)*VLOOKUP('Données projet'!$B$13,Paramètres!$A$1:$I$89,5,0)</f>
        <v>216.59039999999987</v>
      </c>
      <c r="CV176" s="13">
        <f t="shared" si="173"/>
        <v>53.373153688190904</v>
      </c>
      <c r="CW176" s="20">
        <f t="shared" si="174"/>
        <v>470.18652267359886</v>
      </c>
      <c r="CX176" s="59">
        <f t="shared" si="122"/>
        <v>763.51985600693217</v>
      </c>
      <c r="CY176" s="59">
        <f ca="1">AVERAGE(OFFSET($CX$3,0,0,'Données projet'!$E$13+1,1))-AVERAGE(OFFSET($H$3,0,0,'Données projet'!$E$13+1,1))</f>
        <v>230.38929580146208</v>
      </c>
      <c r="CZ176" s="59">
        <f t="shared" si="150"/>
        <v>227.1847788696258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7.0131132716005746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7.0131132716005746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3.009999999999792</v>
      </c>
      <c r="DP176" s="17">
        <f>DO176*VLOOKUP('Données projet'!$B$14,Paramètres!$A$1:$I$89,3,0)*VLOOKUP('Données projet'!$B$14,Paramètres!$A$1:$I$89,5,0)</f>
        <v>1.7999799999998758</v>
      </c>
      <c r="DQ176" s="13">
        <f t="shared" si="176"/>
        <v>0.77465189310357685</v>
      </c>
      <c r="DR176" s="20">
        <f t="shared" si="177"/>
        <v>4.4841505471551795</v>
      </c>
      <c r="DS176" s="59">
        <f t="shared" si="125"/>
        <v>297.81748388048851</v>
      </c>
      <c r="DT176" s="59">
        <f ca="1">AVERAGE(OFFSET($DS$3,0,0,'Données projet'!$E$14+1,1))-AVERAGE(OFFSET($H$3,0,0,'Données projet'!$E$14+1,1))</f>
        <v>145.97103392561058</v>
      </c>
      <c r="DU176" s="59">
        <f t="shared" si="152"/>
        <v>62.920713953681172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45.990763553522548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45.990763553522548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0.8600000000003547</v>
      </c>
      <c r="O177" s="13">
        <f>N177*VLOOKUP('Données projet'!$B$9,Paramètres!$A$1:$I$89,3,0)*VLOOKUP('Données projet'!$B$9,Paramètres!$A$1:$I$89,5,0)</f>
        <v>0.48074000000019829</v>
      </c>
      <c r="P177" s="13">
        <f t="shared" si="141"/>
        <v>0.24126147010950588</v>
      </c>
      <c r="Q177" s="20">
        <f t="shared" si="162"/>
        <v>1.2574858937744013</v>
      </c>
      <c r="R177" s="59">
        <f t="shared" si="109"/>
        <v>294.59081922710772</v>
      </c>
      <c r="S177" s="59">
        <f ca="1">AVERAGE(OFFSET($R$3,0,0,'Données projet'!$E$9+1,1))-AVERAGE(OFFSET($H$3,0,0,'Données projet'!$E$9+1,1))</f>
        <v>350.01600895263641</v>
      </c>
      <c r="T177" s="59">
        <f t="shared" si="142"/>
        <v>464.08921044376882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35.220500733078538</v>
      </c>
      <c r="AA177" s="21">
        <f>EXP(-LN(2)/25)*AA176+(1-EXP(-LN(2)/25))/(LN(2)/25)*Calculateur!V177*Calculateur!X177*VLOOKUP('Données projet'!$B$9,Paramètres!$A$1:$I$89,3,0)*0.475*44/12</f>
        <v>0.93319219637624662</v>
      </c>
      <c r="AB177" s="21">
        <f>EXP(-LN(2)/2)*AB176+(1-EXP(-LN(2)/2))/(LN(2)/2)*V177*Y177*VLOOKUP('Données projet'!$B$9,Paramètres!$A$1:$I$89,3,0)*0.475*44/12</f>
        <v>1.5668426661650874E-22</v>
      </c>
      <c r="AC177" s="22">
        <f t="shared" si="163"/>
        <v>36.153692929454785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227.99999999999994</v>
      </c>
      <c r="AJ177" s="13">
        <f>AI177*VLOOKUP('Données projet'!$B$10,Paramètres!$A$1:$I$89,3,0)*VLOOKUP('Données projet'!$B$10,Paramètres!$A$1:$I$89,5,0)</f>
        <v>199.18079999999998</v>
      </c>
      <c r="AK177" s="13">
        <f t="shared" si="164"/>
        <v>49.564089376413683</v>
      </c>
      <c r="AL177" s="20">
        <f t="shared" si="165"/>
        <v>433.23068233058711</v>
      </c>
      <c r="AM177" s="59">
        <f t="shared" si="113"/>
        <v>726.56401566392037</v>
      </c>
      <c r="AN177" s="59">
        <f ca="1">AVERAGE(OFFSET($AM$3,0,0,'Données projet'!$E$10+1,1))-AVERAGE(OFFSET($H$3,0,0,'Données projet'!$E$10+1,1))</f>
        <v>242.48830542479988</v>
      </c>
      <c r="AO177" s="59">
        <f t="shared" si="144"/>
        <v>226.11219631227061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11.481354826688248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11.481354826688248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18.829999999999529</v>
      </c>
      <c r="BE177" s="13">
        <f>BD177*VLOOKUP('Données projet'!$B$11,Paramètres!$A$1:$I$89,3,0)*VLOOKUP('Données projet'!$B$11,Paramètres!$A$1:$I$89,5,0)</f>
        <v>19.093619999999522</v>
      </c>
      <c r="BF177" s="13">
        <f t="shared" si="167"/>
        <v>6.2423044268988255</v>
      </c>
      <c r="BG177" s="20">
        <f t="shared" si="168"/>
        <v>44.126735043514621</v>
      </c>
      <c r="BH177" s="59">
        <f t="shared" si="116"/>
        <v>337.46006837684791</v>
      </c>
      <c r="BI177" s="59">
        <f ca="1">AVERAGE(OFFSET($BH$3,0,0,'Données projet'!$E$11+1,1))-AVERAGE(OFFSET($H$3,0,0,'Données projet'!$E$11+1,1))</f>
        <v>402.5435069258703</v>
      </c>
      <c r="BJ177" s="59">
        <f t="shared" si="146"/>
        <v>163.60655195816349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194.17248663249836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194.17248663249836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18.829999999999529</v>
      </c>
      <c r="BZ177" s="13">
        <f>BY177*VLOOKUP('Données projet'!$B$12,Paramètres!$A$1:$I$89,3,0)*VLOOKUP('Données projet'!$B$12,Paramètres!$A$1:$I$89,5,0)</f>
        <v>17.037383999999573</v>
      </c>
      <c r="CA177" s="13">
        <f t="shared" si="170"/>
        <v>5.6444246244669305</v>
      </c>
      <c r="CB177" s="20">
        <f t="shared" si="171"/>
        <v>39.504150020945822</v>
      </c>
      <c r="CC177" s="59">
        <f t="shared" si="119"/>
        <v>332.83748335427913</v>
      </c>
      <c r="CD177" s="59">
        <f ca="1">AVERAGE(OFFSET($CC$3,0,0,'Données projet'!$E$12+1,1))-AVERAGE(OFFSET($H$3,0,0,'Données projet'!$E$12+1,1))</f>
        <v>350.91577977538822</v>
      </c>
      <c r="CE177" s="59">
        <f t="shared" si="148"/>
        <v>142.87103313412547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173.26160345669078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173.26160345669078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266.99999999999983</v>
      </c>
      <c r="CU177" s="17">
        <f>CT177*VLOOKUP('Données projet'!$B$13,Paramètres!$A$1:$I$89,3,0)*VLOOKUP('Données projet'!$B$13,Paramètres!$A$1:$I$89,5,0)</f>
        <v>216.59039999999987</v>
      </c>
      <c r="CV177" s="13">
        <f t="shared" si="173"/>
        <v>53.373153688190904</v>
      </c>
      <c r="CW177" s="20">
        <f t="shared" si="174"/>
        <v>470.18652267359886</v>
      </c>
      <c r="CX177" s="59">
        <f t="shared" si="122"/>
        <v>763.51985600693217</v>
      </c>
      <c r="CY177" s="59">
        <f ca="1">AVERAGE(OFFSET($CX$3,0,0,'Données projet'!$E$13+1,1))-AVERAGE(OFFSET($H$3,0,0,'Données projet'!$E$13+1,1))</f>
        <v>230.38929580146208</v>
      </c>
      <c r="CZ177" s="59">
        <f t="shared" si="150"/>
        <v>227.1847788696258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6.8755903979212079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6.8755903979212079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3.009999999999792</v>
      </c>
      <c r="DP177" s="17">
        <f>DO177*VLOOKUP('Données projet'!$B$14,Paramètres!$A$1:$I$89,3,0)*VLOOKUP('Données projet'!$B$14,Paramètres!$A$1:$I$89,5,0)</f>
        <v>1.7999799999998758</v>
      </c>
      <c r="DQ177" s="13">
        <f t="shared" si="176"/>
        <v>0.77465189310357685</v>
      </c>
      <c r="DR177" s="20">
        <f t="shared" si="177"/>
        <v>4.4841505471551795</v>
      </c>
      <c r="DS177" s="59">
        <f t="shared" si="125"/>
        <v>297.81748388048851</v>
      </c>
      <c r="DT177" s="59">
        <f ca="1">AVERAGE(OFFSET($DS$3,0,0,'Données projet'!$E$14+1,1))-AVERAGE(OFFSET($H$3,0,0,'Données projet'!$E$14+1,1))</f>
        <v>145.97103392561058</v>
      </c>
      <c r="DU177" s="59">
        <f t="shared" si="152"/>
        <v>62.920713953681172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45.088912731833872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45.088912731833872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0.8600000000003547</v>
      </c>
      <c r="O178" s="13">
        <f>N178*VLOOKUP('Données projet'!$B$9,Paramètres!$A$1:$I$89,3,0)*VLOOKUP('Données projet'!$B$9,Paramètres!$A$1:$I$89,5,0)</f>
        <v>0.48074000000019829</v>
      </c>
      <c r="P178" s="13">
        <f t="shared" si="141"/>
        <v>0.24126147010950588</v>
      </c>
      <c r="Q178" s="20">
        <f t="shared" si="162"/>
        <v>1.2574858937744013</v>
      </c>
      <c r="R178" s="59">
        <f t="shared" si="109"/>
        <v>294.59081922710772</v>
      </c>
      <c r="S178" s="59">
        <f ca="1">AVERAGE(OFFSET($R$3,0,0,'Données projet'!$E$9+1,1))-AVERAGE(OFFSET($H$3,0,0,'Données projet'!$E$9+1,1))</f>
        <v>350.01600895263641</v>
      </c>
      <c r="T178" s="59">
        <f t="shared" si="142"/>
        <v>464.08921044376882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34.529848196087109</v>
      </c>
      <c r="AA178" s="21">
        <f>EXP(-LN(2)/25)*AA177+(1-EXP(-LN(2)/25))/(LN(2)/25)*Calculateur!V178*Calculateur!X178*VLOOKUP('Données projet'!$B$9,Paramètres!$A$1:$I$89,3,0)*0.475*44/12</f>
        <v>0.90767400669189335</v>
      </c>
      <c r="AB178" s="21">
        <f>EXP(-LN(2)/2)*AB177+(1-EXP(-LN(2)/2))/(LN(2)/2)*V178*Y178*VLOOKUP('Données projet'!$B$9,Paramètres!$A$1:$I$89,3,0)*0.475*44/12</f>
        <v>1.1079250742977431E-22</v>
      </c>
      <c r="AC178" s="22">
        <f t="shared" si="163"/>
        <v>35.437522202779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227.99999999999994</v>
      </c>
      <c r="AJ178" s="13">
        <f>AI178*VLOOKUP('Données projet'!$B$10,Paramètres!$A$1:$I$89,3,0)*VLOOKUP('Données projet'!$B$10,Paramètres!$A$1:$I$89,5,0)</f>
        <v>199.18079999999998</v>
      </c>
      <c r="AK178" s="13">
        <f t="shared" si="164"/>
        <v>49.564089376413683</v>
      </c>
      <c r="AL178" s="20">
        <f t="shared" si="165"/>
        <v>433.23068233058711</v>
      </c>
      <c r="AM178" s="59">
        <f t="shared" si="113"/>
        <v>726.56401566392037</v>
      </c>
      <c r="AN178" s="59">
        <f ca="1">AVERAGE(OFFSET($AM$3,0,0,'Données projet'!$E$10+1,1))-AVERAGE(OFFSET($H$3,0,0,'Données projet'!$E$10+1,1))</f>
        <v>242.48830542479988</v>
      </c>
      <c r="AO178" s="59">
        <f t="shared" si="144"/>
        <v>226.11219631227061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11.256212461471854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11.256212461471854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18.829999999999529</v>
      </c>
      <c r="BE178" s="13">
        <f>BD178*VLOOKUP('Données projet'!$B$11,Paramètres!$A$1:$I$89,3,0)*VLOOKUP('Données projet'!$B$11,Paramètres!$A$1:$I$89,5,0)</f>
        <v>19.093619999999522</v>
      </c>
      <c r="BF178" s="13">
        <f t="shared" si="167"/>
        <v>6.2423044268988255</v>
      </c>
      <c r="BG178" s="20">
        <f t="shared" si="168"/>
        <v>44.126735043514621</v>
      </c>
      <c r="BH178" s="59">
        <f t="shared" si="116"/>
        <v>337.46006837684791</v>
      </c>
      <c r="BI178" s="59">
        <f ca="1">AVERAGE(OFFSET($BH$3,0,0,'Données projet'!$E$11+1,1))-AVERAGE(OFFSET($H$3,0,0,'Données projet'!$E$11+1,1))</f>
        <v>402.5435069258703</v>
      </c>
      <c r="BJ178" s="59">
        <f t="shared" si="146"/>
        <v>163.60655195816349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190.36488260315758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190.36488260315758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18.829999999999529</v>
      </c>
      <c r="BZ178" s="13">
        <f>BY178*VLOOKUP('Données projet'!$B$12,Paramètres!$A$1:$I$89,3,0)*VLOOKUP('Données projet'!$B$12,Paramètres!$A$1:$I$89,5,0)</f>
        <v>17.037383999999573</v>
      </c>
      <c r="CA178" s="13">
        <f t="shared" si="170"/>
        <v>5.6444246244669305</v>
      </c>
      <c r="CB178" s="20">
        <f t="shared" si="171"/>
        <v>39.504150020945822</v>
      </c>
      <c r="CC178" s="59">
        <f t="shared" si="119"/>
        <v>332.83748335427913</v>
      </c>
      <c r="CD178" s="59">
        <f ca="1">AVERAGE(OFFSET($CC$3,0,0,'Données projet'!$E$12+1,1))-AVERAGE(OFFSET($H$3,0,0,'Données projet'!$E$12+1,1))</f>
        <v>350.91577977538822</v>
      </c>
      <c r="CE178" s="59">
        <f t="shared" si="148"/>
        <v>142.87103313412547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169.86404909204822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169.86404909204822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266.99999999999983</v>
      </c>
      <c r="CU178" s="17">
        <f>CT178*VLOOKUP('Données projet'!$B$13,Paramètres!$A$1:$I$89,3,0)*VLOOKUP('Données projet'!$B$13,Paramètres!$A$1:$I$89,5,0)</f>
        <v>216.59039999999987</v>
      </c>
      <c r="CV178" s="13">
        <f t="shared" si="173"/>
        <v>53.373153688190904</v>
      </c>
      <c r="CW178" s="20">
        <f t="shared" si="174"/>
        <v>470.18652267359886</v>
      </c>
      <c r="CX178" s="59">
        <f t="shared" si="122"/>
        <v>763.51985600693217</v>
      </c>
      <c r="CY178" s="59">
        <f ca="1">AVERAGE(OFFSET($CX$3,0,0,'Données projet'!$E$13+1,1))-AVERAGE(OFFSET($H$3,0,0,'Données projet'!$E$13+1,1))</f>
        <v>230.38929580146208</v>
      </c>
      <c r="CZ178" s="59">
        <f t="shared" si="150"/>
        <v>227.1847788696258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6.7407642639140226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6.7407642639140226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3.009999999999792</v>
      </c>
      <c r="DP178" s="17">
        <f>DO178*VLOOKUP('Données projet'!$B$14,Paramètres!$A$1:$I$89,3,0)*VLOOKUP('Données projet'!$B$14,Paramètres!$A$1:$I$89,5,0)</f>
        <v>1.7999799999998758</v>
      </c>
      <c r="DQ178" s="13">
        <f t="shared" si="176"/>
        <v>0.77465189310357685</v>
      </c>
      <c r="DR178" s="20">
        <f t="shared" si="177"/>
        <v>4.4841505471551795</v>
      </c>
      <c r="DS178" s="59">
        <f t="shared" si="125"/>
        <v>297.81748388048851</v>
      </c>
      <c r="DT178" s="59">
        <f ca="1">AVERAGE(OFFSET($DS$3,0,0,'Données projet'!$E$14+1,1))-AVERAGE(OFFSET($H$3,0,0,'Données projet'!$E$14+1,1))</f>
        <v>145.97103392561058</v>
      </c>
      <c r="DU178" s="59">
        <f t="shared" si="152"/>
        <v>62.920713953681172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44.204746654683824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44.204746654683824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0.8600000000003547</v>
      </c>
      <c r="O179" s="13">
        <f>N179*VLOOKUP('Données projet'!$B$9,Paramètres!$A$1:$I$89,3,0)*VLOOKUP('Données projet'!$B$9,Paramètres!$A$1:$I$89,5,0)</f>
        <v>0.48074000000019829</v>
      </c>
      <c r="P179" s="13">
        <f t="shared" si="141"/>
        <v>0.24126147010950588</v>
      </c>
      <c r="Q179" s="20">
        <f t="shared" si="162"/>
        <v>1.2574858937744013</v>
      </c>
      <c r="R179" s="59">
        <f t="shared" si="109"/>
        <v>294.59081922710772</v>
      </c>
      <c r="S179" s="59">
        <f ca="1">AVERAGE(OFFSET($R$3,0,0,'Données projet'!$E$9+1,1))-AVERAGE(OFFSET($H$3,0,0,'Données projet'!$E$9+1,1))</f>
        <v>350.01600895263641</v>
      </c>
      <c r="T179" s="59">
        <f t="shared" si="142"/>
        <v>464.08921044376882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33.852738934089629</v>
      </c>
      <c r="AA179" s="21">
        <f>EXP(-LN(2)/25)*AA178+(1-EXP(-LN(2)/25))/(LN(2)/25)*Calculateur!V179*Calculateur!X179*VLOOKUP('Données projet'!$B$9,Paramètres!$A$1:$I$89,3,0)*0.475*44/12</f>
        <v>0.88285361324640199</v>
      </c>
      <c r="AB179" s="21">
        <f>EXP(-LN(2)/2)*AB178+(1-EXP(-LN(2)/2))/(LN(2)/2)*V179*Y179*VLOOKUP('Données projet'!$B$9,Paramètres!$A$1:$I$89,3,0)*0.475*44/12</f>
        <v>7.8342133308254369E-23</v>
      </c>
      <c r="AC179" s="22">
        <f t="shared" si="163"/>
        <v>34.735592547336033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227.99999999999994</v>
      </c>
      <c r="AJ179" s="13">
        <f>AI179*VLOOKUP('Données projet'!$B$10,Paramètres!$A$1:$I$89,3,0)*VLOOKUP('Données projet'!$B$10,Paramètres!$A$1:$I$89,5,0)</f>
        <v>199.18079999999998</v>
      </c>
      <c r="AK179" s="13">
        <f t="shared" si="164"/>
        <v>49.564089376413683</v>
      </c>
      <c r="AL179" s="20">
        <f t="shared" si="165"/>
        <v>433.23068233058711</v>
      </c>
      <c r="AM179" s="59">
        <f t="shared" si="113"/>
        <v>726.56401566392037</v>
      </c>
      <c r="AN179" s="59">
        <f ca="1">AVERAGE(OFFSET($AM$3,0,0,'Données projet'!$E$10+1,1))-AVERAGE(OFFSET($H$3,0,0,'Données projet'!$E$10+1,1))</f>
        <v>242.48830542479988</v>
      </c>
      <c r="AO179" s="59">
        <f t="shared" si="144"/>
        <v>226.11219631227061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11.03548500071407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11.03548500071407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18.829999999999529</v>
      </c>
      <c r="BE179" s="13">
        <f>BD179*VLOOKUP('Données projet'!$B$11,Paramètres!$A$1:$I$89,3,0)*VLOOKUP('Données projet'!$B$11,Paramètres!$A$1:$I$89,5,0)</f>
        <v>19.093619999999522</v>
      </c>
      <c r="BF179" s="13">
        <f t="shared" si="167"/>
        <v>6.2423044268988255</v>
      </c>
      <c r="BG179" s="20">
        <f t="shared" si="168"/>
        <v>44.126735043514621</v>
      </c>
      <c r="BH179" s="59">
        <f t="shared" si="116"/>
        <v>337.46006837684791</v>
      </c>
      <c r="BI179" s="59">
        <f ca="1">AVERAGE(OFFSET($BH$3,0,0,'Données projet'!$E$11+1,1))-AVERAGE(OFFSET($H$3,0,0,'Données projet'!$E$11+1,1))</f>
        <v>402.5435069258703</v>
      </c>
      <c r="BJ179" s="59">
        <f t="shared" si="146"/>
        <v>163.60655195816349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186.63194336642303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186.63194336642303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18.829999999999529</v>
      </c>
      <c r="BZ179" s="13">
        <f>BY179*VLOOKUP('Données projet'!$B$12,Paramètres!$A$1:$I$89,3,0)*VLOOKUP('Données projet'!$B$12,Paramètres!$A$1:$I$89,5,0)</f>
        <v>17.037383999999573</v>
      </c>
      <c r="CA179" s="13">
        <f t="shared" si="170"/>
        <v>5.6444246244669305</v>
      </c>
      <c r="CB179" s="20">
        <f t="shared" si="171"/>
        <v>39.504150020945822</v>
      </c>
      <c r="CC179" s="59">
        <f t="shared" si="119"/>
        <v>332.83748335427913</v>
      </c>
      <c r="CD179" s="59">
        <f ca="1">AVERAGE(OFFSET($CC$3,0,0,'Données projet'!$E$12+1,1))-AVERAGE(OFFSET($H$3,0,0,'Données projet'!$E$12+1,1))</f>
        <v>350.91577977538822</v>
      </c>
      <c r="CE179" s="59">
        <f t="shared" si="148"/>
        <v>142.87103313412547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166.53311869619279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166.53311869619279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266.99999999999983</v>
      </c>
      <c r="CU179" s="17">
        <f>CT179*VLOOKUP('Données projet'!$B$13,Paramètres!$A$1:$I$89,3,0)*VLOOKUP('Données projet'!$B$13,Paramètres!$A$1:$I$89,5,0)</f>
        <v>216.59039999999987</v>
      </c>
      <c r="CV179" s="13">
        <f t="shared" si="173"/>
        <v>53.373153688190904</v>
      </c>
      <c r="CW179" s="20">
        <f t="shared" si="174"/>
        <v>470.18652267359886</v>
      </c>
      <c r="CX179" s="59">
        <f t="shared" si="122"/>
        <v>763.51985600693217</v>
      </c>
      <c r="CY179" s="59">
        <f ca="1">AVERAGE(OFFSET($CX$3,0,0,'Données projet'!$E$13+1,1))-AVERAGE(OFFSET($H$3,0,0,'Données projet'!$E$13+1,1))</f>
        <v>230.38929580146208</v>
      </c>
      <c r="CZ179" s="59">
        <f t="shared" si="150"/>
        <v>227.1847788696258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6.608581988158897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6.608581988158897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3.009999999999792</v>
      </c>
      <c r="DP179" s="17">
        <f>DO179*VLOOKUP('Données projet'!$B$14,Paramètres!$A$1:$I$89,3,0)*VLOOKUP('Données projet'!$B$14,Paramètres!$A$1:$I$89,5,0)</f>
        <v>1.7999799999998758</v>
      </c>
      <c r="DQ179" s="13">
        <f t="shared" si="176"/>
        <v>0.77465189310357685</v>
      </c>
      <c r="DR179" s="20">
        <f t="shared" si="177"/>
        <v>4.4841505471551795</v>
      </c>
      <c r="DS179" s="59">
        <f t="shared" si="125"/>
        <v>297.81748388048851</v>
      </c>
      <c r="DT179" s="59">
        <f ca="1">AVERAGE(OFFSET($DS$3,0,0,'Données projet'!$E$14+1,1))-AVERAGE(OFFSET($H$3,0,0,'Données projet'!$E$14+1,1))</f>
        <v>145.97103392561058</v>
      </c>
      <c r="DU179" s="59">
        <f t="shared" si="152"/>
        <v>62.920713953681172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43.33791853501863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43.33791853501863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0.8600000000003547</v>
      </c>
      <c r="O180" s="13">
        <f>N180*VLOOKUP('Données projet'!$B$9,Paramètres!$A$1:$I$89,3,0)*VLOOKUP('Données projet'!$B$9,Paramètres!$A$1:$I$89,5,0)</f>
        <v>0.48074000000019829</v>
      </c>
      <c r="P180" s="13">
        <f t="shared" si="141"/>
        <v>0.24126147010950588</v>
      </c>
      <c r="Q180" s="20">
        <f t="shared" si="162"/>
        <v>1.2574858937744013</v>
      </c>
      <c r="R180" s="59">
        <f t="shared" si="109"/>
        <v>294.59081922710772</v>
      </c>
      <c r="S180" s="59">
        <f ca="1">AVERAGE(OFFSET($R$3,0,0,'Données projet'!$E$9+1,1))-AVERAGE(OFFSET($H$3,0,0,'Données projet'!$E$9+1,1))</f>
        <v>350.01600895263641</v>
      </c>
      <c r="T180" s="59">
        <f t="shared" si="142"/>
        <v>464.08921044376882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33.188907371724049</v>
      </c>
      <c r="AA180" s="21">
        <f>EXP(-LN(2)/25)*AA179+(1-EXP(-LN(2)/25))/(LN(2)/25)*Calculateur!V180*Calculateur!X180*VLOOKUP('Données projet'!$B$9,Paramètres!$A$1:$I$89,3,0)*0.475*44/12</f>
        <v>0.85871193476492536</v>
      </c>
      <c r="AB180" s="21">
        <f>EXP(-LN(2)/2)*AB179+(1-EXP(-LN(2)/2))/(LN(2)/2)*V180*Y180*VLOOKUP('Données projet'!$B$9,Paramètres!$A$1:$I$89,3,0)*0.475*44/12</f>
        <v>5.5396253714887157E-23</v>
      </c>
      <c r="AC180" s="22">
        <f t="shared" si="163"/>
        <v>34.047619306488976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227.99999999999994</v>
      </c>
      <c r="AJ180" s="13">
        <f>AI180*VLOOKUP('Données projet'!$B$10,Paramètres!$A$1:$I$89,3,0)*VLOOKUP('Données projet'!$B$10,Paramètres!$A$1:$I$89,5,0)</f>
        <v>199.18079999999998</v>
      </c>
      <c r="AK180" s="13">
        <f t="shared" si="164"/>
        <v>49.564089376413683</v>
      </c>
      <c r="AL180" s="20">
        <f t="shared" si="165"/>
        <v>433.23068233058711</v>
      </c>
      <c r="AM180" s="59">
        <f t="shared" si="113"/>
        <v>726.56401566392037</v>
      </c>
      <c r="AN180" s="59">
        <f ca="1">AVERAGE(OFFSET($AM$3,0,0,'Données projet'!$E$10+1,1))-AVERAGE(OFFSET($H$3,0,0,'Données projet'!$E$10+1,1))</f>
        <v>242.48830542479988</v>
      </c>
      <c r="AO180" s="59">
        <f t="shared" si="144"/>
        <v>226.11219631227061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10.819085870831289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10.819085870831289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18.829999999999529</v>
      </c>
      <c r="BE180" s="13">
        <f>BD180*VLOOKUP('Données projet'!$B$11,Paramètres!$A$1:$I$89,3,0)*VLOOKUP('Données projet'!$B$11,Paramètres!$A$1:$I$89,5,0)</f>
        <v>19.093619999999522</v>
      </c>
      <c r="BF180" s="13">
        <f t="shared" si="167"/>
        <v>6.2423044268988255</v>
      </c>
      <c r="BG180" s="20">
        <f t="shared" si="168"/>
        <v>44.126735043514621</v>
      </c>
      <c r="BH180" s="59">
        <f t="shared" si="116"/>
        <v>337.46006837684791</v>
      </c>
      <c r="BI180" s="59">
        <f ca="1">AVERAGE(OFFSET($BH$3,0,0,'Données projet'!$E$11+1,1))-AVERAGE(OFFSET($H$3,0,0,'Données projet'!$E$11+1,1))</f>
        <v>402.5435069258703</v>
      </c>
      <c r="BJ180" s="59">
        <f t="shared" si="146"/>
        <v>163.60655195816349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182.97220479125272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182.97220479125272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18.829999999999529</v>
      </c>
      <c r="BZ180" s="13">
        <f>BY180*VLOOKUP('Données projet'!$B$12,Paramètres!$A$1:$I$89,3,0)*VLOOKUP('Données projet'!$B$12,Paramètres!$A$1:$I$89,5,0)</f>
        <v>17.037383999999573</v>
      </c>
      <c r="CA180" s="13">
        <f t="shared" si="170"/>
        <v>5.6444246244669305</v>
      </c>
      <c r="CB180" s="20">
        <f t="shared" si="171"/>
        <v>39.504150020945822</v>
      </c>
      <c r="CC180" s="59">
        <f t="shared" si="119"/>
        <v>332.83748335427913</v>
      </c>
      <c r="CD180" s="59">
        <f ca="1">AVERAGE(OFFSET($CC$3,0,0,'Données projet'!$E$12+1,1))-AVERAGE(OFFSET($H$3,0,0,'Données projet'!$E$12+1,1))</f>
        <v>350.91577977538822</v>
      </c>
      <c r="CE180" s="59">
        <f t="shared" si="148"/>
        <v>142.87103313412547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163.26750581373312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163.26750581373312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266.99999999999983</v>
      </c>
      <c r="CU180" s="17">
        <f>CT180*VLOOKUP('Données projet'!$B$13,Paramètres!$A$1:$I$89,3,0)*VLOOKUP('Données projet'!$B$13,Paramètres!$A$1:$I$89,5,0)</f>
        <v>216.59039999999987</v>
      </c>
      <c r="CV180" s="13">
        <f t="shared" si="173"/>
        <v>53.373153688190904</v>
      </c>
      <c r="CW180" s="20">
        <f t="shared" si="174"/>
        <v>470.18652267359886</v>
      </c>
      <c r="CX180" s="59">
        <f t="shared" si="122"/>
        <v>763.51985600693217</v>
      </c>
      <c r="CY180" s="59">
        <f ca="1">AVERAGE(OFFSET($CX$3,0,0,'Données projet'!$E$13+1,1))-AVERAGE(OFFSET($H$3,0,0,'Données projet'!$E$13+1,1))</f>
        <v>230.38929580146208</v>
      </c>
      <c r="CZ180" s="59">
        <f t="shared" si="150"/>
        <v>227.1847788696258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6.4789917262081014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6.4789917262081014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3.009999999999792</v>
      </c>
      <c r="DP180" s="17">
        <f>DO180*VLOOKUP('Données projet'!$B$14,Paramètres!$A$1:$I$89,3,0)*VLOOKUP('Données projet'!$B$14,Paramètres!$A$1:$I$89,5,0)</f>
        <v>1.7999799999998758</v>
      </c>
      <c r="DQ180" s="13">
        <f t="shared" si="176"/>
        <v>0.77465189310357685</v>
      </c>
      <c r="DR180" s="20">
        <f t="shared" si="177"/>
        <v>4.4841505471551795</v>
      </c>
      <c r="DS180" s="59">
        <f t="shared" si="125"/>
        <v>297.81748388048851</v>
      </c>
      <c r="DT180" s="59">
        <f ca="1">AVERAGE(OFFSET($DS$3,0,0,'Données projet'!$E$14+1,1))-AVERAGE(OFFSET($H$3,0,0,'Données projet'!$E$14+1,1))</f>
        <v>145.97103392561058</v>
      </c>
      <c r="DU180" s="59">
        <f t="shared" si="152"/>
        <v>62.920713953681172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42.488088386067126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42.488088386067126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0.8600000000003547</v>
      </c>
      <c r="O181" s="13">
        <f>N181*VLOOKUP('Données projet'!$B$9,Paramètres!$A$1:$I$89,3,0)*VLOOKUP('Données projet'!$B$9,Paramètres!$A$1:$I$89,5,0)</f>
        <v>0.48074000000019829</v>
      </c>
      <c r="P181" s="13">
        <f t="shared" si="141"/>
        <v>0.24126147010950588</v>
      </c>
      <c r="Q181" s="20">
        <f t="shared" si="162"/>
        <v>1.2574858937744013</v>
      </c>
      <c r="R181" s="59">
        <f t="shared" si="109"/>
        <v>294.59081922710772</v>
      </c>
      <c r="S181" s="59">
        <f ca="1">AVERAGE(OFFSET($R$3,0,0,'Données projet'!$E$9+1,1))-AVERAGE(OFFSET($H$3,0,0,'Données projet'!$E$9+1,1))</f>
        <v>350.01600895263641</v>
      </c>
      <c r="T181" s="59">
        <f t="shared" si="142"/>
        <v>464.08921044376882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32.538093141399187</v>
      </c>
      <c r="AA181" s="21">
        <f>EXP(-LN(2)/25)*AA180+(1-EXP(-LN(2)/25))/(LN(2)/25)*Calculateur!V181*Calculateur!X181*VLOOKUP('Données projet'!$B$9,Paramètres!$A$1:$I$89,3,0)*0.475*44/12</f>
        <v>0.83523041175108048</v>
      </c>
      <c r="AB181" s="21">
        <f>EXP(-LN(2)/2)*AB180+(1-EXP(-LN(2)/2))/(LN(2)/2)*V181*Y181*VLOOKUP('Données projet'!$B$9,Paramètres!$A$1:$I$89,3,0)*0.475*44/12</f>
        <v>3.9171066654127185E-23</v>
      </c>
      <c r="AC181" s="22">
        <f t="shared" si="163"/>
        <v>33.373323553150271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227.99999999999994</v>
      </c>
      <c r="AJ181" s="13">
        <f>AI181*VLOOKUP('Données projet'!$B$10,Paramètres!$A$1:$I$89,3,0)*VLOOKUP('Données projet'!$B$10,Paramètres!$A$1:$I$89,5,0)</f>
        <v>199.18079999999998</v>
      </c>
      <c r="AK181" s="13">
        <f t="shared" si="164"/>
        <v>49.564089376413683</v>
      </c>
      <c r="AL181" s="20">
        <f t="shared" si="165"/>
        <v>433.23068233058711</v>
      </c>
      <c r="AM181" s="59">
        <f t="shared" si="113"/>
        <v>726.56401566392037</v>
      </c>
      <c r="AN181" s="59">
        <f ca="1">AVERAGE(OFFSET($AM$3,0,0,'Données projet'!$E$10+1,1))-AVERAGE(OFFSET($H$3,0,0,'Données projet'!$E$10+1,1))</f>
        <v>242.48830542479988</v>
      </c>
      <c r="AO181" s="59">
        <f t="shared" si="144"/>
        <v>226.11219631227061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10.606930195895073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10.606930195895073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18.829999999999529</v>
      </c>
      <c r="BE181" s="13">
        <f>BD181*VLOOKUP('Données projet'!$B$11,Paramètres!$A$1:$I$89,3,0)*VLOOKUP('Données projet'!$B$11,Paramètres!$A$1:$I$89,5,0)</f>
        <v>19.093619999999522</v>
      </c>
      <c r="BF181" s="13">
        <f t="shared" si="167"/>
        <v>6.2423044268988255</v>
      </c>
      <c r="BG181" s="20">
        <f t="shared" si="168"/>
        <v>44.126735043514621</v>
      </c>
      <c r="BH181" s="59">
        <f t="shared" si="116"/>
        <v>337.46006837684791</v>
      </c>
      <c r="BI181" s="59">
        <f ca="1">AVERAGE(OFFSET($BH$3,0,0,'Données projet'!$E$11+1,1))-AVERAGE(OFFSET($H$3,0,0,'Données projet'!$E$11+1,1))</f>
        <v>402.5435069258703</v>
      </c>
      <c r="BJ181" s="59">
        <f t="shared" si="146"/>
        <v>163.60655195816349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179.38423145732139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179.38423145732139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18.829999999999529</v>
      </c>
      <c r="BZ181" s="13">
        <f>BY181*VLOOKUP('Données projet'!$B$12,Paramètres!$A$1:$I$89,3,0)*VLOOKUP('Données projet'!$B$12,Paramètres!$A$1:$I$89,5,0)</f>
        <v>17.037383999999573</v>
      </c>
      <c r="CA181" s="13">
        <f t="shared" si="170"/>
        <v>5.6444246244669305</v>
      </c>
      <c r="CB181" s="20">
        <f t="shared" si="171"/>
        <v>39.504150020945822</v>
      </c>
      <c r="CC181" s="59">
        <f t="shared" si="119"/>
        <v>332.83748335427913</v>
      </c>
      <c r="CD181" s="59">
        <f ca="1">AVERAGE(OFFSET($CC$3,0,0,'Données projet'!$E$12+1,1))-AVERAGE(OFFSET($H$3,0,0,'Données projet'!$E$12+1,1))</f>
        <v>350.91577977538822</v>
      </c>
      <c r="CE181" s="59">
        <f t="shared" si="148"/>
        <v>142.87103313412547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160.06592960807131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160.06592960807131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266.99999999999983</v>
      </c>
      <c r="CU181" s="17">
        <f>CT181*VLOOKUP('Données projet'!$B$13,Paramètres!$A$1:$I$89,3,0)*VLOOKUP('Données projet'!$B$13,Paramètres!$A$1:$I$89,5,0)</f>
        <v>216.59039999999987</v>
      </c>
      <c r="CV181" s="13">
        <f t="shared" si="173"/>
        <v>53.373153688190904</v>
      </c>
      <c r="CW181" s="20">
        <f t="shared" si="174"/>
        <v>470.18652267359886</v>
      </c>
      <c r="CX181" s="59">
        <f t="shared" si="122"/>
        <v>763.51985600693217</v>
      </c>
      <c r="CY181" s="59">
        <f ca="1">AVERAGE(OFFSET($CX$3,0,0,'Données projet'!$E$13+1,1))-AVERAGE(OFFSET($H$3,0,0,'Données projet'!$E$13+1,1))</f>
        <v>230.38929580146208</v>
      </c>
      <c r="CZ181" s="59">
        <f t="shared" si="150"/>
        <v>227.1847788696258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6.3519426502519059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6.3519426502519059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3.009999999999792</v>
      </c>
      <c r="DP181" s="17">
        <f>DO181*VLOOKUP('Données projet'!$B$14,Paramètres!$A$1:$I$89,3,0)*VLOOKUP('Données projet'!$B$14,Paramètres!$A$1:$I$89,5,0)</f>
        <v>1.7999799999998758</v>
      </c>
      <c r="DQ181" s="13">
        <f t="shared" si="176"/>
        <v>0.77465189310357685</v>
      </c>
      <c r="DR181" s="20">
        <f t="shared" si="177"/>
        <v>4.4841505471551795</v>
      </c>
      <c r="DS181" s="59">
        <f t="shared" si="125"/>
        <v>297.81748388048851</v>
      </c>
      <c r="DT181" s="59">
        <f ca="1">AVERAGE(OFFSET($DS$3,0,0,'Données projet'!$E$14+1,1))-AVERAGE(OFFSET($H$3,0,0,'Données projet'!$E$14+1,1))</f>
        <v>145.97103392561058</v>
      </c>
      <c r="DU181" s="59">
        <f t="shared" si="152"/>
        <v>62.920713953681172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41.654922887991354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41.654922887991354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0.8600000000003547</v>
      </c>
      <c r="O182" s="13">
        <f>N182*VLOOKUP('Données projet'!$B$9,Paramètres!$A$1:$I$89,3,0)*VLOOKUP('Données projet'!$B$9,Paramètres!$A$1:$I$89,5,0)</f>
        <v>0.48074000000019829</v>
      </c>
      <c r="P182" s="13">
        <f t="shared" si="141"/>
        <v>0.24126147010950588</v>
      </c>
      <c r="Q182" s="20">
        <f t="shared" si="162"/>
        <v>1.2574858937744013</v>
      </c>
      <c r="R182" s="59">
        <f t="shared" si="109"/>
        <v>294.59081922710772</v>
      </c>
      <c r="S182" s="59">
        <f ca="1">AVERAGE(OFFSET($R$3,0,0,'Données projet'!$E$9+1,1))-AVERAGE(OFFSET($H$3,0,0,'Données projet'!$E$9+1,1))</f>
        <v>350.01600895263641</v>
      </c>
      <c r="T182" s="59">
        <f t="shared" si="142"/>
        <v>464.08921044376882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31.900040981173508</v>
      </c>
      <c r="AA182" s="21">
        <f>EXP(-LN(2)/25)*AA181+(1-EXP(-LN(2)/25))/(LN(2)/25)*Calculateur!V182*Calculateur!X182*VLOOKUP('Données projet'!$B$9,Paramètres!$A$1:$I$89,3,0)*0.475*44/12</f>
        <v>0.81239099221888877</v>
      </c>
      <c r="AB182" s="21">
        <f>EXP(-LN(2)/2)*AB181+(1-EXP(-LN(2)/2))/(LN(2)/2)*V182*Y182*VLOOKUP('Données projet'!$B$9,Paramètres!$A$1:$I$89,3,0)*0.475*44/12</f>
        <v>2.7698126857443579E-23</v>
      </c>
      <c r="AC182" s="22">
        <f t="shared" si="163"/>
        <v>32.712431973392398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227.99999999999994</v>
      </c>
      <c r="AJ182" s="13">
        <f>AI182*VLOOKUP('Données projet'!$B$10,Paramètres!$A$1:$I$89,3,0)*VLOOKUP('Données projet'!$B$10,Paramètres!$A$1:$I$89,5,0)</f>
        <v>199.18079999999998</v>
      </c>
      <c r="AK182" s="13">
        <f t="shared" si="164"/>
        <v>49.564089376413683</v>
      </c>
      <c r="AL182" s="20">
        <f t="shared" si="165"/>
        <v>433.23068233058711</v>
      </c>
      <c r="AM182" s="59">
        <f t="shared" si="113"/>
        <v>726.56401566392037</v>
      </c>
      <c r="AN182" s="59">
        <f ca="1">AVERAGE(OFFSET($AM$3,0,0,'Données projet'!$E$10+1,1))-AVERAGE(OFFSET($H$3,0,0,'Données projet'!$E$10+1,1))</f>
        <v>242.48830542479988</v>
      </c>
      <c r="AO182" s="59">
        <f t="shared" si="144"/>
        <v>226.11219631227061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10.398934764342171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10.398934764342171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18.829999999999529</v>
      </c>
      <c r="BE182" s="13">
        <f>BD182*VLOOKUP('Données projet'!$B$11,Paramètres!$A$1:$I$89,3,0)*VLOOKUP('Données projet'!$B$11,Paramètres!$A$1:$I$89,5,0)</f>
        <v>19.093619999999522</v>
      </c>
      <c r="BF182" s="13">
        <f t="shared" si="167"/>
        <v>6.2423044268988255</v>
      </c>
      <c r="BG182" s="20">
        <f t="shared" si="168"/>
        <v>44.126735043514621</v>
      </c>
      <c r="BH182" s="59">
        <f t="shared" si="116"/>
        <v>337.46006837684791</v>
      </c>
      <c r="BI182" s="59">
        <f ca="1">AVERAGE(OFFSET($BH$3,0,0,'Données projet'!$E$11+1,1))-AVERAGE(OFFSET($H$3,0,0,'Données projet'!$E$11+1,1))</f>
        <v>402.5435069258703</v>
      </c>
      <c r="BJ182" s="59">
        <f t="shared" si="146"/>
        <v>163.60655195816349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175.86661609202082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175.86661609202082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18.829999999999529</v>
      </c>
      <c r="BZ182" s="13">
        <f>BY182*VLOOKUP('Données projet'!$B$12,Paramètres!$A$1:$I$89,3,0)*VLOOKUP('Données projet'!$B$12,Paramètres!$A$1:$I$89,5,0)</f>
        <v>17.037383999999573</v>
      </c>
      <c r="CA182" s="13">
        <f t="shared" si="170"/>
        <v>5.6444246244669305</v>
      </c>
      <c r="CB182" s="20">
        <f t="shared" si="171"/>
        <v>39.504150020945822</v>
      </c>
      <c r="CC182" s="59">
        <f t="shared" si="119"/>
        <v>332.83748335427913</v>
      </c>
      <c r="CD182" s="59">
        <f ca="1">AVERAGE(OFFSET($CC$3,0,0,'Données projet'!$E$12+1,1))-AVERAGE(OFFSET($H$3,0,0,'Données projet'!$E$12+1,1))</f>
        <v>350.91577977538822</v>
      </c>
      <c r="CE182" s="59">
        <f t="shared" si="148"/>
        <v>142.87103313412547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156.92713435903389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156.92713435903389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266.99999999999983</v>
      </c>
      <c r="CU182" s="17">
        <f>CT182*VLOOKUP('Données projet'!$B$13,Paramètres!$A$1:$I$89,3,0)*VLOOKUP('Données projet'!$B$13,Paramètres!$A$1:$I$89,5,0)</f>
        <v>216.59039999999987</v>
      </c>
      <c r="CV182" s="13">
        <f t="shared" si="173"/>
        <v>53.373153688190904</v>
      </c>
      <c r="CW182" s="20">
        <f t="shared" si="174"/>
        <v>470.18652267359886</v>
      </c>
      <c r="CX182" s="59">
        <f t="shared" si="122"/>
        <v>763.51985600693217</v>
      </c>
      <c r="CY182" s="59">
        <f ca="1">AVERAGE(OFFSET($CX$3,0,0,'Données projet'!$E$13+1,1))-AVERAGE(OFFSET($H$3,0,0,'Données projet'!$E$13+1,1))</f>
        <v>230.38929580146208</v>
      </c>
      <c r="CZ182" s="59">
        <f t="shared" si="150"/>
        <v>227.1847788696258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6.2273849291829269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6.2273849291829269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3.009999999999792</v>
      </c>
      <c r="DP182" s="17">
        <f>DO182*VLOOKUP('Données projet'!$B$14,Paramètres!$A$1:$I$89,3,0)*VLOOKUP('Données projet'!$B$14,Paramètres!$A$1:$I$89,5,0)</f>
        <v>1.7999799999998758</v>
      </c>
      <c r="DQ182" s="13">
        <f t="shared" si="176"/>
        <v>0.77465189310357685</v>
      </c>
      <c r="DR182" s="20">
        <f t="shared" si="177"/>
        <v>4.4841505471551795</v>
      </c>
      <c r="DS182" s="59">
        <f t="shared" si="125"/>
        <v>297.81748388048851</v>
      </c>
      <c r="DT182" s="59">
        <f ca="1">AVERAGE(OFFSET($DS$3,0,0,'Données projet'!$E$14+1,1))-AVERAGE(OFFSET($H$3,0,0,'Données projet'!$E$14+1,1))</f>
        <v>145.97103392561058</v>
      </c>
      <c r="DU182" s="59">
        <f t="shared" si="152"/>
        <v>62.920713953681172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40.838095257152077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40.838095257152077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0.8600000000003547</v>
      </c>
      <c r="O183" s="13">
        <f>N183*VLOOKUP('Données projet'!$B$9,Paramètres!$A$1:$I$89,3,0)*VLOOKUP('Données projet'!$B$9,Paramètres!$A$1:$I$89,5,0)</f>
        <v>0.48074000000019829</v>
      </c>
      <c r="P183" s="13">
        <f t="shared" si="141"/>
        <v>0.24126147010950588</v>
      </c>
      <c r="Q183" s="20">
        <f t="shared" si="162"/>
        <v>1.2574858937744013</v>
      </c>
      <c r="R183" s="59">
        <f t="shared" si="109"/>
        <v>294.59081922710772</v>
      </c>
      <c r="S183" s="59">
        <f ca="1">AVERAGE(OFFSET($R$3,0,0,'Données projet'!$E$9+1,1))-AVERAGE(OFFSET($H$3,0,0,'Données projet'!$E$9+1,1))</f>
        <v>350.01600895263641</v>
      </c>
      <c r="T183" s="59">
        <f t="shared" si="142"/>
        <v>464.08921044376882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31.274500634636464</v>
      </c>
      <c r="AA183" s="21">
        <f>EXP(-LN(2)/25)*AA182+(1-EXP(-LN(2)/25))/(LN(2)/25)*Calculateur!V183*Calculateur!X183*VLOOKUP('Données projet'!$B$9,Paramètres!$A$1:$I$89,3,0)*0.475*44/12</f>
        <v>0.79017611781487773</v>
      </c>
      <c r="AB183" s="21">
        <f>EXP(-LN(2)/2)*AB182+(1-EXP(-LN(2)/2))/(LN(2)/2)*V183*Y183*VLOOKUP('Données projet'!$B$9,Paramètres!$A$1:$I$89,3,0)*0.475*44/12</f>
        <v>1.9585533327063592E-23</v>
      </c>
      <c r="AC183" s="22">
        <f t="shared" si="163"/>
        <v>32.064676752451341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227.99999999999994</v>
      </c>
      <c r="AJ183" s="13">
        <f>AI183*VLOOKUP('Données projet'!$B$10,Paramètres!$A$1:$I$89,3,0)*VLOOKUP('Données projet'!$B$10,Paramètres!$A$1:$I$89,5,0)</f>
        <v>199.18079999999998</v>
      </c>
      <c r="AK183" s="13">
        <f t="shared" si="164"/>
        <v>49.564089376413683</v>
      </c>
      <c r="AL183" s="20">
        <f t="shared" si="165"/>
        <v>433.23068233058711</v>
      </c>
      <c r="AM183" s="59">
        <f t="shared" si="113"/>
        <v>726.56401566392037</v>
      </c>
      <c r="AN183" s="59">
        <f ca="1">AVERAGE(OFFSET($AM$3,0,0,'Données projet'!$E$10+1,1))-AVERAGE(OFFSET($H$3,0,0,'Données projet'!$E$10+1,1))</f>
        <v>242.48830542479988</v>
      </c>
      <c r="AO183" s="59">
        <f t="shared" si="144"/>
        <v>226.11219631227061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10.195017996337334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10.195017996337334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18.829999999999529</v>
      </c>
      <c r="BE183" s="13">
        <f>BD183*VLOOKUP('Données projet'!$B$11,Paramètres!$A$1:$I$89,3,0)*VLOOKUP('Données projet'!$B$11,Paramètres!$A$1:$I$89,5,0)</f>
        <v>19.093619999999522</v>
      </c>
      <c r="BF183" s="13">
        <f t="shared" si="167"/>
        <v>6.2423044268988255</v>
      </c>
      <c r="BG183" s="20">
        <f t="shared" si="168"/>
        <v>44.126735043514621</v>
      </c>
      <c r="BH183" s="59">
        <f t="shared" si="116"/>
        <v>337.46006837684791</v>
      </c>
      <c r="BI183" s="59">
        <f ca="1">AVERAGE(OFFSET($BH$3,0,0,'Données projet'!$E$11+1,1))-AVERAGE(OFFSET($H$3,0,0,'Données projet'!$E$11+1,1))</f>
        <v>402.5435069258703</v>
      </c>
      <c r="BJ183" s="59">
        <f t="shared" si="146"/>
        <v>163.60655195816349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172.41797901850026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172.41797901850026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18.829999999999529</v>
      </c>
      <c r="BZ183" s="13">
        <f>BY183*VLOOKUP('Données projet'!$B$12,Paramètres!$A$1:$I$89,3,0)*VLOOKUP('Données projet'!$B$12,Paramètres!$A$1:$I$89,5,0)</f>
        <v>17.037383999999573</v>
      </c>
      <c r="CA183" s="13">
        <f t="shared" si="170"/>
        <v>5.6444246244669305</v>
      </c>
      <c r="CB183" s="20">
        <f t="shared" si="171"/>
        <v>39.504150020945822</v>
      </c>
      <c r="CC183" s="59">
        <f t="shared" si="119"/>
        <v>332.83748335427913</v>
      </c>
      <c r="CD183" s="59">
        <f ca="1">AVERAGE(OFFSET($CC$3,0,0,'Données projet'!$E$12+1,1))-AVERAGE(OFFSET($H$3,0,0,'Données projet'!$E$12+1,1))</f>
        <v>350.91577977538822</v>
      </c>
      <c r="CE183" s="59">
        <f t="shared" si="148"/>
        <v>142.87103313412547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153.84988897035402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153.84988897035402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266.99999999999983</v>
      </c>
      <c r="CU183" s="17">
        <f>CT183*VLOOKUP('Données projet'!$B$13,Paramètres!$A$1:$I$89,3,0)*VLOOKUP('Données projet'!$B$13,Paramètres!$A$1:$I$89,5,0)</f>
        <v>216.59039999999987</v>
      </c>
      <c r="CV183" s="13">
        <f t="shared" si="173"/>
        <v>53.373153688190904</v>
      </c>
      <c r="CW183" s="20">
        <f t="shared" si="174"/>
        <v>470.18652267359886</v>
      </c>
      <c r="CX183" s="59">
        <f t="shared" si="122"/>
        <v>763.51985600693217</v>
      </c>
      <c r="CY183" s="59">
        <f ca="1">AVERAGE(OFFSET($CX$3,0,0,'Données projet'!$E$13+1,1))-AVERAGE(OFFSET($H$3,0,0,'Données projet'!$E$13+1,1))</f>
        <v>230.38929580146208</v>
      </c>
      <c r="CZ183" s="59">
        <f t="shared" si="150"/>
        <v>227.1847788696258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6.1052697090514023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6.1052697090514023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3.009999999999792</v>
      </c>
      <c r="DP183" s="17">
        <f>DO183*VLOOKUP('Données projet'!$B$14,Paramètres!$A$1:$I$89,3,0)*VLOOKUP('Données projet'!$B$14,Paramètres!$A$1:$I$89,5,0)</f>
        <v>1.7999799999998758</v>
      </c>
      <c r="DQ183" s="13">
        <f t="shared" si="176"/>
        <v>0.77465189310357685</v>
      </c>
      <c r="DR183" s="20">
        <f t="shared" si="177"/>
        <v>4.4841505471551795</v>
      </c>
      <c r="DS183" s="59">
        <f t="shared" si="125"/>
        <v>297.81748388048851</v>
      </c>
      <c r="DT183" s="59">
        <f ca="1">AVERAGE(OFFSET($DS$3,0,0,'Données projet'!$E$14+1,1))-AVERAGE(OFFSET($H$3,0,0,'Données projet'!$E$14+1,1))</f>
        <v>145.97103392561058</v>
      </c>
      <c r="DU183" s="59">
        <f t="shared" si="152"/>
        <v>62.920713953681172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40.037285117937891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40.037285117937891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0.8600000000003547</v>
      </c>
      <c r="O184" s="13">
        <f>N184*VLOOKUP('Données projet'!$B$9,Paramètres!$A$1:$I$89,3,0)*VLOOKUP('Données projet'!$B$9,Paramètres!$A$1:$I$89,5,0)</f>
        <v>0.48074000000019829</v>
      </c>
      <c r="P184" s="13">
        <f t="shared" si="141"/>
        <v>0.24126147010950588</v>
      </c>
      <c r="Q184" s="20">
        <f t="shared" si="162"/>
        <v>1.2574858937744013</v>
      </c>
      <c r="R184" s="59">
        <f t="shared" si="109"/>
        <v>294.59081922710772</v>
      </c>
      <c r="S184" s="59">
        <f ca="1">AVERAGE(OFFSET($R$3,0,0,'Données projet'!$E$9+1,1))-AVERAGE(OFFSET($H$3,0,0,'Données projet'!$E$9+1,1))</f>
        <v>350.01600895263641</v>
      </c>
      <c r="T184" s="59">
        <f t="shared" si="142"/>
        <v>464.08921044376882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30.661226752753073</v>
      </c>
      <c r="AA184" s="21">
        <f>EXP(-LN(2)/25)*AA183+(1-EXP(-LN(2)/25))/(LN(2)/25)*Calculateur!V184*Calculateur!X184*VLOOKUP('Données projet'!$B$9,Paramètres!$A$1:$I$89,3,0)*0.475*44/12</f>
        <v>0.76856871031967389</v>
      </c>
      <c r="AB184" s="21">
        <f>EXP(-LN(2)/2)*AB183+(1-EXP(-LN(2)/2))/(LN(2)/2)*V184*Y184*VLOOKUP('Données projet'!$B$9,Paramètres!$A$1:$I$89,3,0)*0.475*44/12</f>
        <v>1.3849063428721789E-23</v>
      </c>
      <c r="AC184" s="22">
        <f t="shared" si="163"/>
        <v>31.429795463072747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227.99999999999994</v>
      </c>
      <c r="AJ184" s="13">
        <f>AI184*VLOOKUP('Données projet'!$B$10,Paramètres!$A$1:$I$89,3,0)*VLOOKUP('Données projet'!$B$10,Paramètres!$A$1:$I$89,5,0)</f>
        <v>199.18079999999998</v>
      </c>
      <c r="AK184" s="13">
        <f t="shared" si="164"/>
        <v>49.564089376413683</v>
      </c>
      <c r="AL184" s="20">
        <f t="shared" si="165"/>
        <v>433.23068233058711</v>
      </c>
      <c r="AM184" s="59">
        <f t="shared" si="113"/>
        <v>726.56401566392037</v>
      </c>
      <c r="AN184" s="59">
        <f ca="1">AVERAGE(OFFSET($AM$3,0,0,'Données projet'!$E$10+1,1))-AVERAGE(OFFSET($H$3,0,0,'Données projet'!$E$10+1,1))</f>
        <v>242.48830542479988</v>
      </c>
      <c r="AO184" s="59">
        <f t="shared" si="144"/>
        <v>226.11219631227061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9.9950999117761263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9.9950999117761263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18.829999999999529</v>
      </c>
      <c r="BE184" s="13">
        <f>BD184*VLOOKUP('Données projet'!$B$11,Paramètres!$A$1:$I$89,3,0)*VLOOKUP('Données projet'!$B$11,Paramètres!$A$1:$I$89,5,0)</f>
        <v>19.093619999999522</v>
      </c>
      <c r="BF184" s="13">
        <f t="shared" si="167"/>
        <v>6.2423044268988255</v>
      </c>
      <c r="BG184" s="20">
        <f t="shared" si="168"/>
        <v>44.126735043514621</v>
      </c>
      <c r="BH184" s="59">
        <f t="shared" si="116"/>
        <v>337.46006837684791</v>
      </c>
      <c r="BI184" s="59">
        <f ca="1">AVERAGE(OFFSET($BH$3,0,0,'Données projet'!$E$11+1,1))-AVERAGE(OFFSET($H$3,0,0,'Données projet'!$E$11+1,1))</f>
        <v>402.5435069258703</v>
      </c>
      <c r="BJ184" s="59">
        <f t="shared" si="146"/>
        <v>163.60655195816349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169.03696761453054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169.03696761453054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18.829999999999529</v>
      </c>
      <c r="BZ184" s="13">
        <f>BY184*VLOOKUP('Données projet'!$B$12,Paramètres!$A$1:$I$89,3,0)*VLOOKUP('Données projet'!$B$12,Paramètres!$A$1:$I$89,5,0)</f>
        <v>17.037383999999573</v>
      </c>
      <c r="CA184" s="13">
        <f t="shared" si="170"/>
        <v>5.6444246244669305</v>
      </c>
      <c r="CB184" s="20">
        <f t="shared" si="171"/>
        <v>39.504150020945822</v>
      </c>
      <c r="CC184" s="59">
        <f t="shared" si="119"/>
        <v>332.83748335427913</v>
      </c>
      <c r="CD184" s="59">
        <f ca="1">AVERAGE(OFFSET($CC$3,0,0,'Données projet'!$E$12+1,1))-AVERAGE(OFFSET($H$3,0,0,'Données projet'!$E$12+1,1))</f>
        <v>350.91577977538822</v>
      </c>
      <c r="CE184" s="59">
        <f t="shared" si="148"/>
        <v>142.87103313412547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150.83298648681179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150.83298648681179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266.99999999999983</v>
      </c>
      <c r="CU184" s="17">
        <f>CT184*VLOOKUP('Données projet'!$B$13,Paramètres!$A$1:$I$89,3,0)*VLOOKUP('Données projet'!$B$13,Paramètres!$A$1:$I$89,5,0)</f>
        <v>216.59039999999987</v>
      </c>
      <c r="CV184" s="13">
        <f t="shared" si="173"/>
        <v>53.373153688190904</v>
      </c>
      <c r="CW184" s="20">
        <f t="shared" si="174"/>
        <v>470.18652267359886</v>
      </c>
      <c r="CX184" s="59">
        <f t="shared" si="122"/>
        <v>763.51985600693217</v>
      </c>
      <c r="CY184" s="59">
        <f ca="1">AVERAGE(OFFSET($CX$3,0,0,'Données projet'!$E$13+1,1))-AVERAGE(OFFSET($H$3,0,0,'Données projet'!$E$13+1,1))</f>
        <v>230.38929580146208</v>
      </c>
      <c r="CZ184" s="59">
        <f t="shared" si="150"/>
        <v>227.1847788696258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5.9855490939037272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5.9855490939037272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3.009999999999792</v>
      </c>
      <c r="DP184" s="17">
        <f>DO184*VLOOKUP('Données projet'!$B$14,Paramètres!$A$1:$I$89,3,0)*VLOOKUP('Données projet'!$B$14,Paramètres!$A$1:$I$89,5,0)</f>
        <v>1.7999799999998758</v>
      </c>
      <c r="DQ184" s="13">
        <f t="shared" si="176"/>
        <v>0.77465189310357685</v>
      </c>
      <c r="DR184" s="20">
        <f t="shared" si="177"/>
        <v>4.4841505471551795</v>
      </c>
      <c r="DS184" s="59">
        <f t="shared" si="125"/>
        <v>297.81748388048851</v>
      </c>
      <c r="DT184" s="59">
        <f ca="1">AVERAGE(OFFSET($DS$3,0,0,'Données projet'!$E$14+1,1))-AVERAGE(OFFSET($H$3,0,0,'Données projet'!$E$14+1,1))</f>
        <v>145.97103392561058</v>
      </c>
      <c r="DU184" s="59">
        <f t="shared" si="152"/>
        <v>62.920713953681172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39.252178377107747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39.252178377107747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0.8600000000003547</v>
      </c>
      <c r="O185" s="13">
        <f>N185*VLOOKUP('Données projet'!$B$9,Paramètres!$A$1:$I$89,3,0)*VLOOKUP('Données projet'!$B$9,Paramètres!$A$1:$I$89,5,0)</f>
        <v>0.48074000000019829</v>
      </c>
      <c r="P185" s="13">
        <f t="shared" si="141"/>
        <v>0.24126147010950588</v>
      </c>
      <c r="Q185" s="20">
        <f t="shared" si="162"/>
        <v>1.2574858937744013</v>
      </c>
      <c r="R185" s="59">
        <f t="shared" si="109"/>
        <v>294.59081922710772</v>
      </c>
      <c r="S185" s="59">
        <f ca="1">AVERAGE(OFFSET($R$3,0,0,'Données projet'!$E$9+1,1))-AVERAGE(OFFSET($H$3,0,0,'Données projet'!$E$9+1,1))</f>
        <v>350.01600895263641</v>
      </c>
      <c r="T185" s="59">
        <f t="shared" si="142"/>
        <v>464.08921044376882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30.059978797633285</v>
      </c>
      <c r="AA185" s="21">
        <f>EXP(-LN(2)/25)*AA184+(1-EXP(-LN(2)/25))/(LN(2)/25)*Calculateur!V185*Calculateur!X185*VLOOKUP('Données projet'!$B$9,Paramètres!$A$1:$I$89,3,0)*0.475*44/12</f>
        <v>0.74755215851871049</v>
      </c>
      <c r="AB185" s="21">
        <f>EXP(-LN(2)/2)*AB184+(1-EXP(-LN(2)/2))/(LN(2)/2)*V185*Y185*VLOOKUP('Données projet'!$B$9,Paramètres!$A$1:$I$89,3,0)*0.475*44/12</f>
        <v>9.7927666635317962E-24</v>
      </c>
      <c r="AC185" s="22">
        <f t="shared" si="163"/>
        <v>30.807530956151997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227.99999999999994</v>
      </c>
      <c r="AJ185" s="13">
        <f>AI185*VLOOKUP('Données projet'!$B$10,Paramètres!$A$1:$I$89,3,0)*VLOOKUP('Données projet'!$B$10,Paramètres!$A$1:$I$89,5,0)</f>
        <v>199.18079999999998</v>
      </c>
      <c r="AK185" s="13">
        <f t="shared" si="164"/>
        <v>49.564089376413683</v>
      </c>
      <c r="AL185" s="20">
        <f t="shared" si="165"/>
        <v>433.23068233058711</v>
      </c>
      <c r="AM185" s="59">
        <f t="shared" si="113"/>
        <v>726.56401566392037</v>
      </c>
      <c r="AN185" s="59">
        <f ca="1">AVERAGE(OFFSET($AM$3,0,0,'Données projet'!$E$10+1,1))-AVERAGE(OFFSET($H$3,0,0,'Données projet'!$E$10+1,1))</f>
        <v>242.48830542479988</v>
      </c>
      <c r="AO185" s="59">
        <f t="shared" si="144"/>
        <v>226.11219631227061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9.7991020989151725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9.7991020989151725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18.829999999999529</v>
      </c>
      <c r="BE185" s="13">
        <f>BD185*VLOOKUP('Données projet'!$B$11,Paramètres!$A$1:$I$89,3,0)*VLOOKUP('Données projet'!$B$11,Paramètres!$A$1:$I$89,5,0)</f>
        <v>19.093619999999522</v>
      </c>
      <c r="BF185" s="13">
        <f t="shared" si="167"/>
        <v>6.2423044268988255</v>
      </c>
      <c r="BG185" s="20">
        <f t="shared" si="168"/>
        <v>44.126735043514621</v>
      </c>
      <c r="BH185" s="59">
        <f t="shared" si="116"/>
        <v>337.46006837684791</v>
      </c>
      <c r="BI185" s="59">
        <f ca="1">AVERAGE(OFFSET($BH$3,0,0,'Données projet'!$E$11+1,1))-AVERAGE(OFFSET($H$3,0,0,'Données projet'!$E$11+1,1))</f>
        <v>402.5435069258703</v>
      </c>
      <c r="BJ185" s="59">
        <f t="shared" si="146"/>
        <v>163.60655195816349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165.72225578197933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165.72225578197933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18.829999999999529</v>
      </c>
      <c r="BZ185" s="13">
        <f>BY185*VLOOKUP('Données projet'!$B$12,Paramètres!$A$1:$I$89,3,0)*VLOOKUP('Données projet'!$B$12,Paramètres!$A$1:$I$89,5,0)</f>
        <v>17.037383999999573</v>
      </c>
      <c r="CA185" s="13">
        <f t="shared" si="170"/>
        <v>5.6444246244669305</v>
      </c>
      <c r="CB185" s="20">
        <f t="shared" si="171"/>
        <v>39.504150020945822</v>
      </c>
      <c r="CC185" s="59">
        <f t="shared" si="119"/>
        <v>332.83748335427913</v>
      </c>
      <c r="CD185" s="59">
        <f ca="1">AVERAGE(OFFSET($CC$3,0,0,'Données projet'!$E$12+1,1))-AVERAGE(OFFSET($H$3,0,0,'Données projet'!$E$12+1,1))</f>
        <v>350.91577977538822</v>
      </c>
      <c r="CE185" s="59">
        <f t="shared" si="148"/>
        <v>142.87103313412547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147.87524362084301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147.87524362084301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266.99999999999983</v>
      </c>
      <c r="CU185" s="17">
        <f>CT185*VLOOKUP('Données projet'!$B$13,Paramètres!$A$1:$I$89,3,0)*VLOOKUP('Données projet'!$B$13,Paramètres!$A$1:$I$89,5,0)</f>
        <v>216.59039999999987</v>
      </c>
      <c r="CV185" s="13">
        <f t="shared" si="173"/>
        <v>53.373153688190904</v>
      </c>
      <c r="CW185" s="20">
        <f t="shared" si="174"/>
        <v>470.18652267359886</v>
      </c>
      <c r="CX185" s="59">
        <f t="shared" si="122"/>
        <v>763.51985600693217</v>
      </c>
      <c r="CY185" s="59">
        <f ca="1">AVERAGE(OFFSET($CX$3,0,0,'Données projet'!$E$13+1,1))-AVERAGE(OFFSET($H$3,0,0,'Données projet'!$E$13+1,1))</f>
        <v>230.38929580146208</v>
      </c>
      <c r="CZ185" s="59">
        <f t="shared" si="150"/>
        <v>227.1847788696258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5.8681761269967332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5.8681761269967332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3.009999999999792</v>
      </c>
      <c r="DP185" s="17">
        <f>DO185*VLOOKUP('Données projet'!$B$14,Paramètres!$A$1:$I$89,3,0)*VLOOKUP('Données projet'!$B$14,Paramètres!$A$1:$I$89,5,0)</f>
        <v>1.7999799999998758</v>
      </c>
      <c r="DQ185" s="13">
        <f t="shared" si="176"/>
        <v>0.77465189310357685</v>
      </c>
      <c r="DR185" s="20">
        <f t="shared" si="177"/>
        <v>4.4841505471551795</v>
      </c>
      <c r="DS185" s="59">
        <f t="shared" si="125"/>
        <v>297.81748388048851</v>
      </c>
      <c r="DT185" s="59">
        <f ca="1">AVERAGE(OFFSET($DS$3,0,0,'Données projet'!$E$14+1,1))-AVERAGE(OFFSET($H$3,0,0,'Données projet'!$E$14+1,1))</f>
        <v>145.97103392561058</v>
      </c>
      <c r="DU185" s="59">
        <f t="shared" si="152"/>
        <v>62.920713953681172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38.482467100597454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38.482467100597454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0.8600000000003547</v>
      </c>
      <c r="O186" s="13">
        <f>N186*VLOOKUP('Données projet'!$B$9,Paramètres!$A$1:$I$89,3,0)*VLOOKUP('Données projet'!$B$9,Paramètres!$A$1:$I$89,5,0)</f>
        <v>0.48074000000019829</v>
      </c>
      <c r="P186" s="13">
        <f t="shared" si="141"/>
        <v>0.24126147010950588</v>
      </c>
      <c r="Q186" s="20">
        <f t="shared" si="162"/>
        <v>1.2574858937744013</v>
      </c>
      <c r="R186" s="59">
        <f t="shared" si="109"/>
        <v>294.59081922710772</v>
      </c>
      <c r="S186" s="59">
        <f ca="1">AVERAGE(OFFSET($R$3,0,0,'Données projet'!$E$9+1,1))-AVERAGE(OFFSET($H$3,0,0,'Données projet'!$E$9+1,1))</f>
        <v>350.01600895263641</v>
      </c>
      <c r="T186" s="59">
        <f t="shared" si="142"/>
        <v>464.08921044376882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29.470520948188355</v>
      </c>
      <c r="AA186" s="21">
        <f>EXP(-LN(2)/25)*AA185+(1-EXP(-LN(2)/25))/(LN(2)/25)*Calculateur!V186*Calculateur!X186*VLOOKUP('Données projet'!$B$9,Paramètres!$A$1:$I$89,3,0)*0.475*44/12</f>
        <v>0.72711030543195687</v>
      </c>
      <c r="AB186" s="21">
        <f>EXP(-LN(2)/2)*AB185+(1-EXP(-LN(2)/2))/(LN(2)/2)*V186*Y186*VLOOKUP('Données projet'!$B$9,Paramètres!$A$1:$I$89,3,0)*0.475*44/12</f>
        <v>6.9245317143608946E-24</v>
      </c>
      <c r="AC186" s="22">
        <f t="shared" si="163"/>
        <v>30.197631253620312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227.99999999999994</v>
      </c>
      <c r="AJ186" s="13">
        <f>AI186*VLOOKUP('Données projet'!$B$10,Paramètres!$A$1:$I$89,3,0)*VLOOKUP('Données projet'!$B$10,Paramètres!$A$1:$I$89,5,0)</f>
        <v>199.18079999999998</v>
      </c>
      <c r="AK186" s="13">
        <f t="shared" si="164"/>
        <v>49.564089376413683</v>
      </c>
      <c r="AL186" s="20">
        <f t="shared" si="165"/>
        <v>433.23068233058711</v>
      </c>
      <c r="AM186" s="59">
        <f t="shared" si="113"/>
        <v>726.56401566392037</v>
      </c>
      <c r="AN186" s="59">
        <f ca="1">AVERAGE(OFFSET($AM$3,0,0,'Données projet'!$E$10+1,1))-AVERAGE(OFFSET($H$3,0,0,'Données projet'!$E$10+1,1))</f>
        <v>242.48830542479988</v>
      </c>
      <c r="AO186" s="59">
        <f t="shared" si="144"/>
        <v>226.11219631227061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9.6069476836175607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9.6069476836175607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18.829999999999529</v>
      </c>
      <c r="BE186" s="13">
        <f>BD186*VLOOKUP('Données projet'!$B$11,Paramètres!$A$1:$I$89,3,0)*VLOOKUP('Données projet'!$B$11,Paramètres!$A$1:$I$89,5,0)</f>
        <v>19.093619999999522</v>
      </c>
      <c r="BF186" s="13">
        <f t="shared" si="167"/>
        <v>6.2423044268988255</v>
      </c>
      <c r="BG186" s="20">
        <f t="shared" si="168"/>
        <v>44.126735043514621</v>
      </c>
      <c r="BH186" s="59">
        <f t="shared" si="116"/>
        <v>337.46006837684791</v>
      </c>
      <c r="BI186" s="59">
        <f ca="1">AVERAGE(OFFSET($BH$3,0,0,'Données projet'!$E$11+1,1))-AVERAGE(OFFSET($H$3,0,0,'Données projet'!$E$11+1,1))</f>
        <v>402.5435069258703</v>
      </c>
      <c r="BJ186" s="59">
        <f t="shared" si="146"/>
        <v>163.60655195816349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162.47254342668987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162.47254342668987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18.829999999999529</v>
      </c>
      <c r="BZ186" s="13">
        <f>BY186*VLOOKUP('Données projet'!$B$12,Paramètres!$A$1:$I$89,3,0)*VLOOKUP('Données projet'!$B$12,Paramètres!$A$1:$I$89,5,0)</f>
        <v>17.037383999999573</v>
      </c>
      <c r="CA186" s="13">
        <f t="shared" si="170"/>
        <v>5.6444246244669305</v>
      </c>
      <c r="CB186" s="20">
        <f t="shared" si="171"/>
        <v>39.504150020945822</v>
      </c>
      <c r="CC186" s="59">
        <f t="shared" si="119"/>
        <v>332.83748335427913</v>
      </c>
      <c r="CD186" s="59">
        <f ca="1">AVERAGE(OFFSET($CC$3,0,0,'Données projet'!$E$12+1,1))-AVERAGE(OFFSET($H$3,0,0,'Données projet'!$E$12+1,1))</f>
        <v>350.91577977538822</v>
      </c>
      <c r="CE186" s="59">
        <f t="shared" si="148"/>
        <v>142.87103313412547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144.97550028843088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144.97550028843088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266.99999999999983</v>
      </c>
      <c r="CU186" s="17">
        <f>CT186*VLOOKUP('Données projet'!$B$13,Paramètres!$A$1:$I$89,3,0)*VLOOKUP('Données projet'!$B$13,Paramètres!$A$1:$I$89,5,0)</f>
        <v>216.59039999999987</v>
      </c>
      <c r="CV186" s="13">
        <f t="shared" si="173"/>
        <v>53.373153688190904</v>
      </c>
      <c r="CW186" s="20">
        <f t="shared" si="174"/>
        <v>470.18652267359886</v>
      </c>
      <c r="CX186" s="59">
        <f t="shared" si="122"/>
        <v>763.51985600693217</v>
      </c>
      <c r="CY186" s="59">
        <f ca="1">AVERAGE(OFFSET($CX$3,0,0,'Données projet'!$E$13+1,1))-AVERAGE(OFFSET($H$3,0,0,'Données projet'!$E$13+1,1))</f>
        <v>230.38929580146208</v>
      </c>
      <c r="CZ186" s="59">
        <f t="shared" si="150"/>
        <v>227.1847788696258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5.753104772380345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5.753104772380345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3.009999999999792</v>
      </c>
      <c r="DP186" s="17">
        <f>DO186*VLOOKUP('Données projet'!$B$14,Paramètres!$A$1:$I$89,3,0)*VLOOKUP('Données projet'!$B$14,Paramètres!$A$1:$I$89,5,0)</f>
        <v>1.7999799999998758</v>
      </c>
      <c r="DQ186" s="13">
        <f t="shared" si="176"/>
        <v>0.77465189310357685</v>
      </c>
      <c r="DR186" s="20">
        <f t="shared" si="177"/>
        <v>4.4841505471551795</v>
      </c>
      <c r="DS186" s="59">
        <f t="shared" si="125"/>
        <v>297.81748388048851</v>
      </c>
      <c r="DT186" s="59">
        <f ca="1">AVERAGE(OFFSET($DS$3,0,0,'Données projet'!$E$14+1,1))-AVERAGE(OFFSET($H$3,0,0,'Données projet'!$E$14+1,1))</f>
        <v>145.97103392561058</v>
      </c>
      <c r="DU186" s="59">
        <f t="shared" si="152"/>
        <v>62.920713953681172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37.727849392742002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37.727849392742002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0.8600000000003547</v>
      </c>
      <c r="O187" s="13">
        <f>N187*VLOOKUP('Données projet'!$B$9,Paramètres!$A$1:$I$89,3,0)*VLOOKUP('Données projet'!$B$9,Paramètres!$A$1:$I$89,5,0)</f>
        <v>0.48074000000019829</v>
      </c>
      <c r="P187" s="13">
        <f t="shared" si="141"/>
        <v>0.24126147010950588</v>
      </c>
      <c r="Q187" s="20">
        <f t="shared" si="162"/>
        <v>1.2574858937744013</v>
      </c>
      <c r="R187" s="59">
        <f t="shared" si="109"/>
        <v>294.59081922710772</v>
      </c>
      <c r="S187" s="59">
        <f ca="1">AVERAGE(OFFSET($R$3,0,0,'Données projet'!$E$9+1,1))-AVERAGE(OFFSET($H$3,0,0,'Données projet'!$E$9+1,1))</f>
        <v>350.01600895263641</v>
      </c>
      <c r="T187" s="59">
        <f t="shared" si="142"/>
        <v>464.08921044376882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28.89262200763725</v>
      </c>
      <c r="AA187" s="21">
        <f>EXP(-LN(2)/25)*AA186+(1-EXP(-LN(2)/25))/(LN(2)/25)*Calculateur!V187*Calculateur!X187*VLOOKUP('Données projet'!$B$9,Paramètres!$A$1:$I$89,3,0)*0.475*44/12</f>
        <v>0.70722743589285086</v>
      </c>
      <c r="AB187" s="21">
        <f>EXP(-LN(2)/2)*AB186+(1-EXP(-LN(2)/2))/(LN(2)/2)*V187*Y187*VLOOKUP('Données projet'!$B$9,Paramètres!$A$1:$I$89,3,0)*0.475*44/12</f>
        <v>4.8963833317658981E-24</v>
      </c>
      <c r="AC187" s="22">
        <f t="shared" si="163"/>
        <v>29.599849443530101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227.99999999999994</v>
      </c>
      <c r="AJ187" s="13">
        <f>AI187*VLOOKUP('Données projet'!$B$10,Paramètres!$A$1:$I$89,3,0)*VLOOKUP('Données projet'!$B$10,Paramètres!$A$1:$I$89,5,0)</f>
        <v>199.18079999999998</v>
      </c>
      <c r="AK187" s="13">
        <f t="shared" si="164"/>
        <v>49.564089376413683</v>
      </c>
      <c r="AL187" s="20">
        <f t="shared" si="165"/>
        <v>433.23068233058711</v>
      </c>
      <c r="AM187" s="59">
        <f t="shared" si="113"/>
        <v>726.56401566392037</v>
      </c>
      <c r="AN187" s="59">
        <f ca="1">AVERAGE(OFFSET($AM$3,0,0,'Données projet'!$E$10+1,1))-AVERAGE(OFFSET($H$3,0,0,'Données projet'!$E$10+1,1))</f>
        <v>242.48830542479988</v>
      </c>
      <c r="AO187" s="59">
        <f t="shared" si="144"/>
        <v>226.11219631227061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9.4185612992013148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9.4185612992013148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18.829999999999529</v>
      </c>
      <c r="BE187" s="13">
        <f>BD187*VLOOKUP('Données projet'!$B$11,Paramètres!$A$1:$I$89,3,0)*VLOOKUP('Données projet'!$B$11,Paramètres!$A$1:$I$89,5,0)</f>
        <v>19.093619999999522</v>
      </c>
      <c r="BF187" s="13">
        <f t="shared" si="167"/>
        <v>6.2423044268988255</v>
      </c>
      <c r="BG187" s="20">
        <f t="shared" si="168"/>
        <v>44.126735043514621</v>
      </c>
      <c r="BH187" s="59">
        <f t="shared" si="116"/>
        <v>337.46006837684791</v>
      </c>
      <c r="BI187" s="59">
        <f ca="1">AVERAGE(OFFSET($BH$3,0,0,'Données projet'!$E$11+1,1))-AVERAGE(OFFSET($H$3,0,0,'Données projet'!$E$11+1,1))</f>
        <v>402.5435069258703</v>
      </c>
      <c r="BJ187" s="59">
        <f t="shared" si="146"/>
        <v>163.60655195816349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159.2865559485588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159.2865559485588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18.829999999999529</v>
      </c>
      <c r="BZ187" s="13">
        <f>BY187*VLOOKUP('Données projet'!$B$12,Paramètres!$A$1:$I$89,3,0)*VLOOKUP('Données projet'!$B$12,Paramètres!$A$1:$I$89,5,0)</f>
        <v>17.037383999999573</v>
      </c>
      <c r="CA187" s="13">
        <f t="shared" si="170"/>
        <v>5.6444246244669305</v>
      </c>
      <c r="CB187" s="20">
        <f t="shared" si="171"/>
        <v>39.504150020945822</v>
      </c>
      <c r="CC187" s="59">
        <f t="shared" si="119"/>
        <v>332.83748335427913</v>
      </c>
      <c r="CD187" s="59">
        <f ca="1">AVERAGE(OFFSET($CC$3,0,0,'Données projet'!$E$12+1,1))-AVERAGE(OFFSET($H$3,0,0,'Données projet'!$E$12+1,1))</f>
        <v>350.91577977538822</v>
      </c>
      <c r="CE187" s="59">
        <f t="shared" si="148"/>
        <v>142.87103313412547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142.13261915409856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142.13261915409856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266.99999999999983</v>
      </c>
      <c r="CU187" s="17">
        <f>CT187*VLOOKUP('Données projet'!$B$13,Paramètres!$A$1:$I$89,3,0)*VLOOKUP('Données projet'!$B$13,Paramètres!$A$1:$I$89,5,0)</f>
        <v>216.59039999999987</v>
      </c>
      <c r="CV187" s="13">
        <f t="shared" si="173"/>
        <v>53.373153688190904</v>
      </c>
      <c r="CW187" s="20">
        <f t="shared" si="174"/>
        <v>470.18652267359886</v>
      </c>
      <c r="CX187" s="59">
        <f t="shared" si="122"/>
        <v>763.51985600693217</v>
      </c>
      <c r="CY187" s="59">
        <f ca="1">AVERAGE(OFFSET($CX$3,0,0,'Données projet'!$E$13+1,1))-AVERAGE(OFFSET($H$3,0,0,'Données projet'!$E$13+1,1))</f>
        <v>230.38929580146208</v>
      </c>
      <c r="CZ187" s="59">
        <f t="shared" si="150"/>
        <v>227.1847788696258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5.6402898968413879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5.6402898968413879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3.009999999999792</v>
      </c>
      <c r="DP187" s="17">
        <f>DO187*VLOOKUP('Données projet'!$B$14,Paramètres!$A$1:$I$89,3,0)*VLOOKUP('Données projet'!$B$14,Paramètres!$A$1:$I$89,5,0)</f>
        <v>1.7999799999998758</v>
      </c>
      <c r="DQ187" s="13">
        <f t="shared" si="176"/>
        <v>0.77465189310357685</v>
      </c>
      <c r="DR187" s="20">
        <f t="shared" si="177"/>
        <v>4.4841505471551795</v>
      </c>
      <c r="DS187" s="59">
        <f t="shared" si="125"/>
        <v>297.81748388048851</v>
      </c>
      <c r="DT187" s="59">
        <f ca="1">AVERAGE(OFFSET($DS$3,0,0,'Données projet'!$E$14+1,1))-AVERAGE(OFFSET($H$3,0,0,'Données projet'!$E$14+1,1))</f>
        <v>145.97103392561058</v>
      </c>
      <c r="DU187" s="59">
        <f t="shared" si="152"/>
        <v>62.920713953681172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36.988029277866239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36.988029277866239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0.8600000000003547</v>
      </c>
      <c r="O188" s="13">
        <f>N188*VLOOKUP('Données projet'!$B$9,Paramètres!$A$1:$I$89,3,0)*VLOOKUP('Données projet'!$B$9,Paramètres!$A$1:$I$89,5,0)</f>
        <v>0.48074000000019829</v>
      </c>
      <c r="P188" s="13">
        <f t="shared" si="141"/>
        <v>0.24126147010950588</v>
      </c>
      <c r="Q188" s="20">
        <f t="shared" si="162"/>
        <v>1.2574858937744013</v>
      </c>
      <c r="R188" s="59">
        <f t="shared" si="109"/>
        <v>294.59081922710772</v>
      </c>
      <c r="S188" s="59">
        <f ca="1">AVERAGE(OFFSET($R$3,0,0,'Données projet'!$E$9+1,1))-AVERAGE(OFFSET($H$3,0,0,'Données projet'!$E$9+1,1))</f>
        <v>350.01600895263641</v>
      </c>
      <c r="T188" s="59">
        <f t="shared" si="142"/>
        <v>464.08921044376882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28.326055312826806</v>
      </c>
      <c r="AA188" s="21">
        <f>EXP(-LN(2)/25)*AA187+(1-EXP(-LN(2)/25))/(LN(2)/25)*Calculateur!V188*Calculateur!X188*VLOOKUP('Données projet'!$B$9,Paramètres!$A$1:$I$89,3,0)*0.475*44/12</f>
        <v>0.68788826446688645</v>
      </c>
      <c r="AB188" s="21">
        <f>EXP(-LN(2)/2)*AB187+(1-EXP(-LN(2)/2))/(LN(2)/2)*V188*Y188*VLOOKUP('Données projet'!$B$9,Paramètres!$A$1:$I$89,3,0)*0.475*44/12</f>
        <v>3.4622658571804473E-24</v>
      </c>
      <c r="AC188" s="22">
        <f t="shared" si="163"/>
        <v>29.013943577293691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227.99999999999994</v>
      </c>
      <c r="AJ188" s="13">
        <f>AI188*VLOOKUP('Données projet'!$B$10,Paramètres!$A$1:$I$89,3,0)*VLOOKUP('Données projet'!$B$10,Paramètres!$A$1:$I$89,5,0)</f>
        <v>199.18079999999998</v>
      </c>
      <c r="AK188" s="13">
        <f t="shared" si="164"/>
        <v>49.564089376413683</v>
      </c>
      <c r="AL188" s="20">
        <f t="shared" si="165"/>
        <v>433.23068233058711</v>
      </c>
      <c r="AM188" s="59">
        <f t="shared" si="113"/>
        <v>726.56401566392037</v>
      </c>
      <c r="AN188" s="59">
        <f ca="1">AVERAGE(OFFSET($AM$3,0,0,'Données projet'!$E$10+1,1))-AVERAGE(OFFSET($H$3,0,0,'Données projet'!$E$10+1,1))</f>
        <v>242.48830542479988</v>
      </c>
      <c r="AO188" s="59">
        <f t="shared" si="144"/>
        <v>226.11219631227061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9.2338690568791222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9.2338690568791222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18.829999999999529</v>
      </c>
      <c r="BE188" s="13">
        <f>BD188*VLOOKUP('Données projet'!$B$11,Paramètres!$A$1:$I$89,3,0)*VLOOKUP('Données projet'!$B$11,Paramètres!$A$1:$I$89,5,0)</f>
        <v>19.093619999999522</v>
      </c>
      <c r="BF188" s="13">
        <f t="shared" si="167"/>
        <v>6.2423044268988255</v>
      </c>
      <c r="BG188" s="20">
        <f t="shared" si="168"/>
        <v>44.126735043514621</v>
      </c>
      <c r="BH188" s="59">
        <f t="shared" si="116"/>
        <v>337.46006837684791</v>
      </c>
      <c r="BI188" s="59">
        <f ca="1">AVERAGE(OFFSET($BH$3,0,0,'Données projet'!$E$11+1,1))-AVERAGE(OFFSET($H$3,0,0,'Données projet'!$E$11+1,1))</f>
        <v>402.5435069258703</v>
      </c>
      <c r="BJ188" s="59">
        <f t="shared" si="146"/>
        <v>163.60655195816349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156.16304374161342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156.16304374161342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18.829999999999529</v>
      </c>
      <c r="BZ188" s="13">
        <f>BY188*VLOOKUP('Données projet'!$B$12,Paramètres!$A$1:$I$89,3,0)*VLOOKUP('Données projet'!$B$12,Paramètres!$A$1:$I$89,5,0)</f>
        <v>17.037383999999573</v>
      </c>
      <c r="CA188" s="13">
        <f t="shared" si="170"/>
        <v>5.6444246244669305</v>
      </c>
      <c r="CB188" s="20">
        <f t="shared" si="171"/>
        <v>39.504150020945822</v>
      </c>
      <c r="CC188" s="59">
        <f t="shared" si="119"/>
        <v>332.83748335427913</v>
      </c>
      <c r="CD188" s="59">
        <f ca="1">AVERAGE(OFFSET($CC$3,0,0,'Données projet'!$E$12+1,1))-AVERAGE(OFFSET($H$3,0,0,'Données projet'!$E$12+1,1))</f>
        <v>350.91577977538822</v>
      </c>
      <c r="CE188" s="59">
        <f t="shared" si="148"/>
        <v>142.87103313412547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139.34548518482421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139.34548518482421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266.99999999999983</v>
      </c>
      <c r="CU188" s="17">
        <f>CT188*VLOOKUP('Données projet'!$B$13,Paramètres!$A$1:$I$89,3,0)*VLOOKUP('Données projet'!$B$13,Paramètres!$A$1:$I$89,5,0)</f>
        <v>216.59039999999987</v>
      </c>
      <c r="CV188" s="13">
        <f t="shared" si="173"/>
        <v>53.373153688190904</v>
      </c>
      <c r="CW188" s="20">
        <f t="shared" si="174"/>
        <v>470.18652267359886</v>
      </c>
      <c r="CX188" s="59">
        <f t="shared" si="122"/>
        <v>763.51985600693217</v>
      </c>
      <c r="CY188" s="59">
        <f ca="1">AVERAGE(OFFSET($CX$3,0,0,'Données projet'!$E$13+1,1))-AVERAGE(OFFSET($H$3,0,0,'Données projet'!$E$13+1,1))</f>
        <v>230.38929580146208</v>
      </c>
      <c r="CZ188" s="59">
        <f t="shared" si="150"/>
        <v>227.1847788696258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5.5296872522014704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5.5296872522014704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3.009999999999792</v>
      </c>
      <c r="DP188" s="17">
        <f>DO188*VLOOKUP('Données projet'!$B$14,Paramètres!$A$1:$I$89,3,0)*VLOOKUP('Données projet'!$B$14,Paramètres!$A$1:$I$89,5,0)</f>
        <v>1.7999799999998758</v>
      </c>
      <c r="DQ188" s="13">
        <f t="shared" si="176"/>
        <v>0.77465189310357685</v>
      </c>
      <c r="DR188" s="20">
        <f t="shared" si="177"/>
        <v>4.4841505471551795</v>
      </c>
      <c r="DS188" s="59">
        <f t="shared" si="125"/>
        <v>297.81748388048851</v>
      </c>
      <c r="DT188" s="59">
        <f ca="1">AVERAGE(OFFSET($DS$3,0,0,'Données projet'!$E$14+1,1))-AVERAGE(OFFSET($H$3,0,0,'Données projet'!$E$14+1,1))</f>
        <v>145.97103392561058</v>
      </c>
      <c r="DU188" s="59">
        <f t="shared" si="152"/>
        <v>62.920713953681172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36.262716584197477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36.262716584197477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0.8600000000003547</v>
      </c>
      <c r="O189" s="13">
        <f>N189*VLOOKUP('Données projet'!$B$9,Paramètres!$A$1:$I$89,3,0)*VLOOKUP('Données projet'!$B$9,Paramètres!$A$1:$I$89,5,0)</f>
        <v>0.48074000000019829</v>
      </c>
      <c r="P189" s="13">
        <f t="shared" si="141"/>
        <v>0.24126147010950588</v>
      </c>
      <c r="Q189" s="20">
        <f t="shared" si="162"/>
        <v>1.2574858937744013</v>
      </c>
      <c r="R189" s="59">
        <f t="shared" si="109"/>
        <v>294.59081922710772</v>
      </c>
      <c r="S189" s="59">
        <f ca="1">AVERAGE(OFFSET($R$3,0,0,'Données projet'!$E$9+1,1))-AVERAGE(OFFSET($H$3,0,0,'Données projet'!$E$9+1,1))</f>
        <v>350.01600895263641</v>
      </c>
      <c r="T189" s="59">
        <f t="shared" si="142"/>
        <v>464.08921044376882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27.770598645330033</v>
      </c>
      <c r="AA189" s="21">
        <f>EXP(-LN(2)/25)*AA188+(1-EXP(-LN(2)/25))/(LN(2)/25)*Calculateur!V189*Calculateur!X189*VLOOKUP('Données projet'!$B$9,Paramètres!$A$1:$I$89,3,0)*0.475*44/12</f>
        <v>0.66907792370056784</v>
      </c>
      <c r="AB189" s="21">
        <f>EXP(-LN(2)/2)*AB188+(1-EXP(-LN(2)/2))/(LN(2)/2)*V189*Y189*VLOOKUP('Données projet'!$B$9,Paramètres!$A$1:$I$89,3,0)*0.475*44/12</f>
        <v>2.448191665882949E-24</v>
      </c>
      <c r="AC189" s="22">
        <f t="shared" si="163"/>
        <v>28.439676569030599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227.99999999999994</v>
      </c>
      <c r="AJ189" s="13">
        <f>AI189*VLOOKUP('Données projet'!$B$10,Paramètres!$A$1:$I$89,3,0)*VLOOKUP('Données projet'!$B$10,Paramètres!$A$1:$I$89,5,0)</f>
        <v>199.18079999999998</v>
      </c>
      <c r="AK189" s="13">
        <f t="shared" si="164"/>
        <v>49.564089376413683</v>
      </c>
      <c r="AL189" s="20">
        <f t="shared" si="165"/>
        <v>433.23068233058711</v>
      </c>
      <c r="AM189" s="59">
        <f t="shared" si="113"/>
        <v>726.56401566392037</v>
      </c>
      <c r="AN189" s="59">
        <f ca="1">AVERAGE(OFFSET($AM$3,0,0,'Données projet'!$E$10+1,1))-AVERAGE(OFFSET($H$3,0,0,'Données projet'!$E$10+1,1))</f>
        <v>242.48830542479988</v>
      </c>
      <c r="AO189" s="59">
        <f t="shared" si="144"/>
        <v>226.11219631227061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9.0527985167777238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9.0527985167777238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18.829999999999529</v>
      </c>
      <c r="BE189" s="13">
        <f>BD189*VLOOKUP('Données projet'!$B$11,Paramètres!$A$1:$I$89,3,0)*VLOOKUP('Données projet'!$B$11,Paramètres!$A$1:$I$89,5,0)</f>
        <v>19.093619999999522</v>
      </c>
      <c r="BF189" s="13">
        <f t="shared" si="167"/>
        <v>6.2423044268988255</v>
      </c>
      <c r="BG189" s="20">
        <f t="shared" si="168"/>
        <v>44.126735043514621</v>
      </c>
      <c r="BH189" s="59">
        <f t="shared" si="116"/>
        <v>337.46006837684791</v>
      </c>
      <c r="BI189" s="59">
        <f ca="1">AVERAGE(OFFSET($BH$3,0,0,'Données projet'!$E$11+1,1))-AVERAGE(OFFSET($H$3,0,0,'Données projet'!$E$11+1,1))</f>
        <v>402.5435069258703</v>
      </c>
      <c r="BJ189" s="59">
        <f t="shared" si="146"/>
        <v>163.60655195816349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153.1007817038919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153.1007817038919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18.829999999999529</v>
      </c>
      <c r="BZ189" s="13">
        <f>BY189*VLOOKUP('Données projet'!$B$12,Paramètres!$A$1:$I$89,3,0)*VLOOKUP('Données projet'!$B$12,Paramètres!$A$1:$I$89,5,0)</f>
        <v>17.037383999999573</v>
      </c>
      <c r="CA189" s="13">
        <f t="shared" si="170"/>
        <v>5.6444246244669305</v>
      </c>
      <c r="CB189" s="20">
        <f t="shared" si="171"/>
        <v>39.504150020945822</v>
      </c>
      <c r="CC189" s="59">
        <f t="shared" si="119"/>
        <v>332.83748335427913</v>
      </c>
      <c r="CD189" s="59">
        <f ca="1">AVERAGE(OFFSET($CC$3,0,0,'Données projet'!$E$12+1,1))-AVERAGE(OFFSET($H$3,0,0,'Données projet'!$E$12+1,1))</f>
        <v>350.91577977538822</v>
      </c>
      <c r="CE189" s="59">
        <f t="shared" si="148"/>
        <v>142.87103313412547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136.61300521270348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136.61300521270348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266.99999999999983</v>
      </c>
      <c r="CU189" s="17">
        <f>CT189*VLOOKUP('Données projet'!$B$13,Paramètres!$A$1:$I$89,3,0)*VLOOKUP('Données projet'!$B$13,Paramètres!$A$1:$I$89,5,0)</f>
        <v>216.59039999999987</v>
      </c>
      <c r="CV189" s="13">
        <f t="shared" si="173"/>
        <v>53.373153688190904</v>
      </c>
      <c r="CW189" s="20">
        <f t="shared" si="174"/>
        <v>470.18652267359886</v>
      </c>
      <c r="CX189" s="59">
        <f t="shared" si="122"/>
        <v>763.51985600693217</v>
      </c>
      <c r="CY189" s="59">
        <f ca="1">AVERAGE(OFFSET($CX$3,0,0,'Données projet'!$E$13+1,1))-AVERAGE(OFFSET($H$3,0,0,'Données projet'!$E$13+1,1))</f>
        <v>230.38929580146208</v>
      </c>
      <c r="CZ189" s="59">
        <f t="shared" si="150"/>
        <v>227.1847788696258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5.4212534579619893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5.4212534579619893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3.009999999999792</v>
      </c>
      <c r="DP189" s="17">
        <f>DO189*VLOOKUP('Données projet'!$B$14,Paramètres!$A$1:$I$89,3,0)*VLOOKUP('Données projet'!$B$14,Paramètres!$A$1:$I$89,5,0)</f>
        <v>1.7999799999998758</v>
      </c>
      <c r="DQ189" s="13">
        <f t="shared" si="176"/>
        <v>0.77465189310357685</v>
      </c>
      <c r="DR189" s="20">
        <f t="shared" si="177"/>
        <v>4.4841505471551795</v>
      </c>
      <c r="DS189" s="59">
        <f t="shared" si="125"/>
        <v>297.81748388048851</v>
      </c>
      <c r="DT189" s="59">
        <f ca="1">AVERAGE(OFFSET($DS$3,0,0,'Données projet'!$E$14+1,1))-AVERAGE(OFFSET($H$3,0,0,'Données projet'!$E$14+1,1))</f>
        <v>145.97103392561058</v>
      </c>
      <c r="DU189" s="59">
        <f t="shared" si="152"/>
        <v>62.920713953681172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35.551626830054502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35.551626830054502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0.8600000000003547</v>
      </c>
      <c r="O190" s="13">
        <f>N190*VLOOKUP('Données projet'!$B$9,Paramètres!$A$1:$I$89,3,0)*VLOOKUP('Données projet'!$B$9,Paramètres!$A$1:$I$89,5,0)</f>
        <v>0.48074000000019829</v>
      </c>
      <c r="P190" s="13">
        <f t="shared" si="141"/>
        <v>0.24126147010950588</v>
      </c>
      <c r="Q190" s="20">
        <f t="shared" si="162"/>
        <v>1.2574858937744013</v>
      </c>
      <c r="R190" s="59">
        <f t="shared" si="109"/>
        <v>294.59081922710772</v>
      </c>
      <c r="S190" s="59">
        <f ca="1">AVERAGE(OFFSET($R$3,0,0,'Données projet'!$E$9+1,1))-AVERAGE(OFFSET($H$3,0,0,'Données projet'!$E$9+1,1))</f>
        <v>350.01600895263641</v>
      </c>
      <c r="T190" s="59">
        <f t="shared" si="142"/>
        <v>464.08921044376882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27.226034144287755</v>
      </c>
      <c r="AA190" s="21">
        <f>EXP(-LN(2)/25)*AA189+(1-EXP(-LN(2)/25))/(LN(2)/25)*Calculateur!V190*Calculateur!X190*VLOOKUP('Données projet'!$B$9,Paramètres!$A$1:$I$89,3,0)*0.475*44/12</f>
        <v>0.65078195269169703</v>
      </c>
      <c r="AB190" s="21">
        <f>EXP(-LN(2)/2)*AB189+(1-EXP(-LN(2)/2))/(LN(2)/2)*V190*Y190*VLOOKUP('Données projet'!$B$9,Paramètres!$A$1:$I$89,3,0)*0.475*44/12</f>
        <v>1.7311329285902237E-24</v>
      </c>
      <c r="AC190" s="22">
        <f t="shared" si="163"/>
        <v>27.876816096979454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227.99999999999994</v>
      </c>
      <c r="AJ190" s="13">
        <f>AI190*VLOOKUP('Données projet'!$B$10,Paramètres!$A$1:$I$89,3,0)*VLOOKUP('Données projet'!$B$10,Paramètres!$A$1:$I$89,5,0)</f>
        <v>199.18079999999998</v>
      </c>
      <c r="AK190" s="13">
        <f t="shared" si="164"/>
        <v>49.564089376413683</v>
      </c>
      <c r="AL190" s="20">
        <f t="shared" si="165"/>
        <v>433.23068233058711</v>
      </c>
      <c r="AM190" s="59">
        <f t="shared" si="113"/>
        <v>726.56401566392037</v>
      </c>
      <c r="AN190" s="59">
        <f ca="1">AVERAGE(OFFSET($AM$3,0,0,'Données projet'!$E$10+1,1))-AVERAGE(OFFSET($H$3,0,0,'Données projet'!$E$10+1,1))</f>
        <v>242.48830542479988</v>
      </c>
      <c r="AO190" s="59">
        <f t="shared" si="144"/>
        <v>226.11219631227061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8.8752786595255895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8.8752786595255895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18.829999999999529</v>
      </c>
      <c r="BE190" s="13">
        <f>BD190*VLOOKUP('Données projet'!$B$11,Paramètres!$A$1:$I$89,3,0)*VLOOKUP('Données projet'!$B$11,Paramètres!$A$1:$I$89,5,0)</f>
        <v>19.093619999999522</v>
      </c>
      <c r="BF190" s="13">
        <f t="shared" si="167"/>
        <v>6.2423044268988255</v>
      </c>
      <c r="BG190" s="20">
        <f t="shared" si="168"/>
        <v>44.126735043514621</v>
      </c>
      <c r="BH190" s="59">
        <f t="shared" si="116"/>
        <v>337.46006837684791</v>
      </c>
      <c r="BI190" s="59">
        <f ca="1">AVERAGE(OFFSET($BH$3,0,0,'Données projet'!$E$11+1,1))-AVERAGE(OFFSET($H$3,0,0,'Données projet'!$E$11+1,1))</f>
        <v>402.5435069258703</v>
      </c>
      <c r="BJ190" s="59">
        <f t="shared" si="146"/>
        <v>163.60655195816349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150.0985687569347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150.0985687569347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18.829999999999529</v>
      </c>
      <c r="BZ190" s="13">
        <f>BY190*VLOOKUP('Données projet'!$B$12,Paramètres!$A$1:$I$89,3,0)*VLOOKUP('Données projet'!$B$12,Paramètres!$A$1:$I$89,5,0)</f>
        <v>17.037383999999573</v>
      </c>
      <c r="CA190" s="13">
        <f t="shared" si="170"/>
        <v>5.6444246244669305</v>
      </c>
      <c r="CB190" s="20">
        <f t="shared" si="171"/>
        <v>39.504150020945822</v>
      </c>
      <c r="CC190" s="59">
        <f t="shared" si="119"/>
        <v>332.83748335427913</v>
      </c>
      <c r="CD190" s="59">
        <f ca="1">AVERAGE(OFFSET($CC$3,0,0,'Données projet'!$E$12+1,1))-AVERAGE(OFFSET($H$3,0,0,'Données projet'!$E$12+1,1))</f>
        <v>350.91577977538822</v>
      </c>
      <c r="CE190" s="59">
        <f t="shared" si="148"/>
        <v>142.87103313412547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133.93410750618781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133.93410750618781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266.99999999999983</v>
      </c>
      <c r="CU190" s="17">
        <f>CT190*VLOOKUP('Données projet'!$B$13,Paramètres!$A$1:$I$89,3,0)*VLOOKUP('Données projet'!$B$13,Paramètres!$A$1:$I$89,5,0)</f>
        <v>216.59039999999987</v>
      </c>
      <c r="CV190" s="13">
        <f t="shared" si="173"/>
        <v>53.373153688190904</v>
      </c>
      <c r="CW190" s="20">
        <f t="shared" si="174"/>
        <v>470.18652267359886</v>
      </c>
      <c r="CX190" s="59">
        <f t="shared" si="122"/>
        <v>763.51985600693217</v>
      </c>
      <c r="CY190" s="59">
        <f ca="1">AVERAGE(OFFSET($CX$3,0,0,'Données projet'!$E$13+1,1))-AVERAGE(OFFSET($H$3,0,0,'Données projet'!$E$13+1,1))</f>
        <v>230.38929580146208</v>
      </c>
      <c r="CZ190" s="59">
        <f t="shared" si="150"/>
        <v>227.1847788696258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5.3149459842894604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5.3149459842894604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3.009999999999792</v>
      </c>
      <c r="DP190" s="17">
        <f>DO190*VLOOKUP('Données projet'!$B$14,Paramètres!$A$1:$I$89,3,0)*VLOOKUP('Données projet'!$B$14,Paramètres!$A$1:$I$89,5,0)</f>
        <v>1.7999799999998758</v>
      </c>
      <c r="DQ190" s="13">
        <f t="shared" si="176"/>
        <v>0.77465189310357685</v>
      </c>
      <c r="DR190" s="20">
        <f t="shared" si="177"/>
        <v>4.4841505471551795</v>
      </c>
      <c r="DS190" s="59">
        <f t="shared" si="125"/>
        <v>297.81748388048851</v>
      </c>
      <c r="DT190" s="59">
        <f ca="1">AVERAGE(OFFSET($DS$3,0,0,'Données projet'!$E$14+1,1))-AVERAGE(OFFSET($H$3,0,0,'Données projet'!$E$14+1,1))</f>
        <v>145.97103392561058</v>
      </c>
      <c r="DU190" s="59">
        <f t="shared" si="152"/>
        <v>62.920713953681172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34.854481112268346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34.854481112268346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0.8600000000003547</v>
      </c>
      <c r="O191" s="13">
        <f>N191*VLOOKUP('Données projet'!$B$9,Paramètres!$A$1:$I$89,3,0)*VLOOKUP('Données projet'!$B$9,Paramètres!$A$1:$I$89,5,0)</f>
        <v>0.48074000000019829</v>
      </c>
      <c r="P191" s="13">
        <f t="shared" si="141"/>
        <v>0.24126147010950588</v>
      </c>
      <c r="Q191" s="20">
        <f t="shared" si="162"/>
        <v>1.2574858937744013</v>
      </c>
      <c r="R191" s="59">
        <f t="shared" si="109"/>
        <v>294.59081922710772</v>
      </c>
      <c r="S191" s="59">
        <f ca="1">AVERAGE(OFFSET($R$3,0,0,'Données projet'!$E$9+1,1))-AVERAGE(OFFSET($H$3,0,0,'Données projet'!$E$9+1,1))</f>
        <v>350.01600895263641</v>
      </c>
      <c r="T191" s="59">
        <f t="shared" si="142"/>
        <v>464.08921044376882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26.692148220959371</v>
      </c>
      <c r="AA191" s="21">
        <f>EXP(-LN(2)/25)*AA190+(1-EXP(-LN(2)/25))/(LN(2)/25)*Calculateur!V191*Calculateur!X191*VLOOKUP('Données projet'!$B$9,Paramètres!$A$1:$I$89,3,0)*0.475*44/12</f>
        <v>0.63298628597220707</v>
      </c>
      <c r="AB191" s="21">
        <f>EXP(-LN(2)/2)*AB190+(1-EXP(-LN(2)/2))/(LN(2)/2)*V191*Y191*VLOOKUP('Données projet'!$B$9,Paramètres!$A$1:$I$89,3,0)*0.475*44/12</f>
        <v>1.2240958329414745E-24</v>
      </c>
      <c r="AC191" s="22">
        <f t="shared" si="163"/>
        <v>27.32513450693158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227.99999999999994</v>
      </c>
      <c r="AJ191" s="13">
        <f>AI191*VLOOKUP('Données projet'!$B$10,Paramètres!$A$1:$I$89,3,0)*VLOOKUP('Données projet'!$B$10,Paramètres!$A$1:$I$89,5,0)</f>
        <v>199.18079999999998</v>
      </c>
      <c r="AK191" s="13">
        <f t="shared" si="164"/>
        <v>49.564089376413683</v>
      </c>
      <c r="AL191" s="20">
        <f t="shared" si="165"/>
        <v>433.23068233058711</v>
      </c>
      <c r="AM191" s="59">
        <f t="shared" si="113"/>
        <v>726.56401566392037</v>
      </c>
      <c r="AN191" s="59">
        <f ca="1">AVERAGE(OFFSET($AM$3,0,0,'Données projet'!$E$10+1,1))-AVERAGE(OFFSET($H$3,0,0,'Données projet'!$E$10+1,1))</f>
        <v>242.48830542479988</v>
      </c>
      <c r="AO191" s="59">
        <f t="shared" si="144"/>
        <v>226.11219631227061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8.7012398583977468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8.7012398583977468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18.829999999999529</v>
      </c>
      <c r="BE191" s="13">
        <f>BD191*VLOOKUP('Données projet'!$B$11,Paramètres!$A$1:$I$89,3,0)*VLOOKUP('Données projet'!$B$11,Paramètres!$A$1:$I$89,5,0)</f>
        <v>19.093619999999522</v>
      </c>
      <c r="BF191" s="13">
        <f t="shared" si="167"/>
        <v>6.2423044268988255</v>
      </c>
      <c r="BG191" s="20">
        <f t="shared" si="168"/>
        <v>44.126735043514621</v>
      </c>
      <c r="BH191" s="59">
        <f t="shared" si="116"/>
        <v>337.46006837684791</v>
      </c>
      <c r="BI191" s="59">
        <f ca="1">AVERAGE(OFFSET($BH$3,0,0,'Données projet'!$E$11+1,1))-AVERAGE(OFFSET($H$3,0,0,'Données projet'!$E$11+1,1))</f>
        <v>402.5435069258703</v>
      </c>
      <c r="BJ191" s="59">
        <f t="shared" si="146"/>
        <v>163.60655195816349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147.15522737469823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147.15522737469823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18.829999999999529</v>
      </c>
      <c r="BZ191" s="13">
        <f>BY191*VLOOKUP('Données projet'!$B$12,Paramètres!$A$1:$I$89,3,0)*VLOOKUP('Données projet'!$B$12,Paramètres!$A$1:$I$89,5,0)</f>
        <v>17.037383999999573</v>
      </c>
      <c r="CA191" s="13">
        <f t="shared" si="170"/>
        <v>5.6444246244669305</v>
      </c>
      <c r="CB191" s="20">
        <f t="shared" si="171"/>
        <v>39.504150020945822</v>
      </c>
      <c r="CC191" s="59">
        <f t="shared" si="119"/>
        <v>332.83748335427913</v>
      </c>
      <c r="CD191" s="59">
        <f ca="1">AVERAGE(OFFSET($CC$3,0,0,'Données projet'!$E$12+1,1))-AVERAGE(OFFSET($H$3,0,0,'Données projet'!$E$12+1,1))</f>
        <v>350.91577977538822</v>
      </c>
      <c r="CE191" s="59">
        <f t="shared" si="148"/>
        <v>142.87103313412547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131.30774134973066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131.30774134973066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266.99999999999983</v>
      </c>
      <c r="CU191" s="17">
        <f>CT191*VLOOKUP('Données projet'!$B$13,Paramètres!$A$1:$I$89,3,0)*VLOOKUP('Données projet'!$B$13,Paramètres!$A$1:$I$89,5,0)</f>
        <v>216.59039999999987</v>
      </c>
      <c r="CV191" s="13">
        <f t="shared" si="173"/>
        <v>53.373153688190904</v>
      </c>
      <c r="CW191" s="20">
        <f t="shared" si="174"/>
        <v>470.18652267359886</v>
      </c>
      <c r="CX191" s="59">
        <f t="shared" si="122"/>
        <v>763.51985600693217</v>
      </c>
      <c r="CY191" s="59">
        <f ca="1">AVERAGE(OFFSET($CX$3,0,0,'Données projet'!$E$13+1,1))-AVERAGE(OFFSET($H$3,0,0,'Données projet'!$E$13+1,1))</f>
        <v>230.38929580146208</v>
      </c>
      <c r="CZ191" s="59">
        <f t="shared" si="150"/>
        <v>227.1847788696258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5.2107231353344936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5.2107231353344936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3.009999999999792</v>
      </c>
      <c r="DP191" s="17">
        <f>DO191*VLOOKUP('Données projet'!$B$14,Paramètres!$A$1:$I$89,3,0)*VLOOKUP('Données projet'!$B$14,Paramètres!$A$1:$I$89,5,0)</f>
        <v>1.7999799999998758</v>
      </c>
      <c r="DQ191" s="13">
        <f t="shared" si="176"/>
        <v>0.77465189310357685</v>
      </c>
      <c r="DR191" s="20">
        <f t="shared" si="177"/>
        <v>4.4841505471551795</v>
      </c>
      <c r="DS191" s="59">
        <f t="shared" si="125"/>
        <v>297.81748388048851</v>
      </c>
      <c r="DT191" s="59">
        <f ca="1">AVERAGE(OFFSET($DS$3,0,0,'Données projet'!$E$14+1,1))-AVERAGE(OFFSET($H$3,0,0,'Données projet'!$E$14+1,1))</f>
        <v>145.97103392561058</v>
      </c>
      <c r="DU191" s="59">
        <f t="shared" si="152"/>
        <v>62.920713953681172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34.171005996791074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34.171005996791074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0.8600000000003547</v>
      </c>
      <c r="O192" s="13">
        <f>N192*VLOOKUP('Données projet'!$B$9,Paramètres!$A$1:$I$89,3,0)*VLOOKUP('Données projet'!$B$9,Paramètres!$A$1:$I$89,5,0)</f>
        <v>0.48074000000019829</v>
      </c>
      <c r="P192" s="13">
        <f t="shared" si="141"/>
        <v>0.24126147010950588</v>
      </c>
      <c r="Q192" s="20">
        <f t="shared" si="162"/>
        <v>1.2574858937744013</v>
      </c>
      <c r="R192" s="59">
        <f t="shared" si="109"/>
        <v>294.59081922710772</v>
      </c>
      <c r="S192" s="59">
        <f ca="1">AVERAGE(OFFSET($R$3,0,0,'Données projet'!$E$9+1,1))-AVERAGE(OFFSET($H$3,0,0,'Données projet'!$E$9+1,1))</f>
        <v>350.01600895263641</v>
      </c>
      <c r="T192" s="59">
        <f t="shared" si="142"/>
        <v>464.08921044376882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26.168731474949197</v>
      </c>
      <c r="AA192" s="21">
        <f>EXP(-LN(2)/25)*AA191+(1-EXP(-LN(2)/25))/(LN(2)/25)*Calculateur!V192*Calculateur!X192*VLOOKUP('Données projet'!$B$9,Paramètres!$A$1:$I$89,3,0)*0.475*44/12</f>
        <v>0.61567724269499502</v>
      </c>
      <c r="AB192" s="21">
        <f>EXP(-LN(2)/2)*AB191+(1-EXP(-LN(2)/2))/(LN(2)/2)*V192*Y192*VLOOKUP('Données projet'!$B$9,Paramètres!$A$1:$I$89,3,0)*0.475*44/12</f>
        <v>8.6556646429511183E-25</v>
      </c>
      <c r="AC192" s="22">
        <f t="shared" si="163"/>
        <v>26.784408717644194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227.99999999999994</v>
      </c>
      <c r="AJ192" s="13">
        <f>AI192*VLOOKUP('Données projet'!$B$10,Paramètres!$A$1:$I$89,3,0)*VLOOKUP('Données projet'!$B$10,Paramètres!$A$1:$I$89,5,0)</f>
        <v>199.18079999999998</v>
      </c>
      <c r="AK192" s="13">
        <f t="shared" si="164"/>
        <v>49.564089376413683</v>
      </c>
      <c r="AL192" s="20">
        <f t="shared" si="165"/>
        <v>433.23068233058711</v>
      </c>
      <c r="AM192" s="59">
        <f t="shared" si="113"/>
        <v>726.56401566392037</v>
      </c>
      <c r="AN192" s="59">
        <f ca="1">AVERAGE(OFFSET($AM$3,0,0,'Données projet'!$E$10+1,1))-AVERAGE(OFFSET($H$3,0,0,'Données projet'!$E$10+1,1))</f>
        <v>242.48830542479988</v>
      </c>
      <c r="AO192" s="59">
        <f t="shared" si="144"/>
        <v>226.11219631227061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8.5306138520068355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8.5306138520068355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18.829999999999529</v>
      </c>
      <c r="BE192" s="13">
        <f>BD192*VLOOKUP('Données projet'!$B$11,Paramètres!$A$1:$I$89,3,0)*VLOOKUP('Données projet'!$B$11,Paramètres!$A$1:$I$89,5,0)</f>
        <v>19.093619999999522</v>
      </c>
      <c r="BF192" s="13">
        <f t="shared" si="167"/>
        <v>6.2423044268988255</v>
      </c>
      <c r="BG192" s="20">
        <f t="shared" si="168"/>
        <v>44.126735043514621</v>
      </c>
      <c r="BH192" s="59">
        <f t="shared" si="116"/>
        <v>337.46006837684791</v>
      </c>
      <c r="BI192" s="59">
        <f ca="1">AVERAGE(OFFSET($BH$3,0,0,'Données projet'!$E$11+1,1))-AVERAGE(OFFSET($H$3,0,0,'Données projet'!$E$11+1,1))</f>
        <v>402.5435069258703</v>
      </c>
      <c r="BJ192" s="59">
        <f t="shared" si="146"/>
        <v>163.60655195816349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144.26960312170644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144.26960312170644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18.829999999999529</v>
      </c>
      <c r="BZ192" s="13">
        <f>BY192*VLOOKUP('Données projet'!$B$12,Paramètres!$A$1:$I$89,3,0)*VLOOKUP('Données projet'!$B$12,Paramètres!$A$1:$I$89,5,0)</f>
        <v>17.037383999999573</v>
      </c>
      <c r="CA192" s="13">
        <f t="shared" si="170"/>
        <v>5.6444246244669305</v>
      </c>
      <c r="CB192" s="20">
        <f t="shared" si="171"/>
        <v>39.504150020945822</v>
      </c>
      <c r="CC192" s="59">
        <f t="shared" si="119"/>
        <v>332.83748335427913</v>
      </c>
      <c r="CD192" s="59">
        <f ca="1">AVERAGE(OFFSET($CC$3,0,0,'Données projet'!$E$12+1,1))-AVERAGE(OFFSET($H$3,0,0,'Données projet'!$E$12+1,1))</f>
        <v>350.91577977538822</v>
      </c>
      <c r="CE192" s="59">
        <f t="shared" si="148"/>
        <v>142.87103313412547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128.73287663167645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128.73287663167645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266.99999999999983</v>
      </c>
      <c r="CU192" s="17">
        <f>CT192*VLOOKUP('Données projet'!$B$13,Paramètres!$A$1:$I$89,3,0)*VLOOKUP('Données projet'!$B$13,Paramètres!$A$1:$I$89,5,0)</f>
        <v>216.59039999999987</v>
      </c>
      <c r="CV192" s="13">
        <f t="shared" si="173"/>
        <v>53.373153688190904</v>
      </c>
      <c r="CW192" s="20">
        <f t="shared" si="174"/>
        <v>470.18652267359886</v>
      </c>
      <c r="CX192" s="59">
        <f t="shared" si="122"/>
        <v>763.51985600693217</v>
      </c>
      <c r="CY192" s="59">
        <f ca="1">AVERAGE(OFFSET($CX$3,0,0,'Données projet'!$E$13+1,1))-AVERAGE(OFFSET($H$3,0,0,'Données projet'!$E$13+1,1))</f>
        <v>230.38929580146208</v>
      </c>
      <c r="CZ192" s="59">
        <f t="shared" si="150"/>
        <v>227.1847788696258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5.1085440328778731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5.1085440328778731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3.009999999999792</v>
      </c>
      <c r="DP192" s="17">
        <f>DO192*VLOOKUP('Données projet'!$B$14,Paramètres!$A$1:$I$89,3,0)*VLOOKUP('Données projet'!$B$14,Paramètres!$A$1:$I$89,5,0)</f>
        <v>1.7999799999998758</v>
      </c>
      <c r="DQ192" s="13">
        <f t="shared" si="176"/>
        <v>0.77465189310357685</v>
      </c>
      <c r="DR192" s="20">
        <f t="shared" si="177"/>
        <v>4.4841505471551795</v>
      </c>
      <c r="DS192" s="59">
        <f t="shared" si="125"/>
        <v>297.81748388048851</v>
      </c>
      <c r="DT192" s="59">
        <f ca="1">AVERAGE(OFFSET($DS$3,0,0,'Données projet'!$E$14+1,1))-AVERAGE(OFFSET($H$3,0,0,'Données projet'!$E$14+1,1))</f>
        <v>145.97103392561058</v>
      </c>
      <c r="DU192" s="59">
        <f t="shared" si="152"/>
        <v>62.920713953681172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33.500933411449658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33.500933411449658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0.8600000000003547</v>
      </c>
      <c r="O193" s="13">
        <f>N193*VLOOKUP('Données projet'!$B$9,Paramètres!$A$1:$I$89,3,0)*VLOOKUP('Données projet'!$B$9,Paramètres!$A$1:$I$89,5,0)</f>
        <v>0.48074000000019829</v>
      </c>
      <c r="P193" s="13">
        <f t="shared" si="141"/>
        <v>0.24126147010950588</v>
      </c>
      <c r="Q193" s="20">
        <f t="shared" si="162"/>
        <v>1.2574858937744013</v>
      </c>
      <c r="R193" s="59">
        <f t="shared" si="109"/>
        <v>294.59081922710772</v>
      </c>
      <c r="S193" s="59">
        <f ca="1">AVERAGE(OFFSET($R$3,0,0,'Données projet'!$E$9+1,1))-AVERAGE(OFFSET($H$3,0,0,'Données projet'!$E$9+1,1))</f>
        <v>350.01600895263641</v>
      </c>
      <c r="T193" s="59">
        <f t="shared" si="142"/>
        <v>464.08921044376882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25.65557861207559</v>
      </c>
      <c r="AA193" s="21">
        <f>EXP(-LN(2)/25)*AA192+(1-EXP(-LN(2)/25))/(LN(2)/25)*Calculateur!V193*Calculateur!X193*VLOOKUP('Données projet'!$B$9,Paramètres!$A$1:$I$89,3,0)*0.475*44/12</f>
        <v>0.59884151611644132</v>
      </c>
      <c r="AB193" s="21">
        <f>EXP(-LN(2)/2)*AB192+(1-EXP(-LN(2)/2))/(LN(2)/2)*V193*Y193*VLOOKUP('Données projet'!$B$9,Paramètres!$A$1:$I$89,3,0)*0.475*44/12</f>
        <v>6.1204791647073726E-25</v>
      </c>
      <c r="AC193" s="22">
        <f t="shared" si="163"/>
        <v>26.254420128192031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227.99999999999994</v>
      </c>
      <c r="AJ193" s="13">
        <f>AI193*VLOOKUP('Données projet'!$B$10,Paramètres!$A$1:$I$89,3,0)*VLOOKUP('Données projet'!$B$10,Paramètres!$A$1:$I$89,5,0)</f>
        <v>199.18079999999998</v>
      </c>
      <c r="AK193" s="13">
        <f t="shared" si="164"/>
        <v>49.564089376413683</v>
      </c>
      <c r="AL193" s="20">
        <f t="shared" si="165"/>
        <v>433.23068233058711</v>
      </c>
      <c r="AM193" s="59">
        <f t="shared" si="113"/>
        <v>726.56401566392037</v>
      </c>
      <c r="AN193" s="59">
        <f ca="1">AVERAGE(OFFSET($AM$3,0,0,'Données projet'!$E$10+1,1))-AVERAGE(OFFSET($H$3,0,0,'Données projet'!$E$10+1,1))</f>
        <v>242.48830542479988</v>
      </c>
      <c r="AO193" s="59">
        <f t="shared" si="144"/>
        <v>226.11219631227061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8.3633337175296614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8.3633337175296614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18.829999999999529</v>
      </c>
      <c r="BE193" s="13">
        <f>BD193*VLOOKUP('Données projet'!$B$11,Paramètres!$A$1:$I$89,3,0)*VLOOKUP('Données projet'!$B$11,Paramètres!$A$1:$I$89,5,0)</f>
        <v>19.093619999999522</v>
      </c>
      <c r="BF193" s="13">
        <f t="shared" si="167"/>
        <v>6.2423044268988255</v>
      </c>
      <c r="BG193" s="20">
        <f t="shared" si="168"/>
        <v>44.126735043514621</v>
      </c>
      <c r="BH193" s="59">
        <f t="shared" si="116"/>
        <v>337.46006837684791</v>
      </c>
      <c r="BI193" s="59">
        <f ca="1">AVERAGE(OFFSET($BH$3,0,0,'Données projet'!$E$11+1,1))-AVERAGE(OFFSET($H$3,0,0,'Données projet'!$E$11+1,1))</f>
        <v>402.5435069258703</v>
      </c>
      <c r="BJ193" s="59">
        <f t="shared" si="146"/>
        <v>163.60655195816349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141.44056420025882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141.44056420025882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18.829999999999529</v>
      </c>
      <c r="BZ193" s="13">
        <f>BY193*VLOOKUP('Données projet'!$B$12,Paramètres!$A$1:$I$89,3,0)*VLOOKUP('Données projet'!$B$12,Paramètres!$A$1:$I$89,5,0)</f>
        <v>17.037383999999573</v>
      </c>
      <c r="CA193" s="13">
        <f t="shared" si="170"/>
        <v>5.6444246244669305</v>
      </c>
      <c r="CB193" s="20">
        <f t="shared" si="171"/>
        <v>39.504150020945822</v>
      </c>
      <c r="CC193" s="59">
        <f t="shared" si="119"/>
        <v>332.83748335427913</v>
      </c>
      <c r="CD193" s="59">
        <f ca="1">AVERAGE(OFFSET($CC$3,0,0,'Données projet'!$E$12+1,1))-AVERAGE(OFFSET($H$3,0,0,'Données projet'!$E$12+1,1))</f>
        <v>350.91577977538822</v>
      </c>
      <c r="CE193" s="59">
        <f t="shared" si="148"/>
        <v>142.87103313412547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126.20850344023088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126.20850344023088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266.99999999999983</v>
      </c>
      <c r="CU193" s="17">
        <f>CT193*VLOOKUP('Données projet'!$B$13,Paramètres!$A$1:$I$89,3,0)*VLOOKUP('Données projet'!$B$13,Paramètres!$A$1:$I$89,5,0)</f>
        <v>216.59039999999987</v>
      </c>
      <c r="CV193" s="13">
        <f t="shared" si="173"/>
        <v>53.373153688190904</v>
      </c>
      <c r="CW193" s="20">
        <f t="shared" si="174"/>
        <v>470.18652267359886</v>
      </c>
      <c r="CX193" s="59">
        <f t="shared" si="122"/>
        <v>763.51985600693217</v>
      </c>
      <c r="CY193" s="59">
        <f ca="1">AVERAGE(OFFSET($CX$3,0,0,'Données projet'!$E$13+1,1))-AVERAGE(OFFSET($H$3,0,0,'Données projet'!$E$13+1,1))</f>
        <v>230.38929580146208</v>
      </c>
      <c r="CZ193" s="59">
        <f t="shared" si="150"/>
        <v>227.1847788696258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5.0083686002973282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5.0083686002973282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3.009999999999792</v>
      </c>
      <c r="DP193" s="17">
        <f>DO193*VLOOKUP('Données projet'!$B$14,Paramètres!$A$1:$I$89,3,0)*VLOOKUP('Données projet'!$B$14,Paramètres!$A$1:$I$89,5,0)</f>
        <v>1.7999799999998758</v>
      </c>
      <c r="DQ193" s="13">
        <f t="shared" si="176"/>
        <v>0.77465189310357685</v>
      </c>
      <c r="DR193" s="20">
        <f t="shared" si="177"/>
        <v>4.4841505471551795</v>
      </c>
      <c r="DS193" s="59">
        <f t="shared" si="125"/>
        <v>297.81748388048851</v>
      </c>
      <c r="DT193" s="59">
        <f ca="1">AVERAGE(OFFSET($DS$3,0,0,'Données projet'!$E$14+1,1))-AVERAGE(OFFSET($H$3,0,0,'Données projet'!$E$14+1,1))</f>
        <v>145.97103392561058</v>
      </c>
      <c r="DU193" s="59">
        <f t="shared" si="152"/>
        <v>62.920713953681172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32.844000540802867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32.844000540802867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0.8600000000003547</v>
      </c>
      <c r="O194" s="13">
        <f>N194*VLOOKUP('Données projet'!$B$9,Paramètres!$A$1:$I$89,3,0)*VLOOKUP('Données projet'!$B$9,Paramètres!$A$1:$I$89,5,0)</f>
        <v>0.48074000000019829</v>
      </c>
      <c r="P194" s="13">
        <f t="shared" si="141"/>
        <v>0.24126147010950588</v>
      </c>
      <c r="Q194" s="20">
        <f t="shared" si="162"/>
        <v>1.2574858937744013</v>
      </c>
      <c r="R194" s="59">
        <f t="shared" si="109"/>
        <v>294.59081922710772</v>
      </c>
      <c r="S194" s="59">
        <f ca="1">AVERAGE(OFFSET($R$3,0,0,'Données projet'!$E$9+1,1))-AVERAGE(OFFSET($H$3,0,0,'Données projet'!$E$9+1,1))</f>
        <v>350.01600895263641</v>
      </c>
      <c r="T194" s="59">
        <f t="shared" si="142"/>
        <v>464.08921044376882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25.152488363850594</v>
      </c>
      <c r="AA194" s="21">
        <f>EXP(-LN(2)/25)*AA193+(1-EXP(-LN(2)/25))/(LN(2)/25)*Calculateur!V194*Calculateur!X194*VLOOKUP('Données projet'!$B$9,Paramètres!$A$1:$I$89,3,0)*0.475*44/12</f>
        <v>0.58246616336653056</v>
      </c>
      <c r="AB194" s="21">
        <f>EXP(-LN(2)/2)*AB193+(1-EXP(-LN(2)/2))/(LN(2)/2)*V194*Y194*VLOOKUP('Données projet'!$B$9,Paramètres!$A$1:$I$89,3,0)*0.475*44/12</f>
        <v>4.3278323214755591E-25</v>
      </c>
      <c r="AC194" s="22">
        <f t="shared" si="163"/>
        <v>25.734954527217123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227.99999999999994</v>
      </c>
      <c r="AJ194" s="13">
        <f>AI194*VLOOKUP('Données projet'!$B$10,Paramètres!$A$1:$I$89,3,0)*VLOOKUP('Données projet'!$B$10,Paramètres!$A$1:$I$89,5,0)</f>
        <v>199.18079999999998</v>
      </c>
      <c r="AK194" s="13">
        <f t="shared" si="164"/>
        <v>49.564089376413683</v>
      </c>
      <c r="AL194" s="20">
        <f t="shared" si="165"/>
        <v>433.23068233058711</v>
      </c>
      <c r="AM194" s="59">
        <f t="shared" si="113"/>
        <v>726.56401566392037</v>
      </c>
      <c r="AN194" s="59">
        <f ca="1">AVERAGE(OFFSET($AM$3,0,0,'Données projet'!$E$10+1,1))-AVERAGE(OFFSET($H$3,0,0,'Données projet'!$E$10+1,1))</f>
        <v>242.48830542479988</v>
      </c>
      <c r="AO194" s="59">
        <f t="shared" si="144"/>
        <v>226.11219631227061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8.1993338444587778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8.1993338444587778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18.829999999999529</v>
      </c>
      <c r="BE194" s="13">
        <f>BD194*VLOOKUP('Données projet'!$B$11,Paramètres!$A$1:$I$89,3,0)*VLOOKUP('Données projet'!$B$11,Paramètres!$A$1:$I$89,5,0)</f>
        <v>19.093619999999522</v>
      </c>
      <c r="BF194" s="13">
        <f t="shared" si="167"/>
        <v>6.2423044268988255</v>
      </c>
      <c r="BG194" s="20">
        <f t="shared" si="168"/>
        <v>44.126735043514621</v>
      </c>
      <c r="BH194" s="59">
        <f t="shared" si="116"/>
        <v>337.46006837684791</v>
      </c>
      <c r="BI194" s="59">
        <f ca="1">AVERAGE(OFFSET($BH$3,0,0,'Données projet'!$E$11+1,1))-AVERAGE(OFFSET($H$3,0,0,'Données projet'!$E$11+1,1))</f>
        <v>402.5435069258703</v>
      </c>
      <c r="BJ194" s="59">
        <f t="shared" si="146"/>
        <v>163.60655195816349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138.66700100651744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138.66700100651744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18.829999999999529</v>
      </c>
      <c r="BZ194" s="13">
        <f>BY194*VLOOKUP('Données projet'!$B$12,Paramètres!$A$1:$I$89,3,0)*VLOOKUP('Données projet'!$B$12,Paramètres!$A$1:$I$89,5,0)</f>
        <v>17.037383999999573</v>
      </c>
      <c r="CA194" s="13">
        <f t="shared" si="170"/>
        <v>5.6444246244669305</v>
      </c>
      <c r="CB194" s="20">
        <f t="shared" si="171"/>
        <v>39.504150020945822</v>
      </c>
      <c r="CC194" s="59">
        <f t="shared" si="119"/>
        <v>332.83748335427913</v>
      </c>
      <c r="CD194" s="59">
        <f ca="1">AVERAGE(OFFSET($CC$3,0,0,'Données projet'!$E$12+1,1))-AVERAGE(OFFSET($H$3,0,0,'Données projet'!$E$12+1,1))</f>
        <v>350.91577977538822</v>
      </c>
      <c r="CE194" s="59">
        <f t="shared" si="148"/>
        <v>142.87103313412547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123.73363166735395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123.73363166735395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266.99999999999983</v>
      </c>
      <c r="CU194" s="17">
        <f>CT194*VLOOKUP('Données projet'!$B$13,Paramètres!$A$1:$I$89,3,0)*VLOOKUP('Données projet'!$B$13,Paramètres!$A$1:$I$89,5,0)</f>
        <v>216.59039999999987</v>
      </c>
      <c r="CV194" s="13">
        <f t="shared" si="173"/>
        <v>53.373153688190904</v>
      </c>
      <c r="CW194" s="20">
        <f t="shared" si="174"/>
        <v>470.18652267359886</v>
      </c>
      <c r="CX194" s="59">
        <f t="shared" si="122"/>
        <v>763.51985600693217</v>
      </c>
      <c r="CY194" s="59">
        <f ca="1">AVERAGE(OFFSET($CX$3,0,0,'Données projet'!$E$13+1,1))-AVERAGE(OFFSET($H$3,0,0,'Données projet'!$E$13+1,1))</f>
        <v>230.38929580146208</v>
      </c>
      <c r="CZ194" s="59">
        <f t="shared" si="150"/>
        <v>227.1847788696258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4.9101575468487066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4.9101575468487066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3.009999999999792</v>
      </c>
      <c r="DP194" s="17">
        <f>DO194*VLOOKUP('Données projet'!$B$14,Paramètres!$A$1:$I$89,3,0)*VLOOKUP('Données projet'!$B$14,Paramètres!$A$1:$I$89,5,0)</f>
        <v>1.7999799999998758</v>
      </c>
      <c r="DQ194" s="13">
        <f t="shared" si="176"/>
        <v>0.77465189310357685</v>
      </c>
      <c r="DR194" s="20">
        <f t="shared" si="177"/>
        <v>4.4841505471551795</v>
      </c>
      <c r="DS194" s="59">
        <f t="shared" si="125"/>
        <v>297.81748388048851</v>
      </c>
      <c r="DT194" s="59">
        <f ca="1">AVERAGE(OFFSET($DS$3,0,0,'Données projet'!$E$14+1,1))-AVERAGE(OFFSET($H$3,0,0,'Données projet'!$E$14+1,1))</f>
        <v>145.97103392561058</v>
      </c>
      <c r="DU194" s="59">
        <f t="shared" si="152"/>
        <v>62.920713953681172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32.199949723059973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32.199949723059973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0.8600000000003547</v>
      </c>
      <c r="O195" s="13">
        <f>N195*VLOOKUP('Données projet'!$B$9,Paramètres!$A$1:$I$89,3,0)*VLOOKUP('Données projet'!$B$9,Paramètres!$A$1:$I$89,5,0)</f>
        <v>0.48074000000019829</v>
      </c>
      <c r="P195" s="13">
        <f t="shared" si="141"/>
        <v>0.24126147010950588</v>
      </c>
      <c r="Q195" s="20">
        <f t="shared" si="162"/>
        <v>1.2574858937744013</v>
      </c>
      <c r="R195" s="59">
        <f t="shared" ref="R195:R203" si="191">Q195+(I195+J195)*44/12</f>
        <v>294.59081922710772</v>
      </c>
      <c r="S195" s="59">
        <f ca="1">AVERAGE(OFFSET($R$3,0,0,'Données projet'!$E$9+1,1))-AVERAGE(OFFSET($H$3,0,0,'Données projet'!$E$9+1,1))</f>
        <v>350.01600895263641</v>
      </c>
      <c r="T195" s="59">
        <f t="shared" si="142"/>
        <v>464.08921044376882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24.659263408538539</v>
      </c>
      <c r="AA195" s="21">
        <f>EXP(-LN(2)/25)*AA194+(1-EXP(-LN(2)/25))/(LN(2)/25)*Calculateur!V195*Calculateur!X195*VLOOKUP('Données projet'!$B$9,Paramètres!$A$1:$I$89,3,0)*0.475*44/12</f>
        <v>0.56653859549870855</v>
      </c>
      <c r="AB195" s="21">
        <f>EXP(-LN(2)/2)*AB194+(1-EXP(-LN(2)/2))/(LN(2)/2)*V195*Y195*VLOOKUP('Données projet'!$B$9,Paramètres!$A$1:$I$89,3,0)*0.475*44/12</f>
        <v>3.0602395823536863E-25</v>
      </c>
      <c r="AC195" s="22">
        <f t="shared" si="163"/>
        <v>25.225802004037249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227.99999999999994</v>
      </c>
      <c r="AJ195" s="13">
        <f>AI195*VLOOKUP('Données projet'!$B$10,Paramètres!$A$1:$I$89,3,0)*VLOOKUP('Données projet'!$B$10,Paramètres!$A$1:$I$89,5,0)</f>
        <v>199.18079999999998</v>
      </c>
      <c r="AK195" s="13">
        <f t="shared" si="164"/>
        <v>49.564089376413683</v>
      </c>
      <c r="AL195" s="20">
        <f t="shared" si="165"/>
        <v>433.23068233058711</v>
      </c>
      <c r="AM195" s="59">
        <f t="shared" si="113"/>
        <v>726.56401566392037</v>
      </c>
      <c r="AN195" s="59">
        <f ca="1">AVERAGE(OFFSET($AM$3,0,0,'Données projet'!$E$10+1,1))-AVERAGE(OFFSET($H$3,0,0,'Données projet'!$E$10+1,1))</f>
        <v>242.48830542479988</v>
      </c>
      <c r="AO195" s="59">
        <f t="shared" si="144"/>
        <v>226.11219631227061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8.0385499088687684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8.0385499088687684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18.829999999999529</v>
      </c>
      <c r="BE195" s="13">
        <f>BD195*VLOOKUP('Données projet'!$B$11,Paramètres!$A$1:$I$89,3,0)*VLOOKUP('Données projet'!$B$11,Paramètres!$A$1:$I$89,5,0)</f>
        <v>19.093619999999522</v>
      </c>
      <c r="BF195" s="13">
        <f t="shared" si="167"/>
        <v>6.2423044268988255</v>
      </c>
      <c r="BG195" s="20">
        <f t="shared" si="168"/>
        <v>44.126735043514621</v>
      </c>
      <c r="BH195" s="59">
        <f t="shared" si="116"/>
        <v>337.46006837684791</v>
      </c>
      <c r="BI195" s="59">
        <f ca="1">AVERAGE(OFFSET($BH$3,0,0,'Données projet'!$E$11+1,1))-AVERAGE(OFFSET($H$3,0,0,'Données projet'!$E$11+1,1))</f>
        <v>402.5435069258703</v>
      </c>
      <c r="BJ195" s="59">
        <f t="shared" si="146"/>
        <v>163.60655195816349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135.9478256952988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135.9478256952988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18.829999999999529</v>
      </c>
      <c r="BZ195" s="13">
        <f>BY195*VLOOKUP('Données projet'!$B$12,Paramètres!$A$1:$I$89,3,0)*VLOOKUP('Données projet'!$B$12,Paramètres!$A$1:$I$89,5,0)</f>
        <v>17.037383999999573</v>
      </c>
      <c r="CA195" s="13">
        <f t="shared" si="170"/>
        <v>5.6444246244669305</v>
      </c>
      <c r="CB195" s="20">
        <f t="shared" si="171"/>
        <v>39.504150020945822</v>
      </c>
      <c r="CC195" s="59">
        <f t="shared" si="119"/>
        <v>332.83748335427913</v>
      </c>
      <c r="CD195" s="59">
        <f ca="1">AVERAGE(OFFSET($CC$3,0,0,'Données projet'!$E$12+1,1))-AVERAGE(OFFSET($H$3,0,0,'Données projet'!$E$12+1,1))</f>
        <v>350.91577977538822</v>
      </c>
      <c r="CE195" s="59">
        <f t="shared" si="148"/>
        <v>142.87103313412547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121.3072906204204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121.3072906204204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266.99999999999983</v>
      </c>
      <c r="CU195" s="17">
        <f>CT195*VLOOKUP('Données projet'!$B$13,Paramètres!$A$1:$I$89,3,0)*VLOOKUP('Données projet'!$B$13,Paramètres!$A$1:$I$89,5,0)</f>
        <v>216.59039999999987</v>
      </c>
      <c r="CV195" s="13">
        <f t="shared" si="173"/>
        <v>53.373153688190904</v>
      </c>
      <c r="CW195" s="20">
        <f t="shared" si="174"/>
        <v>470.18652267359886</v>
      </c>
      <c r="CX195" s="59">
        <f t="shared" si="122"/>
        <v>763.51985600693217</v>
      </c>
      <c r="CY195" s="59">
        <f ca="1">AVERAGE(OFFSET($CX$3,0,0,'Données projet'!$E$13+1,1))-AVERAGE(OFFSET($H$3,0,0,'Données projet'!$E$13+1,1))</f>
        <v>230.38929580146208</v>
      </c>
      <c r="CZ195" s="59">
        <f t="shared" si="150"/>
        <v>227.1847788696258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4.8138723522553857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4.8138723522553857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3.009999999999792</v>
      </c>
      <c r="DP195" s="17">
        <f>DO195*VLOOKUP('Données projet'!$B$14,Paramètres!$A$1:$I$89,3,0)*VLOOKUP('Données projet'!$B$14,Paramètres!$A$1:$I$89,5,0)</f>
        <v>1.7999799999998758</v>
      </c>
      <c r="DQ195" s="13">
        <f t="shared" si="176"/>
        <v>0.77465189310357685</v>
      </c>
      <c r="DR195" s="20">
        <f t="shared" si="177"/>
        <v>4.4841505471551795</v>
      </c>
      <c r="DS195" s="59">
        <f t="shared" si="125"/>
        <v>297.81748388048851</v>
      </c>
      <c r="DT195" s="59">
        <f ca="1">AVERAGE(OFFSET($DS$3,0,0,'Données projet'!$E$14+1,1))-AVERAGE(OFFSET($H$3,0,0,'Données projet'!$E$14+1,1))</f>
        <v>145.97103392561058</v>
      </c>
      <c r="DU195" s="59">
        <f t="shared" si="152"/>
        <v>62.920713953681172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31.568528349020806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31.568528349020806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0.8600000000003547</v>
      </c>
      <c r="O196" s="13">
        <f>N196*VLOOKUP('Données projet'!$B$9,Paramètres!$A$1:$I$89,3,0)*VLOOKUP('Données projet'!$B$9,Paramètres!$A$1:$I$89,5,0)</f>
        <v>0.48074000000019829</v>
      </c>
      <c r="P196" s="13">
        <f t="shared" si="141"/>
        <v>0.24126147010950588</v>
      </c>
      <c r="Q196" s="20">
        <f t="shared" si="162"/>
        <v>1.2574858937744013</v>
      </c>
      <c r="R196" s="59">
        <f t="shared" si="191"/>
        <v>294.59081922710772</v>
      </c>
      <c r="S196" s="59">
        <f ca="1">AVERAGE(OFFSET($R$3,0,0,'Données projet'!$E$9+1,1))-AVERAGE(OFFSET($H$3,0,0,'Données projet'!$E$9+1,1))</f>
        <v>350.01600895263641</v>
      </c>
      <c r="T196" s="59">
        <f t="shared" si="142"/>
        <v>464.08921044376882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24.175710293762634</v>
      </c>
      <c r="AA196" s="21">
        <f>EXP(-LN(2)/25)*AA195+(1-EXP(-LN(2)/25))/(LN(2)/25)*Calculateur!V196*Calculateur!X196*VLOOKUP('Données projet'!$B$9,Paramètres!$A$1:$I$89,3,0)*0.475*44/12</f>
        <v>0.55104656781182648</v>
      </c>
      <c r="AB196" s="21">
        <f>EXP(-LN(2)/2)*AB195+(1-EXP(-LN(2)/2))/(LN(2)/2)*V196*Y196*VLOOKUP('Données projet'!$B$9,Paramètres!$A$1:$I$89,3,0)*0.475*44/12</f>
        <v>2.1639161607377796E-25</v>
      </c>
      <c r="AC196" s="22">
        <f t="shared" si="163"/>
        <v>24.726756861574462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227.99999999999994</v>
      </c>
      <c r="AJ196" s="13">
        <f>AI196*VLOOKUP('Données projet'!$B$10,Paramètres!$A$1:$I$89,3,0)*VLOOKUP('Données projet'!$B$10,Paramètres!$A$1:$I$89,5,0)</f>
        <v>199.18079999999998</v>
      </c>
      <c r="AK196" s="13">
        <f t="shared" si="164"/>
        <v>49.564089376413683</v>
      </c>
      <c r="AL196" s="20">
        <f t="shared" si="165"/>
        <v>433.23068233058711</v>
      </c>
      <c r="AM196" s="59">
        <f t="shared" ref="AM196:AM203" si="193">AL196+(AD196+AE196)*44/12</f>
        <v>726.56401566392037</v>
      </c>
      <c r="AN196" s="59">
        <f ca="1">AVERAGE(OFFSET($AM$3,0,0,'Données projet'!$E$10+1,1))-AVERAGE(OFFSET($H$3,0,0,'Données projet'!$E$10+1,1))</f>
        <v>242.48830542479988</v>
      </c>
      <c r="AO196" s="59">
        <f t="shared" si="144"/>
        <v>226.11219631227061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7.8809188481871617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7.8809188481871617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18.829999999999529</v>
      </c>
      <c r="BE196" s="13">
        <f>BD196*VLOOKUP('Données projet'!$B$11,Paramètres!$A$1:$I$89,3,0)*VLOOKUP('Données projet'!$B$11,Paramètres!$A$1:$I$89,5,0)</f>
        <v>19.093619999999522</v>
      </c>
      <c r="BF196" s="13">
        <f t="shared" si="167"/>
        <v>6.2423044268988255</v>
      </c>
      <c r="BG196" s="20">
        <f t="shared" si="168"/>
        <v>44.126735043514621</v>
      </c>
      <c r="BH196" s="59">
        <f t="shared" ref="BH196:BH203" si="194">BG196+(AY196+AZ196)*44/12</f>
        <v>337.46006837684791</v>
      </c>
      <c r="BI196" s="59">
        <f ca="1">AVERAGE(OFFSET($BH$3,0,0,'Données projet'!$E$11+1,1))-AVERAGE(OFFSET($H$3,0,0,'Données projet'!$E$11+1,1))</f>
        <v>402.5435069258703</v>
      </c>
      <c r="BJ196" s="59">
        <f t="shared" si="146"/>
        <v>163.60655195816349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133.2819717534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133.2819717534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18.829999999999529</v>
      </c>
      <c r="BZ196" s="13">
        <f>BY196*VLOOKUP('Données projet'!$B$12,Paramètres!$A$1:$I$89,3,0)*VLOOKUP('Données projet'!$B$12,Paramètres!$A$1:$I$89,5,0)</f>
        <v>17.037383999999573</v>
      </c>
      <c r="CA196" s="13">
        <f t="shared" si="170"/>
        <v>5.6444246244669305</v>
      </c>
      <c r="CB196" s="20">
        <f t="shared" si="171"/>
        <v>39.504150020945822</v>
      </c>
      <c r="CC196" s="59">
        <f t="shared" ref="CC196:CC203" si="195">CB196+(BT196+BU196)*44/12</f>
        <v>332.83748335427913</v>
      </c>
      <c r="CD196" s="59">
        <f ca="1">AVERAGE(OFFSET($CC$3,0,0,'Données projet'!$E$12+1,1))-AVERAGE(OFFSET($H$3,0,0,'Données projet'!$E$12+1,1))</f>
        <v>350.91577977538822</v>
      </c>
      <c r="CE196" s="59">
        <f t="shared" si="148"/>
        <v>142.87103313412547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118.92852864149532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118.92852864149532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266.99999999999983</v>
      </c>
      <c r="CU196" s="17">
        <f>CT196*VLOOKUP('Données projet'!$B$13,Paramètres!$A$1:$I$89,3,0)*VLOOKUP('Données projet'!$B$13,Paramètres!$A$1:$I$89,5,0)</f>
        <v>216.59039999999987</v>
      </c>
      <c r="CV196" s="13">
        <f t="shared" si="173"/>
        <v>53.373153688190904</v>
      </c>
      <c r="CW196" s="20">
        <f t="shared" si="174"/>
        <v>470.18652267359886</v>
      </c>
      <c r="CX196" s="59">
        <f t="shared" ref="CX196:CX203" si="196">CW196+(CO196+CP196)*44/12</f>
        <v>763.51985600693217</v>
      </c>
      <c r="CY196" s="59">
        <f ca="1">AVERAGE(OFFSET($CX$3,0,0,'Données projet'!$E$13+1,1))-AVERAGE(OFFSET($H$3,0,0,'Données projet'!$E$13+1,1))</f>
        <v>230.38929580146208</v>
      </c>
      <c r="CZ196" s="59">
        <f t="shared" si="150"/>
        <v>227.1847788696258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4.7194752515998699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4.7194752515998699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3.009999999999792</v>
      </c>
      <c r="DP196" s="17">
        <f>DO196*VLOOKUP('Données projet'!$B$14,Paramètres!$A$1:$I$89,3,0)*VLOOKUP('Données projet'!$B$14,Paramètres!$A$1:$I$89,5,0)</f>
        <v>1.7999799999998758</v>
      </c>
      <c r="DQ196" s="13">
        <f t="shared" si="176"/>
        <v>0.77465189310357685</v>
      </c>
      <c r="DR196" s="20">
        <f t="shared" si="177"/>
        <v>4.4841505471551795</v>
      </c>
      <c r="DS196" s="59">
        <f t="shared" ref="DS196:DS203" si="197">DR196+(DJ196+DK196)*44/12</f>
        <v>297.81748388048851</v>
      </c>
      <c r="DT196" s="59">
        <f ca="1">AVERAGE(OFFSET($DS$3,0,0,'Données projet'!$E$14+1,1))-AVERAGE(OFFSET($H$3,0,0,'Données projet'!$E$14+1,1))</f>
        <v>145.97103392561058</v>
      </c>
      <c r="DU196" s="59">
        <f t="shared" si="152"/>
        <v>62.920713953681172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30.949488762997536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30.949488762997536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0.8600000000003547</v>
      </c>
      <c r="O197" s="13">
        <f>N197*VLOOKUP('Données projet'!$B$9,Paramètres!$A$1:$I$89,3,0)*VLOOKUP('Données projet'!$B$9,Paramètres!$A$1:$I$89,5,0)</f>
        <v>0.48074000000019829</v>
      </c>
      <c r="P197" s="13">
        <f t="shared" ref="P197:P203" si="203">EXP(-1.0587+0.8836*LN(O197)+0.284)</f>
        <v>0.24126147010950588</v>
      </c>
      <c r="Q197" s="20">
        <f t="shared" si="162"/>
        <v>1.2574858937744013</v>
      </c>
      <c r="R197" s="59">
        <f t="shared" si="191"/>
        <v>294.59081922710772</v>
      </c>
      <c r="S197" s="59">
        <f ca="1">AVERAGE(OFFSET($R$3,0,0,'Données projet'!$E$9+1,1))-AVERAGE(OFFSET($H$3,0,0,'Données projet'!$E$9+1,1))</f>
        <v>350.01600895263641</v>
      </c>
      <c r="T197" s="59">
        <f t="shared" ref="T197:T203" si="204">$T$3</f>
        <v>464.08921044376882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23.701639360629208</v>
      </c>
      <c r="AA197" s="21">
        <f>EXP(-LN(2)/25)*AA196+(1-EXP(-LN(2)/25))/(LN(2)/25)*Calculateur!V197*Calculateur!X197*VLOOKUP('Données projet'!$B$9,Paramètres!$A$1:$I$89,3,0)*0.475*44/12</f>
        <v>0.53597817043673257</v>
      </c>
      <c r="AB197" s="21">
        <f>EXP(-LN(2)/2)*AB196+(1-EXP(-LN(2)/2))/(LN(2)/2)*V197*Y197*VLOOKUP('Données projet'!$B$9,Paramètres!$A$1:$I$89,3,0)*0.475*44/12</f>
        <v>1.5301197911768432E-25</v>
      </c>
      <c r="AC197" s="22">
        <f t="shared" si="163"/>
        <v>24.23761753106594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227.99999999999994</v>
      </c>
      <c r="AJ197" s="13">
        <f>AI197*VLOOKUP('Données projet'!$B$10,Paramètres!$A$1:$I$89,3,0)*VLOOKUP('Données projet'!$B$10,Paramètres!$A$1:$I$89,5,0)</f>
        <v>199.18079999999998</v>
      </c>
      <c r="AK197" s="13">
        <f t="shared" si="164"/>
        <v>49.564089376413683</v>
      </c>
      <c r="AL197" s="20">
        <f t="shared" si="165"/>
        <v>433.23068233058711</v>
      </c>
      <c r="AM197" s="59">
        <f t="shared" si="193"/>
        <v>726.56401566392037</v>
      </c>
      <c r="AN197" s="59">
        <f ca="1">AVERAGE(OFFSET($AM$3,0,0,'Données projet'!$E$10+1,1))-AVERAGE(OFFSET($H$3,0,0,'Données projet'!$E$10+1,1))</f>
        <v>242.48830542479988</v>
      </c>
      <c r="AO197" s="59">
        <f t="shared" ref="AO197:AO203" si="205">$AO$3</f>
        <v>226.11219631227061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7.7263788364600687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7.7263788364600687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18.829999999999529</v>
      </c>
      <c r="BE197" s="13">
        <f>BD197*VLOOKUP('Données projet'!$B$11,Paramètres!$A$1:$I$89,3,0)*VLOOKUP('Données projet'!$B$11,Paramètres!$A$1:$I$89,5,0)</f>
        <v>19.093619999999522</v>
      </c>
      <c r="BF197" s="13">
        <f t="shared" si="167"/>
        <v>6.2423044268988255</v>
      </c>
      <c r="BG197" s="20">
        <f t="shared" si="168"/>
        <v>44.126735043514621</v>
      </c>
      <c r="BH197" s="59">
        <f t="shared" si="194"/>
        <v>337.46006837684791</v>
      </c>
      <c r="BI197" s="59">
        <f ca="1">AVERAGE(OFFSET($BH$3,0,0,'Données projet'!$E$11+1,1))-AVERAGE(OFFSET($H$3,0,0,'Données projet'!$E$11+1,1))</f>
        <v>402.5435069258703</v>
      </c>
      <c r="BJ197" s="59">
        <f t="shared" ref="BJ197:BJ203" si="206">$BJ$3</f>
        <v>163.60655195816349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130.6683935812915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130.6683935812915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18.829999999999529</v>
      </c>
      <c r="BZ197" s="13">
        <f>BY197*VLOOKUP('Données projet'!$B$12,Paramètres!$A$1:$I$89,3,0)*VLOOKUP('Données projet'!$B$12,Paramètres!$A$1:$I$89,5,0)</f>
        <v>17.037383999999573</v>
      </c>
      <c r="CA197" s="13">
        <f t="shared" si="170"/>
        <v>5.6444246244669305</v>
      </c>
      <c r="CB197" s="20">
        <f t="shared" si="171"/>
        <v>39.504150020945822</v>
      </c>
      <c r="CC197" s="59">
        <f t="shared" si="195"/>
        <v>332.83748335427913</v>
      </c>
      <c r="CD197" s="59">
        <f ca="1">AVERAGE(OFFSET($CC$3,0,0,'Données projet'!$E$12+1,1))-AVERAGE(OFFSET($H$3,0,0,'Données projet'!$E$12+1,1))</f>
        <v>350.91577977538822</v>
      </c>
      <c r="CE197" s="59">
        <f t="shared" ref="CE197:CE203" si="207">$CE$3</f>
        <v>142.87103313412547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116.59641273407541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116.59641273407541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266.99999999999983</v>
      </c>
      <c r="CU197" s="17">
        <f>CT197*VLOOKUP('Données projet'!$B$13,Paramètres!$A$1:$I$89,3,0)*VLOOKUP('Données projet'!$B$13,Paramètres!$A$1:$I$89,5,0)</f>
        <v>216.59039999999987</v>
      </c>
      <c r="CV197" s="13">
        <f t="shared" si="173"/>
        <v>53.373153688190904</v>
      </c>
      <c r="CW197" s="20">
        <f t="shared" si="174"/>
        <v>470.18652267359886</v>
      </c>
      <c r="CX197" s="59">
        <f t="shared" si="196"/>
        <v>763.51985600693217</v>
      </c>
      <c r="CY197" s="59">
        <f ca="1">AVERAGE(OFFSET($CX$3,0,0,'Données projet'!$E$13+1,1))-AVERAGE(OFFSET($H$3,0,0,'Données projet'!$E$13+1,1))</f>
        <v>230.38929580146208</v>
      </c>
      <c r="CZ197" s="59">
        <f t="shared" ref="CZ197:CZ203" si="208">$CZ$3</f>
        <v>227.1847788696258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4.6269292205116619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4.6269292205116619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3.009999999999792</v>
      </c>
      <c r="DP197" s="17">
        <f>DO197*VLOOKUP('Données projet'!$B$14,Paramètres!$A$1:$I$89,3,0)*VLOOKUP('Données projet'!$B$14,Paramètres!$A$1:$I$89,5,0)</f>
        <v>1.7999799999998758</v>
      </c>
      <c r="DQ197" s="13">
        <f t="shared" si="176"/>
        <v>0.77465189310357685</v>
      </c>
      <c r="DR197" s="20">
        <f t="shared" si="177"/>
        <v>4.4841505471551795</v>
      </c>
      <c r="DS197" s="59">
        <f t="shared" si="197"/>
        <v>297.81748388048851</v>
      </c>
      <c r="DT197" s="59">
        <f ca="1">AVERAGE(OFFSET($DS$3,0,0,'Données projet'!$E$14+1,1))-AVERAGE(OFFSET($H$3,0,0,'Données projet'!$E$14+1,1))</f>
        <v>145.97103392561058</v>
      </c>
      <c r="DU197" s="59">
        <f t="shared" ref="DU197:DU203" si="209">$DU$3</f>
        <v>62.920713953681172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30.34258816567932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30.34258816567932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0.8600000000003547</v>
      </c>
      <c r="O198" s="13">
        <f>N198*VLOOKUP('Données projet'!$B$9,Paramètres!$A$1:$I$89,3,0)*VLOOKUP('Données projet'!$B$9,Paramètres!$A$1:$I$89,5,0)</f>
        <v>0.48074000000019829</v>
      </c>
      <c r="P198" s="13">
        <f t="shared" si="203"/>
        <v>0.24126147010950588</v>
      </c>
      <c r="Q198" s="20">
        <f t="shared" si="162"/>
        <v>1.2574858937744013</v>
      </c>
      <c r="R198" s="59">
        <f t="shared" si="191"/>
        <v>294.59081922710772</v>
      </c>
      <c r="S198" s="59">
        <f ca="1">AVERAGE(OFFSET($R$3,0,0,'Données projet'!$E$9+1,1))-AVERAGE(OFFSET($H$3,0,0,'Données projet'!$E$9+1,1))</f>
        <v>350.01600895263641</v>
      </c>
      <c r="T198" s="59">
        <f t="shared" si="204"/>
        <v>464.08921044376882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23.236864669339813</v>
      </c>
      <c r="AA198" s="21">
        <f>EXP(-LN(2)/25)*AA197+(1-EXP(-LN(2)/25))/(LN(2)/25)*Calculateur!V198*Calculateur!X198*VLOOKUP('Données projet'!$B$9,Paramètres!$A$1:$I$89,3,0)*0.475*44/12</f>
        <v>0.52132181918027309</v>
      </c>
      <c r="AB198" s="21">
        <f>EXP(-LN(2)/2)*AB197+(1-EXP(-LN(2)/2))/(LN(2)/2)*V198*Y198*VLOOKUP('Données projet'!$B$9,Paramètres!$A$1:$I$89,3,0)*0.475*44/12</f>
        <v>1.0819580803688898E-25</v>
      </c>
      <c r="AC198" s="22">
        <f t="shared" si="163"/>
        <v>23.758186488520085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227.99999999999994</v>
      </c>
      <c r="AJ198" s="13">
        <f>AI198*VLOOKUP('Données projet'!$B$10,Paramètres!$A$1:$I$89,3,0)*VLOOKUP('Données projet'!$B$10,Paramètres!$A$1:$I$89,5,0)</f>
        <v>199.18079999999998</v>
      </c>
      <c r="AK198" s="13">
        <f t="shared" si="164"/>
        <v>49.564089376413683</v>
      </c>
      <c r="AL198" s="20">
        <f t="shared" si="165"/>
        <v>433.23068233058711</v>
      </c>
      <c r="AM198" s="59">
        <f t="shared" si="193"/>
        <v>726.56401566392037</v>
      </c>
      <c r="AN198" s="59">
        <f ca="1">AVERAGE(OFFSET($AM$3,0,0,'Données projet'!$E$10+1,1))-AVERAGE(OFFSET($H$3,0,0,'Données projet'!$E$10+1,1))</f>
        <v>242.48830542479988</v>
      </c>
      <c r="AO198" s="59">
        <f t="shared" si="205"/>
        <v>226.11219631227061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7.5748692601028438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7.5748692601028438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18.829999999999529</v>
      </c>
      <c r="BE198" s="13">
        <f>BD198*VLOOKUP('Données projet'!$B$11,Paramètres!$A$1:$I$89,3,0)*VLOOKUP('Données projet'!$B$11,Paramètres!$A$1:$I$89,5,0)</f>
        <v>19.093619999999522</v>
      </c>
      <c r="BF198" s="13">
        <f t="shared" si="167"/>
        <v>6.2423044268988255</v>
      </c>
      <c r="BG198" s="20">
        <f t="shared" si="168"/>
        <v>44.126735043514621</v>
      </c>
      <c r="BH198" s="59">
        <f t="shared" si="194"/>
        <v>337.46006837684791</v>
      </c>
      <c r="BI198" s="59">
        <f ca="1">AVERAGE(OFFSET($BH$3,0,0,'Données projet'!$E$11+1,1))-AVERAGE(OFFSET($H$3,0,0,'Données projet'!$E$11+1,1))</f>
        <v>402.5435069258703</v>
      </c>
      <c r="BJ198" s="59">
        <f t="shared" si="206"/>
        <v>163.60655195816349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128.10606608301273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128.10606608301273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18.829999999999529</v>
      </c>
      <c r="BZ198" s="13">
        <f>BY198*VLOOKUP('Données projet'!$B$12,Paramètres!$A$1:$I$89,3,0)*VLOOKUP('Données projet'!$B$12,Paramètres!$A$1:$I$89,5,0)</f>
        <v>17.037383999999573</v>
      </c>
      <c r="CA198" s="13">
        <f t="shared" si="170"/>
        <v>5.6444246244669305</v>
      </c>
      <c r="CB198" s="20">
        <f t="shared" si="171"/>
        <v>39.504150020945822</v>
      </c>
      <c r="CC198" s="59">
        <f t="shared" si="195"/>
        <v>332.83748335427913</v>
      </c>
      <c r="CD198" s="59">
        <f ca="1">AVERAGE(OFFSET($CC$3,0,0,'Données projet'!$E$12+1,1))-AVERAGE(OFFSET($H$3,0,0,'Données projet'!$E$12+1,1))</f>
        <v>350.91577977538822</v>
      </c>
      <c r="CE198" s="59">
        <f t="shared" si="207"/>
        <v>142.87103313412547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114.31002819714976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114.31002819714976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266.99999999999983</v>
      </c>
      <c r="CU198" s="17">
        <f>CT198*VLOOKUP('Données projet'!$B$13,Paramètres!$A$1:$I$89,3,0)*VLOOKUP('Données projet'!$B$13,Paramètres!$A$1:$I$89,5,0)</f>
        <v>216.59039999999987</v>
      </c>
      <c r="CV198" s="13">
        <f t="shared" si="173"/>
        <v>53.373153688190904</v>
      </c>
      <c r="CW198" s="20">
        <f t="shared" si="174"/>
        <v>470.18652267359886</v>
      </c>
      <c r="CX198" s="59">
        <f t="shared" si="196"/>
        <v>763.51985600693217</v>
      </c>
      <c r="CY198" s="59">
        <f ca="1">AVERAGE(OFFSET($CX$3,0,0,'Données projet'!$E$13+1,1))-AVERAGE(OFFSET($H$3,0,0,'Données projet'!$E$13+1,1))</f>
        <v>230.38929580146208</v>
      </c>
      <c r="CZ198" s="59">
        <f t="shared" si="208"/>
        <v>227.1847788696258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4.5361979606455884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4.5361979606455884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3.009999999999792</v>
      </c>
      <c r="DP198" s="17">
        <f>DO198*VLOOKUP('Données projet'!$B$14,Paramètres!$A$1:$I$89,3,0)*VLOOKUP('Données projet'!$B$14,Paramètres!$A$1:$I$89,5,0)</f>
        <v>1.7999799999998758</v>
      </c>
      <c r="DQ198" s="13">
        <f t="shared" si="176"/>
        <v>0.77465189310357685</v>
      </c>
      <c r="DR198" s="20">
        <f t="shared" si="177"/>
        <v>4.4841505471551795</v>
      </c>
      <c r="DS198" s="59">
        <f t="shared" si="197"/>
        <v>297.81748388048851</v>
      </c>
      <c r="DT198" s="59">
        <f ca="1">AVERAGE(OFFSET($DS$3,0,0,'Données projet'!$E$14+1,1))-AVERAGE(OFFSET($H$3,0,0,'Données projet'!$E$14+1,1))</f>
        <v>145.97103392561058</v>
      </c>
      <c r="DU198" s="59">
        <f t="shared" si="209"/>
        <v>62.920713953681172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29.747588518901701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29.747588518901701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0.8600000000003547</v>
      </c>
      <c r="O199" s="13">
        <f>N199*VLOOKUP('Données projet'!$B$9,Paramètres!$A$1:$I$89,3,0)*VLOOKUP('Données projet'!$B$9,Paramètres!$A$1:$I$89,5,0)</f>
        <v>0.48074000000019829</v>
      </c>
      <c r="P199" s="13">
        <f t="shared" si="203"/>
        <v>0.24126147010950588</v>
      </c>
      <c r="Q199" s="20">
        <f t="shared" si="162"/>
        <v>1.2574858937744013</v>
      </c>
      <c r="R199" s="59">
        <f t="shared" si="191"/>
        <v>294.59081922710772</v>
      </c>
      <c r="S199" s="59">
        <f ca="1">AVERAGE(OFFSET($R$3,0,0,'Données projet'!$E$9+1,1))-AVERAGE(OFFSET($H$3,0,0,'Données projet'!$E$9+1,1))</f>
        <v>350.01600895263641</v>
      </c>
      <c r="T199" s="59">
        <f t="shared" si="204"/>
        <v>464.08921044376882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22.78120392626203</v>
      </c>
      <c r="AA199" s="21">
        <f>EXP(-LN(2)/25)*AA198+(1-EXP(-LN(2)/25))/(LN(2)/25)*Calculateur!V199*Calculateur!X199*VLOOKUP('Données projet'!$B$9,Paramètres!$A$1:$I$89,3,0)*0.475*44/12</f>
        <v>0.50706624661966559</v>
      </c>
      <c r="AB199" s="21">
        <f>EXP(-LN(2)/2)*AB198+(1-EXP(-LN(2)/2))/(LN(2)/2)*V199*Y199*VLOOKUP('Données projet'!$B$9,Paramètres!$A$1:$I$89,3,0)*0.475*44/12</f>
        <v>7.6505989558842158E-26</v>
      </c>
      <c r="AC199" s="22">
        <f t="shared" si="163"/>
        <v>23.288270172881695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227.99999999999994</v>
      </c>
      <c r="AJ199" s="13">
        <f>AI199*VLOOKUP('Données projet'!$B$10,Paramètres!$A$1:$I$89,3,0)*VLOOKUP('Données projet'!$B$10,Paramètres!$A$1:$I$89,5,0)</f>
        <v>199.18079999999998</v>
      </c>
      <c r="AK199" s="13">
        <f t="shared" si="164"/>
        <v>49.564089376413683</v>
      </c>
      <c r="AL199" s="20">
        <f t="shared" si="165"/>
        <v>433.23068233058711</v>
      </c>
      <c r="AM199" s="59">
        <f t="shared" si="193"/>
        <v>726.56401566392037</v>
      </c>
      <c r="AN199" s="59">
        <f ca="1">AVERAGE(OFFSET($AM$3,0,0,'Données projet'!$E$10+1,1))-AVERAGE(OFFSET($H$3,0,0,'Données projet'!$E$10+1,1))</f>
        <v>242.48830542479988</v>
      </c>
      <c r="AO199" s="59">
        <f t="shared" si="205"/>
        <v>226.11219631227061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7.4263306941262677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7.4263306941262677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18.829999999999529</v>
      </c>
      <c r="BE199" s="13">
        <f>BD199*VLOOKUP('Données projet'!$B$11,Paramètres!$A$1:$I$89,3,0)*VLOOKUP('Données projet'!$B$11,Paramètres!$A$1:$I$89,5,0)</f>
        <v>19.093619999999522</v>
      </c>
      <c r="BF199" s="13">
        <f t="shared" si="167"/>
        <v>6.2423044268988255</v>
      </c>
      <c r="BG199" s="20">
        <f t="shared" si="168"/>
        <v>44.126735043514621</v>
      </c>
      <c r="BH199" s="59">
        <f t="shared" si="194"/>
        <v>337.46006837684791</v>
      </c>
      <c r="BI199" s="59">
        <f ca="1">AVERAGE(OFFSET($BH$3,0,0,'Données projet'!$E$11+1,1))-AVERAGE(OFFSET($H$3,0,0,'Données projet'!$E$11+1,1))</f>
        <v>402.5435069258703</v>
      </c>
      <c r="BJ199" s="59">
        <f t="shared" si="206"/>
        <v>163.60655195816349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125.59398426410978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125.59398426410978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18.829999999999529</v>
      </c>
      <c r="BZ199" s="13">
        <f>BY199*VLOOKUP('Données projet'!$B$12,Paramètres!$A$1:$I$89,3,0)*VLOOKUP('Données projet'!$B$12,Paramètres!$A$1:$I$89,5,0)</f>
        <v>17.037383999999573</v>
      </c>
      <c r="CA199" s="13">
        <f t="shared" si="170"/>
        <v>5.6444246244669305</v>
      </c>
      <c r="CB199" s="20">
        <f t="shared" si="171"/>
        <v>39.504150020945822</v>
      </c>
      <c r="CC199" s="59">
        <f t="shared" si="195"/>
        <v>332.83748335427913</v>
      </c>
      <c r="CD199" s="59">
        <f ca="1">AVERAGE(OFFSET($CC$3,0,0,'Données projet'!$E$12+1,1))-AVERAGE(OFFSET($H$3,0,0,'Données projet'!$E$12+1,1))</f>
        <v>350.91577977538822</v>
      </c>
      <c r="CE199" s="59">
        <f t="shared" si="207"/>
        <v>142.87103313412547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112.06847826643636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112.06847826643636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266.99999999999983</v>
      </c>
      <c r="CU199" s="17">
        <f>CT199*VLOOKUP('Données projet'!$B$13,Paramètres!$A$1:$I$89,3,0)*VLOOKUP('Données projet'!$B$13,Paramètres!$A$1:$I$89,5,0)</f>
        <v>216.59039999999987</v>
      </c>
      <c r="CV199" s="13">
        <f t="shared" si="173"/>
        <v>53.373153688190904</v>
      </c>
      <c r="CW199" s="20">
        <f t="shared" si="174"/>
        <v>470.18652267359886</v>
      </c>
      <c r="CX199" s="59">
        <f t="shared" si="196"/>
        <v>763.51985600693217</v>
      </c>
      <c r="CY199" s="59">
        <f ca="1">AVERAGE(OFFSET($CX$3,0,0,'Données projet'!$E$13+1,1))-AVERAGE(OFFSET($H$3,0,0,'Données projet'!$E$13+1,1))</f>
        <v>230.38929580146208</v>
      </c>
      <c r="CZ199" s="59">
        <f t="shared" si="208"/>
        <v>227.1847788696258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4.4472458854448851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4.4472458854448851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3.009999999999792</v>
      </c>
      <c r="DP199" s="17">
        <f>DO199*VLOOKUP('Données projet'!$B$14,Paramètres!$A$1:$I$89,3,0)*VLOOKUP('Données projet'!$B$14,Paramètres!$A$1:$I$89,5,0)</f>
        <v>1.7999799999998758</v>
      </c>
      <c r="DQ199" s="13">
        <f t="shared" si="176"/>
        <v>0.77465189310357685</v>
      </c>
      <c r="DR199" s="20">
        <f t="shared" si="177"/>
        <v>4.4841505471551795</v>
      </c>
      <c r="DS199" s="59">
        <f t="shared" si="197"/>
        <v>297.81748388048851</v>
      </c>
      <c r="DT199" s="59">
        <f ca="1">AVERAGE(OFFSET($DS$3,0,0,'Données projet'!$E$14+1,1))-AVERAGE(OFFSET($H$3,0,0,'Données projet'!$E$14+1,1))</f>
        <v>145.97103392561058</v>
      </c>
      <c r="DU199" s="59">
        <f t="shared" si="209"/>
        <v>62.920713953681172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29.164256452283439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29.164256452283439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0.8600000000003547</v>
      </c>
      <c r="O200" s="13">
        <f>N200*VLOOKUP('Données projet'!$B$9,Paramètres!$A$1:$I$89,3,0)*VLOOKUP('Données projet'!$B$9,Paramètres!$A$1:$I$89,5,0)</f>
        <v>0.48074000000019829</v>
      </c>
      <c r="P200" s="13">
        <f t="shared" si="203"/>
        <v>0.24126147010950588</v>
      </c>
      <c r="Q200" s="20">
        <f t="shared" si="162"/>
        <v>1.2574858937744013</v>
      </c>
      <c r="R200" s="59">
        <f t="shared" si="191"/>
        <v>294.59081922710772</v>
      </c>
      <c r="S200" s="59">
        <f ca="1">AVERAGE(OFFSET($R$3,0,0,'Données projet'!$E$9+1,1))-AVERAGE(OFFSET($H$3,0,0,'Données projet'!$E$9+1,1))</f>
        <v>350.01600895263641</v>
      </c>
      <c r="T200" s="59">
        <f t="shared" si="204"/>
        <v>464.08921044376882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22.334478412430393</v>
      </c>
      <c r="AA200" s="21">
        <f>EXP(-LN(2)/25)*AA199+(1-EXP(-LN(2)/25))/(LN(2)/25)*Calculateur!V200*Calculateur!X200*VLOOKUP('Données projet'!$B$9,Paramètres!$A$1:$I$89,3,0)*0.475*44/12</f>
        <v>0.49320049344039585</v>
      </c>
      <c r="AB200" s="21">
        <f>EXP(-LN(2)/2)*AB199+(1-EXP(-LN(2)/2))/(LN(2)/2)*V200*Y200*VLOOKUP('Données projet'!$B$9,Paramètres!$A$1:$I$89,3,0)*0.475*44/12</f>
        <v>5.4097904018444489E-26</v>
      </c>
      <c r="AC200" s="22">
        <f t="shared" si="163"/>
        <v>22.827678905870787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227.99999999999994</v>
      </c>
      <c r="AJ200" s="13">
        <f>AI200*VLOOKUP('Données projet'!$B$10,Paramètres!$A$1:$I$89,3,0)*VLOOKUP('Données projet'!$B$10,Paramètres!$A$1:$I$89,5,0)</f>
        <v>199.18079999999998</v>
      </c>
      <c r="AK200" s="13">
        <f t="shared" si="164"/>
        <v>49.564089376413683</v>
      </c>
      <c r="AL200" s="20">
        <f t="shared" si="165"/>
        <v>433.23068233058711</v>
      </c>
      <c r="AM200" s="59">
        <f t="shared" si="193"/>
        <v>726.56401566392037</v>
      </c>
      <c r="AN200" s="59">
        <f ca="1">AVERAGE(OFFSET($AM$3,0,0,'Données projet'!$E$10+1,1))-AVERAGE(OFFSET($H$3,0,0,'Données projet'!$E$10+1,1))</f>
        <v>242.48830542479988</v>
      </c>
      <c r="AO200" s="59">
        <f t="shared" si="205"/>
        <v>226.11219631227061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7.2807048788289128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7.2807048788289128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18.829999999999529</v>
      </c>
      <c r="BE200" s="13">
        <f>BD200*VLOOKUP('Données projet'!$B$11,Paramètres!$A$1:$I$89,3,0)*VLOOKUP('Données projet'!$B$11,Paramètres!$A$1:$I$89,5,0)</f>
        <v>19.093619999999522</v>
      </c>
      <c r="BF200" s="13">
        <f t="shared" si="167"/>
        <v>6.2423044268988255</v>
      </c>
      <c r="BG200" s="20">
        <f t="shared" si="168"/>
        <v>44.126735043514621</v>
      </c>
      <c r="BH200" s="59">
        <f t="shared" si="194"/>
        <v>337.46006837684791</v>
      </c>
      <c r="BI200" s="59">
        <f ca="1">AVERAGE(OFFSET($BH$3,0,0,'Données projet'!$E$11+1,1))-AVERAGE(OFFSET($H$3,0,0,'Données projet'!$E$11+1,1))</f>
        <v>402.5435069258703</v>
      </c>
      <c r="BJ200" s="59">
        <f t="shared" si="206"/>
        <v>163.60655195816349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123.1311628374569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123.1311628374569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18.829999999999529</v>
      </c>
      <c r="BZ200" s="13">
        <f>BY200*VLOOKUP('Données projet'!$B$12,Paramètres!$A$1:$I$89,3,0)*VLOOKUP('Données projet'!$B$12,Paramètres!$A$1:$I$89,5,0)</f>
        <v>17.037383999999573</v>
      </c>
      <c r="CA200" s="13">
        <f t="shared" si="170"/>
        <v>5.6444246244669305</v>
      </c>
      <c r="CB200" s="20">
        <f t="shared" si="171"/>
        <v>39.504150020945822</v>
      </c>
      <c r="CC200" s="59">
        <f t="shared" si="195"/>
        <v>332.83748335427913</v>
      </c>
      <c r="CD200" s="59">
        <f ca="1">AVERAGE(OFFSET($CC$3,0,0,'Données projet'!$E$12+1,1))-AVERAGE(OFFSET($H$3,0,0,'Données projet'!$E$12+1,1))</f>
        <v>350.91577977538822</v>
      </c>
      <c r="CE200" s="59">
        <f t="shared" si="207"/>
        <v>142.87103313412547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109.87088376265379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109.87088376265379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266.99999999999983</v>
      </c>
      <c r="CU200" s="17">
        <f>CT200*VLOOKUP('Données projet'!$B$13,Paramètres!$A$1:$I$89,3,0)*VLOOKUP('Données projet'!$B$13,Paramètres!$A$1:$I$89,5,0)</f>
        <v>216.59039999999987</v>
      </c>
      <c r="CV200" s="13">
        <f t="shared" si="173"/>
        <v>53.373153688190904</v>
      </c>
      <c r="CW200" s="20">
        <f t="shared" si="174"/>
        <v>470.18652267359886</v>
      </c>
      <c r="CX200" s="59">
        <f t="shared" si="196"/>
        <v>763.51985600693217</v>
      </c>
      <c r="CY200" s="59">
        <f ca="1">AVERAGE(OFFSET($CX$3,0,0,'Données projet'!$E$13+1,1))-AVERAGE(OFFSET($H$3,0,0,'Données projet'!$E$13+1,1))</f>
        <v>230.38929580146208</v>
      </c>
      <c r="CZ200" s="59">
        <f t="shared" si="208"/>
        <v>227.1847788696258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4.3600381061834588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4.3600381061834588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3.009999999999792</v>
      </c>
      <c r="DP200" s="17">
        <f>DO200*VLOOKUP('Données projet'!$B$14,Paramètres!$A$1:$I$89,3,0)*VLOOKUP('Données projet'!$B$14,Paramètres!$A$1:$I$89,5,0)</f>
        <v>1.7999799999998758</v>
      </c>
      <c r="DQ200" s="13">
        <f t="shared" si="176"/>
        <v>0.77465189310357685</v>
      </c>
      <c r="DR200" s="20">
        <f t="shared" si="177"/>
        <v>4.4841505471551795</v>
      </c>
      <c r="DS200" s="59">
        <f t="shared" si="197"/>
        <v>297.81748388048851</v>
      </c>
      <c r="DT200" s="59">
        <f ca="1">AVERAGE(OFFSET($DS$3,0,0,'Données projet'!$E$14+1,1))-AVERAGE(OFFSET($H$3,0,0,'Données projet'!$E$14+1,1))</f>
        <v>145.97103392561058</v>
      </c>
      <c r="DU200" s="59">
        <f t="shared" si="209"/>
        <v>62.920713953681172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28.592363171694135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28.592363171694135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0.8600000000003547</v>
      </c>
      <c r="O201" s="13">
        <f>N201*VLOOKUP('Données projet'!$B$9,Paramètres!$A$1:$I$89,3,0)*VLOOKUP('Données projet'!$B$9,Paramètres!$A$1:$I$89,5,0)</f>
        <v>0.48074000000019829</v>
      </c>
      <c r="P201" s="13">
        <f t="shared" si="203"/>
        <v>0.24126147010950588</v>
      </c>
      <c r="Q201" s="20">
        <f t="shared" si="162"/>
        <v>1.2574858937744013</v>
      </c>
      <c r="R201" s="59">
        <f t="shared" si="191"/>
        <v>294.59081922710772</v>
      </c>
      <c r="S201" s="59">
        <f ca="1">AVERAGE(OFFSET($R$3,0,0,'Données projet'!$E$9+1,1))-AVERAGE(OFFSET($H$3,0,0,'Données projet'!$E$9+1,1))</f>
        <v>350.01600895263641</v>
      </c>
      <c r="T201" s="59">
        <f t="shared" si="204"/>
        <v>464.08921044376882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21.896512913449335</v>
      </c>
      <c r="AA201" s="21">
        <f>EXP(-LN(2)/25)*AA200+(1-EXP(-LN(2)/25))/(LN(2)/25)*Calculateur!V201*Calculateur!X201*VLOOKUP('Données projet'!$B$9,Paramètres!$A$1:$I$89,3,0)*0.475*44/12</f>
        <v>0.47971390001098152</v>
      </c>
      <c r="AB201" s="21">
        <f>EXP(-LN(2)/2)*AB200+(1-EXP(-LN(2)/2))/(LN(2)/2)*V201*Y201*VLOOKUP('Données projet'!$B$9,Paramètres!$A$1:$I$89,3,0)*0.475*44/12</f>
        <v>3.8252994779421079E-26</v>
      </c>
      <c r="AC201" s="22">
        <f t="shared" si="163"/>
        <v>22.376226813460317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227.99999999999994</v>
      </c>
      <c r="AJ201" s="13">
        <f>AI201*VLOOKUP('Données projet'!$B$10,Paramètres!$A$1:$I$89,3,0)*VLOOKUP('Données projet'!$B$10,Paramètres!$A$1:$I$89,5,0)</f>
        <v>199.18079999999998</v>
      </c>
      <c r="AK201" s="13">
        <f t="shared" si="164"/>
        <v>49.564089376413683</v>
      </c>
      <c r="AL201" s="20">
        <f t="shared" si="165"/>
        <v>433.23068233058711</v>
      </c>
      <c r="AM201" s="59">
        <f t="shared" si="193"/>
        <v>726.56401566392037</v>
      </c>
      <c r="AN201" s="59">
        <f ca="1">AVERAGE(OFFSET($AM$3,0,0,'Données projet'!$E$10+1,1))-AVERAGE(OFFSET($H$3,0,0,'Données projet'!$E$10+1,1))</f>
        <v>242.48830542479988</v>
      </c>
      <c r="AO201" s="59">
        <f t="shared" si="205"/>
        <v>226.11219631227061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7.1379346969465622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7.1379346969465622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18.829999999999529</v>
      </c>
      <c r="BE201" s="13">
        <f>BD201*VLOOKUP('Données projet'!$B$11,Paramètres!$A$1:$I$89,3,0)*VLOOKUP('Données projet'!$B$11,Paramètres!$A$1:$I$89,5,0)</f>
        <v>19.093619999999522</v>
      </c>
      <c r="BF201" s="13">
        <f t="shared" si="167"/>
        <v>6.2423044268988255</v>
      </c>
      <c r="BG201" s="20">
        <f t="shared" si="168"/>
        <v>44.126735043514621</v>
      </c>
      <c r="BH201" s="59">
        <f t="shared" si="194"/>
        <v>337.46006837684791</v>
      </c>
      <c r="BI201" s="59">
        <f ca="1">AVERAGE(OFFSET($BH$3,0,0,'Données projet'!$E$11+1,1))-AVERAGE(OFFSET($H$3,0,0,'Données projet'!$E$11+1,1))</f>
        <v>402.5435069258703</v>
      </c>
      <c r="BJ201" s="59">
        <f t="shared" si="206"/>
        <v>163.60655195816349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120.71663583680794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120.71663583680794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18.829999999999529</v>
      </c>
      <c r="BZ201" s="13">
        <f>BY201*VLOOKUP('Données projet'!$B$12,Paramètres!$A$1:$I$89,3,0)*VLOOKUP('Données projet'!$B$12,Paramètres!$A$1:$I$89,5,0)</f>
        <v>17.037383999999573</v>
      </c>
      <c r="CA201" s="13">
        <f t="shared" si="170"/>
        <v>5.6444246244669305</v>
      </c>
      <c r="CB201" s="20">
        <f t="shared" si="171"/>
        <v>39.504150020945822</v>
      </c>
      <c r="CC201" s="59">
        <f t="shared" si="195"/>
        <v>332.83748335427913</v>
      </c>
      <c r="CD201" s="59">
        <f ca="1">AVERAGE(OFFSET($CC$3,0,0,'Données projet'!$E$12+1,1))-AVERAGE(OFFSET($H$3,0,0,'Données projet'!$E$12+1,1))</f>
        <v>350.91577977538822</v>
      </c>
      <c r="CE201" s="59">
        <f t="shared" si="207"/>
        <v>142.87103313412547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107.7163827466901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107.7163827466901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266.99999999999983</v>
      </c>
      <c r="CU201" s="17">
        <f>CT201*VLOOKUP('Données projet'!$B$13,Paramètres!$A$1:$I$89,3,0)*VLOOKUP('Données projet'!$B$13,Paramètres!$A$1:$I$89,5,0)</f>
        <v>216.59039999999987</v>
      </c>
      <c r="CV201" s="13">
        <f t="shared" si="173"/>
        <v>53.373153688190904</v>
      </c>
      <c r="CW201" s="20">
        <f t="shared" si="174"/>
        <v>470.18652267359886</v>
      </c>
      <c r="CX201" s="59">
        <f t="shared" si="196"/>
        <v>763.51985600693217</v>
      </c>
      <c r="CY201" s="59">
        <f ca="1">AVERAGE(OFFSET($CX$3,0,0,'Données projet'!$E$13+1,1))-AVERAGE(OFFSET($H$3,0,0,'Données projet'!$E$13+1,1))</f>
        <v>230.38929580146208</v>
      </c>
      <c r="CZ201" s="59">
        <f t="shared" si="208"/>
        <v>227.1847788696258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4.2745404182818563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4.2745404182818563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3.009999999999792</v>
      </c>
      <c r="DP201" s="17">
        <f>DO201*VLOOKUP('Données projet'!$B$14,Paramètres!$A$1:$I$89,3,0)*VLOOKUP('Données projet'!$B$14,Paramètres!$A$1:$I$89,5,0)</f>
        <v>1.7999799999998758</v>
      </c>
      <c r="DQ201" s="13">
        <f t="shared" si="176"/>
        <v>0.77465189310357685</v>
      </c>
      <c r="DR201" s="20">
        <f t="shared" si="177"/>
        <v>4.4841505471551795</v>
      </c>
      <c r="DS201" s="59">
        <f t="shared" si="197"/>
        <v>297.81748388048851</v>
      </c>
      <c r="DT201" s="59">
        <f ca="1">AVERAGE(OFFSET($DS$3,0,0,'Données projet'!$E$14+1,1))-AVERAGE(OFFSET($H$3,0,0,'Données projet'!$E$14+1,1))</f>
        <v>145.97103392561058</v>
      </c>
      <c r="DU201" s="59">
        <f t="shared" si="209"/>
        <v>62.920713953681172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28.031684369516729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28.031684369516729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0.8600000000003547</v>
      </c>
      <c r="O202" s="13">
        <f>N202*VLOOKUP('Données projet'!$B$9,Paramètres!$A$1:$I$89,3,0)*VLOOKUP('Données projet'!$B$9,Paramètres!$A$1:$I$89,5,0)</f>
        <v>0.48074000000019829</v>
      </c>
      <c r="P202" s="13">
        <f t="shared" si="203"/>
        <v>0.24126147010950588</v>
      </c>
      <c r="Q202" s="20">
        <f t="shared" si="162"/>
        <v>1.2574858937744013</v>
      </c>
      <c r="R202" s="59">
        <f t="shared" si="191"/>
        <v>294.59081922710772</v>
      </c>
      <c r="S202" s="59">
        <f ca="1">AVERAGE(OFFSET($R$3,0,0,'Données projet'!$E$9+1,1))-AVERAGE(OFFSET($H$3,0,0,'Données projet'!$E$9+1,1))</f>
        <v>350.01600895263641</v>
      </c>
      <c r="T202" s="59">
        <f t="shared" si="204"/>
        <v>464.08921044376882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21.467135650770718</v>
      </c>
      <c r="AA202" s="21">
        <f>EXP(-LN(2)/25)*AA201+(1-EXP(-LN(2)/25))/(LN(2)/25)*Calculateur!V202*Calculateur!X202*VLOOKUP('Données projet'!$B$9,Paramètres!$A$1:$I$89,3,0)*0.475*44/12</f>
        <v>0.46659609818812364</v>
      </c>
      <c r="AB202" s="21">
        <f>EXP(-LN(2)/2)*AB201+(1-EXP(-LN(2)/2))/(LN(2)/2)*V202*Y202*VLOOKUP('Données projet'!$B$9,Paramètres!$A$1:$I$89,3,0)*0.475*44/12</f>
        <v>2.7048952009222245E-26</v>
      </c>
      <c r="AC202" s="22">
        <f t="shared" si="163"/>
        <v>21.933731748958841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227.99999999999994</v>
      </c>
      <c r="AJ202" s="13">
        <f>AI202*VLOOKUP('Données projet'!$B$10,Paramètres!$A$1:$I$89,3,0)*VLOOKUP('Données projet'!$B$10,Paramètres!$A$1:$I$89,5,0)</f>
        <v>199.18079999999998</v>
      </c>
      <c r="AK202" s="13">
        <f t="shared" si="164"/>
        <v>49.564089376413683</v>
      </c>
      <c r="AL202" s="20">
        <f t="shared" si="165"/>
        <v>433.23068233058711</v>
      </c>
      <c r="AM202" s="59">
        <f t="shared" si="193"/>
        <v>726.56401566392037</v>
      </c>
      <c r="AN202" s="59">
        <f ca="1">AVERAGE(OFFSET($AM$3,0,0,'Données projet'!$E$10+1,1))-AVERAGE(OFFSET($H$3,0,0,'Données projet'!$E$10+1,1))</f>
        <v>242.48830542479988</v>
      </c>
      <c r="AO202" s="59">
        <f t="shared" si="205"/>
        <v>226.11219631227061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6.9979641512497119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6.9979641512497119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18.829999999999529</v>
      </c>
      <c r="BE202" s="13">
        <f>BD202*VLOOKUP('Données projet'!$B$11,Paramètres!$A$1:$I$89,3,0)*VLOOKUP('Données projet'!$B$11,Paramètres!$A$1:$I$89,5,0)</f>
        <v>19.093619999999522</v>
      </c>
      <c r="BF202" s="13">
        <f t="shared" si="167"/>
        <v>6.2423044268988255</v>
      </c>
      <c r="BG202" s="20">
        <f t="shared" si="168"/>
        <v>44.126735043514621</v>
      </c>
      <c r="BH202" s="59">
        <f t="shared" si="194"/>
        <v>337.46006837684791</v>
      </c>
      <c r="BI202" s="59">
        <f ca="1">AVERAGE(OFFSET($BH$3,0,0,'Données projet'!$E$11+1,1))-AVERAGE(OFFSET($H$3,0,0,'Données projet'!$E$11+1,1))</f>
        <v>402.5435069258703</v>
      </c>
      <c r="BJ202" s="59">
        <f t="shared" si="206"/>
        <v>163.60655195816349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118.34945623792565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118.34945623792565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18.829999999999529</v>
      </c>
      <c r="BZ202" s="13">
        <f>BY202*VLOOKUP('Données projet'!$B$12,Paramètres!$A$1:$I$89,3,0)*VLOOKUP('Données projet'!$B$12,Paramètres!$A$1:$I$89,5,0)</f>
        <v>17.037383999999573</v>
      </c>
      <c r="CA202" s="13">
        <f t="shared" si="170"/>
        <v>5.6444246244669305</v>
      </c>
      <c r="CB202" s="20">
        <f t="shared" si="171"/>
        <v>39.504150020945822</v>
      </c>
      <c r="CC202" s="59">
        <f t="shared" si="195"/>
        <v>332.83748335427913</v>
      </c>
      <c r="CD202" s="59">
        <f ca="1">AVERAGE(OFFSET($CC$3,0,0,'Données projet'!$E$12+1,1))-AVERAGE(OFFSET($H$3,0,0,'Données projet'!$E$12+1,1))</f>
        <v>350.91577977538822</v>
      </c>
      <c r="CE202" s="59">
        <f t="shared" si="207"/>
        <v>142.87103313412547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105.60413018153359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105.60413018153359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266.99999999999983</v>
      </c>
      <c r="CU202" s="17">
        <f>CT202*VLOOKUP('Données projet'!$B$13,Paramètres!$A$1:$I$89,3,0)*VLOOKUP('Données projet'!$B$13,Paramètres!$A$1:$I$89,5,0)</f>
        <v>216.59039999999987</v>
      </c>
      <c r="CV202" s="13">
        <f t="shared" si="173"/>
        <v>53.373153688190904</v>
      </c>
      <c r="CW202" s="20">
        <f t="shared" si="174"/>
        <v>470.18652267359886</v>
      </c>
      <c r="CX202" s="59">
        <f t="shared" si="196"/>
        <v>763.51985600693217</v>
      </c>
      <c r="CY202" s="59">
        <f ca="1">AVERAGE(OFFSET($CX$3,0,0,'Données projet'!$E$13+1,1))-AVERAGE(OFFSET($H$3,0,0,'Données projet'!$E$13+1,1))</f>
        <v>230.38929580146208</v>
      </c>
      <c r="CZ202" s="59">
        <f t="shared" si="208"/>
        <v>227.1847788696258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4.1907192878915636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4.1907192878915636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3.009999999999792</v>
      </c>
      <c r="DP202" s="17">
        <f>DO202*VLOOKUP('Données projet'!$B$14,Paramètres!$A$1:$I$89,3,0)*VLOOKUP('Données projet'!$B$14,Paramètres!$A$1:$I$89,5,0)</f>
        <v>1.7999799999998758</v>
      </c>
      <c r="DQ202" s="13">
        <f t="shared" si="176"/>
        <v>0.77465189310357685</v>
      </c>
      <c r="DR202" s="20">
        <f t="shared" si="177"/>
        <v>4.4841505471551795</v>
      </c>
      <c r="DS202" s="59">
        <f t="shared" si="197"/>
        <v>297.81748388048851</v>
      </c>
      <c r="DT202" s="59">
        <f ca="1">AVERAGE(OFFSET($DS$3,0,0,'Données projet'!$E$14+1,1))-AVERAGE(OFFSET($H$3,0,0,'Données projet'!$E$14+1,1))</f>
        <v>145.97103392561058</v>
      </c>
      <c r="DU202" s="59">
        <f t="shared" si="209"/>
        <v>62.920713953681172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27.482000136669718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27.482000136669718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0.8600000000003547</v>
      </c>
      <c r="O203" s="13">
        <f>N203*VLOOKUP('Données projet'!$B$9,Paramètres!$A$1:$I$89,3,0)*VLOOKUP('Données projet'!$B$9,Paramètres!$A$1:$I$89,5,0)</f>
        <v>0.48074000000019829</v>
      </c>
      <c r="P203" s="13">
        <f t="shared" si="203"/>
        <v>0.24126147010950588</v>
      </c>
      <c r="Q203" s="20">
        <f t="shared" si="162"/>
        <v>1.2574858937744013</v>
      </c>
      <c r="R203" s="59">
        <f t="shared" si="191"/>
        <v>294.59081922710772</v>
      </c>
      <c r="S203" s="59">
        <f ca="1">AVERAGE(OFFSET($R$3,0,0,'Données projet'!$E$9+1,1))-AVERAGE(OFFSET($H$3,0,0,'Données projet'!$E$9+1,1))</f>
        <v>350.01600895263641</v>
      </c>
      <c r="T203" s="59">
        <f t="shared" si="204"/>
        <v>464.08921044376882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21.04617821431896</v>
      </c>
      <c r="AA203" s="21">
        <f>EXP(-LN(2)/25)*AA202+(1-EXP(-LN(2)/25))/(LN(2)/25)*Calculateur!V203*Calculateur!X203*VLOOKUP('Données projet'!$B$9,Paramètres!$A$1:$I$89,3,0)*0.475*44/12</f>
        <v>0.45383700334594701</v>
      </c>
      <c r="AB203" s="21">
        <f>EXP(-LN(2)/2)*AB202+(1-EXP(-LN(2)/2))/(LN(2)/2)*V203*Y203*VLOOKUP('Données projet'!$B$9,Paramètres!$A$1:$I$89,3,0)*0.475*44/12</f>
        <v>1.9126497389710539E-26</v>
      </c>
      <c r="AC203" s="22">
        <f t="shared" si="163"/>
        <v>21.500015217664906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227.99999999999994</v>
      </c>
      <c r="AJ203" s="13">
        <f>AI203*VLOOKUP('Données projet'!$B$10,Paramètres!$A$1:$I$89,3,0)*VLOOKUP('Données projet'!$B$10,Paramètres!$A$1:$I$89,5,0)</f>
        <v>199.18079999999998</v>
      </c>
      <c r="AK203" s="13">
        <f t="shared" si="164"/>
        <v>49.564089376413683</v>
      </c>
      <c r="AL203" s="20">
        <f t="shared" si="165"/>
        <v>433.23068233058711</v>
      </c>
      <c r="AM203" s="59">
        <f t="shared" si="193"/>
        <v>726.56401566392037</v>
      </c>
      <c r="AN203" s="59">
        <f ca="1">AVERAGE(OFFSET($AM$3,0,0,'Données projet'!$E$10+1,1))-AVERAGE(OFFSET($H$3,0,0,'Données projet'!$E$10+1,1))</f>
        <v>242.48830542479988</v>
      </c>
      <c r="AO203" s="59">
        <f t="shared" si="205"/>
        <v>226.11219631227061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6.8607383425803743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6.8607383425803743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18.829999999999529</v>
      </c>
      <c r="BE203" s="13">
        <f>BD203*VLOOKUP('Données projet'!$B$11,Paramètres!$A$1:$I$89,3,0)*VLOOKUP('Données projet'!$B$11,Paramètres!$A$1:$I$89,5,0)</f>
        <v>19.093619999999522</v>
      </c>
      <c r="BF203" s="13">
        <f t="shared" si="167"/>
        <v>6.2423044268988255</v>
      </c>
      <c r="BG203" s="20">
        <f t="shared" si="168"/>
        <v>44.126735043514621</v>
      </c>
      <c r="BH203" s="59">
        <f t="shared" si="194"/>
        <v>337.46006837684791</v>
      </c>
      <c r="BI203" s="59">
        <f ca="1">AVERAGE(OFFSET($BH$3,0,0,'Données projet'!$E$11+1,1))-AVERAGE(OFFSET($H$3,0,0,'Données projet'!$E$11+1,1))</f>
        <v>402.5435069258703</v>
      </c>
      <c r="BJ203" s="59">
        <f t="shared" si="206"/>
        <v>163.60655195816349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116.02869558714045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116.02869558714045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18.829999999999529</v>
      </c>
      <c r="BZ203" s="13">
        <f>BY203*VLOOKUP('Données projet'!$B$12,Paramètres!$A$1:$I$89,3,0)*VLOOKUP('Données projet'!$B$12,Paramètres!$A$1:$I$89,5,0)</f>
        <v>17.037383999999573</v>
      </c>
      <c r="CA203" s="13">
        <f t="shared" si="170"/>
        <v>5.6444246244669305</v>
      </c>
      <c r="CB203" s="20">
        <f t="shared" si="171"/>
        <v>39.504150020945822</v>
      </c>
      <c r="CC203" s="59">
        <f t="shared" si="195"/>
        <v>332.83748335427913</v>
      </c>
      <c r="CD203" s="59">
        <f ca="1">AVERAGE(OFFSET($CC$3,0,0,'Données projet'!$E$12+1,1))-AVERAGE(OFFSET($H$3,0,0,'Données projet'!$E$12+1,1))</f>
        <v>350.91577977538822</v>
      </c>
      <c r="CE203" s="59">
        <f t="shared" si="207"/>
        <v>142.87103313412547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103.53329760083295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103.53329760083295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266.99999999999983</v>
      </c>
      <c r="CU203" s="17">
        <f>CT203*VLOOKUP('Données projet'!$B$13,Paramètres!$A$1:$I$89,3,0)*VLOOKUP('Données projet'!$B$13,Paramètres!$A$1:$I$89,5,0)</f>
        <v>216.59039999999987</v>
      </c>
      <c r="CV203" s="13">
        <f t="shared" si="173"/>
        <v>53.373153688190904</v>
      </c>
      <c r="CW203" s="20">
        <f t="shared" si="174"/>
        <v>470.18652267359886</v>
      </c>
      <c r="CX203" s="59">
        <f t="shared" si="196"/>
        <v>763.51985600693217</v>
      </c>
      <c r="CY203" s="59">
        <f ca="1">AVERAGE(OFFSET($CX$3,0,0,'Données projet'!$E$13+1,1))-AVERAGE(OFFSET($H$3,0,0,'Données projet'!$E$13+1,1))</f>
        <v>230.38929580146208</v>
      </c>
      <c r="CZ203" s="59">
        <f t="shared" si="208"/>
        <v>227.1847788696258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4.1085418387423829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4.1085418387423829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3.009999999999792</v>
      </c>
      <c r="DP203" s="17">
        <f>DO203*VLOOKUP('Données projet'!$B$14,Paramètres!$A$1:$I$89,3,0)*VLOOKUP('Données projet'!$B$14,Paramètres!$A$1:$I$89,5,0)</f>
        <v>1.7999799999998758</v>
      </c>
      <c r="DQ203" s="13">
        <f t="shared" si="176"/>
        <v>0.77465189310357685</v>
      </c>
      <c r="DR203" s="20">
        <f t="shared" si="177"/>
        <v>4.4841505471551795</v>
      </c>
      <c r="DS203" s="59">
        <f t="shared" si="197"/>
        <v>297.81748388048851</v>
      </c>
      <c r="DT203" s="59">
        <f ca="1">AVERAGE(OFFSET($DS$3,0,0,'Données projet'!$E$14+1,1))-AVERAGE(OFFSET($H$3,0,0,'Données projet'!$E$14+1,1))</f>
        <v>145.97103392561058</v>
      </c>
      <c r="DU203" s="59">
        <f t="shared" si="209"/>
        <v>62.920713953681172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26.943094876354561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26.943094876354561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1.3540417154604885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1.3682730833261529</v>
      </c>
      <c r="BA205" s="81">
        <f>EXP(LN('Données projet'!B88)/'Données projet'!A88)</f>
        <v>1.1608269964373037</v>
      </c>
      <c r="BV205" s="81">
        <f>EXP(LN('Données projet'!B114)/'Données projet'!A114)</f>
        <v>1.1608269964373037</v>
      </c>
      <c r="CQ205" s="81">
        <f>EXP(LN('Données projet'!B140)/'Données projet'!A140)</f>
        <v>1.2721747796233518</v>
      </c>
      <c r="DL205" s="81">
        <f>EXP(LN('Données projet'!B166)/'Données projet'!A166)</f>
        <v>1.06448922886794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Douglas</v>
      </c>
      <c r="B6" s="144">
        <f>'Données projet'!D9</f>
        <v>7.4731201900000013</v>
      </c>
      <c r="C6" s="145">
        <f ca="1">IF(OR('Données projet'!B9="",'Données projet'!C9="",'Données projet'!C9=0%),0,Calculateur!S3)</f>
        <v>350.01600895263641</v>
      </c>
      <c r="D6" s="145">
        <f>IF(OR('Données projet'!B9="",'Données projet'!C9="",'Données projet'!C9=0%),0,Calculateur!T3)</f>
        <v>464.08921044376882</v>
      </c>
      <c r="E6" s="145">
        <f ca="1">MIN(C6,D6)</f>
        <v>350.01600895263641</v>
      </c>
      <c r="F6" s="145">
        <f ca="1">E6*B6</f>
        <v>2615.7117033271684</v>
      </c>
      <c r="G6" s="145">
        <f ca="1">F6*(100%-'Données projet'!$C$24)*(100%-'Données projet'!$C$25)*(100%-'Données projet'!$C$26)*(100%-'Données projet'!$C$27)</f>
        <v>2354.1405329944514</v>
      </c>
      <c r="H6" s="146">
        <f>IF(OR('Données projet'!B9="",'Données projet'!C9="",'Données projet'!C9=0%),0,AVERAGE(Calculateur!$AC$3:$AC$33)*B6)</f>
        <v>78.942518087228621</v>
      </c>
      <c r="I6" s="147">
        <f>H6*(100%-'Données projet'!$C$24)*(100%-'Données projet'!$C$25)*(100%-'Données projet'!$C$26)*(100%-'Données projet'!$C$27)</f>
        <v>71.048266278505764</v>
      </c>
      <c r="J6" s="148">
        <f>IF(OR('Données projet'!B9="",'Données projet'!C9="",'Données projet'!C9=0%),0,SUM(Calculateur!$V$3:$V$33)*VLOOKUP('Données projet'!$B$9,Paramètres!$A$1:$I$89,9,0)*B6)</f>
        <v>665.76084761460618</v>
      </c>
      <c r="K6" s="149">
        <f>J6*(100%-'Données projet'!$C$24)*(100%-'Données projet'!$C$25)*(100%-'Données projet'!$C$26)*(100%-'Données projet'!$C$27)</f>
        <v>599.18476285314557</v>
      </c>
      <c r="L6" s="150">
        <f ca="1">G6+I6+K6</f>
        <v>3024.3735621261026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rouge d'Amérique</v>
      </c>
      <c r="B7" s="152">
        <f>'Données projet'!D10</f>
        <v>7.5760084900000013</v>
      </c>
      <c r="C7" s="145">
        <f ca="1">IF(OR('Données projet'!B10="",'Données projet'!C10="",'Données projet'!C10=0%),0,Calculateur!AN3)</f>
        <v>242.48830542479988</v>
      </c>
      <c r="D7" s="145">
        <f>IF(OR('Données projet'!B10="",'Données projet'!C10="",'Données projet'!C10=0%),0,Calculateur!AO3)</f>
        <v>226.11219631227061</v>
      </c>
      <c r="E7" s="145">
        <f t="shared" ref="E7:E15" ca="1" si="0">MIN(C7,D7)</f>
        <v>226.11219631227061</v>
      </c>
      <c r="F7" s="145">
        <f t="shared" ref="F7:F15" ca="1" si="1">E7*B7</f>
        <v>1713.0279189543091</v>
      </c>
      <c r="G7" s="145">
        <f ca="1">F7*(100%-'Données projet'!$C$24)*(100%-'Données projet'!$C$25)*(100%-'Données projet'!$C$26)*(100%-'Données projet'!$C$27)</f>
        <v>1541.7251270588783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166.67218678000003</v>
      </c>
      <c r="K7" s="149">
        <f>J7*(100%-'Données projet'!$C$24)*(100%-'Données projet'!$C$25)*(100%-'Données projet'!$C$26)*(100%-'Données projet'!$C$27)</f>
        <v>150.00496810200002</v>
      </c>
      <c r="L7" s="150">
        <f t="shared" ref="L7:L15" ca="1" si="2">G7+I7+K7</f>
        <v>1691.7300951608784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pubescent</v>
      </c>
      <c r="B8" s="152">
        <f>'Données projet'!D11</f>
        <v>6.2556086400000011</v>
      </c>
      <c r="C8" s="145">
        <f ca="1">IF(OR('Données projet'!B11="",'Données projet'!C11="",'Données projet'!C11=0%),0,Calculateur!BI3)</f>
        <v>402.5435069258703</v>
      </c>
      <c r="D8" s="145">
        <f>IF(OR('Données projet'!B11="",'Données projet'!C11="",'Données projet'!C11=0%),0,Calculateur!BJ3)</f>
        <v>163.60655195816349</v>
      </c>
      <c r="E8" s="145">
        <f t="shared" ca="1" si="0"/>
        <v>163.60655195816349</v>
      </c>
      <c r="F8" s="145">
        <f t="shared" ca="1" si="1"/>
        <v>1023.4585599900967</v>
      </c>
      <c r="G8" s="145">
        <f ca="1">F8*(100%-'Données projet'!$C$24)*(100%-'Données projet'!$C$25)*(100%-'Données projet'!$C$26)*(100%-'Données projet'!$C$27)</f>
        <v>921.11270399108707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ca="1" si="2"/>
        <v>921.11270399108707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Chêne sessile</v>
      </c>
      <c r="B9" s="152">
        <f>'Données projet'!D12</f>
        <v>6.6980283300000005</v>
      </c>
      <c r="C9" s="145">
        <f ca="1">IF(OR('Données projet'!B12="",'Données projet'!C12="",'Données projet'!C12=0%),0,Calculateur!CD3)</f>
        <v>350.91577977538822</v>
      </c>
      <c r="D9" s="145">
        <f>IF(OR('Données projet'!B12="",'Données projet'!C12="",'Données projet'!C12=0%),0,Calculateur!CE3)</f>
        <v>142.87103313412547</v>
      </c>
      <c r="E9" s="145">
        <f t="shared" ca="1" si="0"/>
        <v>142.87103313412547</v>
      </c>
      <c r="F9" s="145">
        <f t="shared" ca="1" si="1"/>
        <v>956.95422746874112</v>
      </c>
      <c r="G9" s="145">
        <f ca="1">F9*(100%-'Données projet'!$C$24)*(100%-'Données projet'!$C$25)*(100%-'Données projet'!$C$26)*(100%-'Données projet'!$C$27)</f>
        <v>861.25880472186702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ca="1" si="2"/>
        <v>861.25880472186702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Noyer</v>
      </c>
      <c r="B10" s="152">
        <f>'Données projet'!D13</f>
        <v>4.4241969000000001</v>
      </c>
      <c r="C10" s="145">
        <f ca="1">IF(OR('Données projet'!B13="",'Données projet'!C13="",'Données projet'!C13=0%),0,Calculateur!CY3)</f>
        <v>230.38929580146208</v>
      </c>
      <c r="D10" s="145">
        <f>IF(OR('Données projet'!B13="",'Données projet'!C13="",'Données projet'!C13=0%),0,Calculateur!CZ3)</f>
        <v>227.1847788696258</v>
      </c>
      <c r="E10" s="145">
        <f t="shared" ca="1" si="0"/>
        <v>227.1847788696258</v>
      </c>
      <c r="F10" s="145">
        <f t="shared" ca="1" si="1"/>
        <v>1005.110194402184</v>
      </c>
      <c r="G10" s="145">
        <f ca="1">F10*(100%-'Données projet'!$C$24)*(100%-'Données projet'!$C$25)*(100%-'Données projet'!$C$26)*(100%-'Données projet'!$C$27)</f>
        <v>904.59917496196556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109.49887327500001</v>
      </c>
      <c r="K10" s="149">
        <f>J10*(100%-'Données projet'!$C$24)*(100%-'Données projet'!$C$25)*(100%-'Données projet'!$C$26)*(100%-'Données projet'!$C$27)</f>
        <v>98.548985947500015</v>
      </c>
      <c r="L10" s="150">
        <f t="shared" ca="1" si="2"/>
        <v>1003.1481609094656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Pin de Salzmann</v>
      </c>
      <c r="B11" s="152">
        <f>'Données projet'!D14</f>
        <v>1.86570784</v>
      </c>
      <c r="C11" s="145">
        <f ca="1">IF(OR('Données projet'!B14="",'Données projet'!C14="",'Données projet'!C14=0%),0,Calculateur!DT3)</f>
        <v>145.97103392561058</v>
      </c>
      <c r="D11" s="145">
        <f>IF(OR('Données projet'!B14="",'Données projet'!C14="",'Données projet'!C14=0%),0,Calculateur!DU3)</f>
        <v>62.920713953681172</v>
      </c>
      <c r="E11" s="145">
        <f t="shared" ca="1" si="0"/>
        <v>62.920713953681172</v>
      </c>
      <c r="F11" s="145">
        <f t="shared" ca="1" si="1"/>
        <v>117.39166932178036</v>
      </c>
      <c r="G11" s="145">
        <f ca="1">F11*(100%-'Données projet'!$C$24)*(100%-'Données projet'!$C$25)*(100%-'Données projet'!$C$26)*(100%-'Données projet'!$C$27)</f>
        <v>105.65250238960232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ca="1" si="2"/>
        <v>105.65250238960232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7431.6542734642799</v>
      </c>
      <c r="G16" s="164">
        <f t="shared" ca="1" si="3"/>
        <v>6688.4888461178507</v>
      </c>
      <c r="H16" s="165">
        <f t="shared" si="3"/>
        <v>78.942518087228621</v>
      </c>
      <c r="I16" s="165">
        <f t="shared" si="3"/>
        <v>71.048266278505764</v>
      </c>
      <c r="J16" s="166">
        <f t="shared" si="3"/>
        <v>941.93190766960629</v>
      </c>
      <c r="K16" s="166">
        <f t="shared" si="3"/>
        <v>847.73871690264559</v>
      </c>
      <c r="L16" s="167">
        <f t="shared" ca="1" si="3"/>
        <v>7607.275829299002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Noyer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Pin de Salzmann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C197" sqref="C197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Douglas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6801.3424697855717</v>
      </c>
      <c r="U10" s="176">
        <f>'Données projet'!D9</f>
        <v>7.4731201900000013</v>
      </c>
      <c r="V10" s="175">
        <f>U10*T10</f>
        <v>50827.249730059026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rouge d'Amérique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-1968.5013996339185</v>
      </c>
      <c r="U11" s="176">
        <f>'Données projet'!D10</f>
        <v>7.5760084900000013</v>
      </c>
      <c r="V11" s="175">
        <f t="shared" ref="V11" si="0">U11*T11</f>
        <v>-14913.383316203452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pubescent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2115.7356517502817</v>
      </c>
      <c r="U12" s="176">
        <f>'Données projet'!D11</f>
        <v>6.2556086400000011</v>
      </c>
      <c r="V12" s="175">
        <f t="shared" ref="V12:V19" si="1">U12*T12</f>
        <v>13235.214223045095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Chêne sessile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2615.7356517502812</v>
      </c>
      <c r="U13" s="176">
        <f>'Données projet'!D12</f>
        <v>6.6980283300000005</v>
      </c>
      <c r="V13" s="175">
        <f t="shared" si="1"/>
        <v>17520.271499214399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Douglas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Noyer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-2504.6740370585753</v>
      </c>
      <c r="U14" s="176">
        <f>'Données projet'!D13</f>
        <v>4.4241969000000001</v>
      </c>
      <c r="V14" s="175">
        <f t="shared" si="1"/>
        <v>-11081.171110265035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Pin de Salzmann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-2617.6898735452492</v>
      </c>
      <c r="U15" s="176">
        <f>'Données projet'!D14</f>
        <v>1.86570784</v>
      </c>
      <c r="V15" s="175">
        <f t="shared" si="1"/>
        <v>-4883.8445197619803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>
        <v>59</v>
      </c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2581.0300000000002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59.000000000000085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>
        <v>56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3304.0000000000045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4985.6400000000003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1013.13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1013.13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17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-185352.14880995612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18</v>
      </c>
      <c r="B24" s="179">
        <f>'Données projet'!D37</f>
        <v>74.819999999999993</v>
      </c>
      <c r="C24" s="191">
        <v>20</v>
      </c>
      <c r="D24" s="180">
        <f t="shared" ref="D24:D42" si="2">B24*C24</f>
        <v>1496.3999999999999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8441.5780269794286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24</v>
      </c>
      <c r="B25" s="179">
        <f>'Données projet'!D38</f>
        <v>51.39</v>
      </c>
      <c r="C25" s="191">
        <v>20</v>
      </c>
      <c r="D25" s="180">
        <f t="shared" si="2"/>
        <v>1027.8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-193793.72683693556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30</v>
      </c>
      <c r="B26" s="179">
        <f>'Données projet'!D39</f>
        <v>80.97</v>
      </c>
      <c r="C26" s="191">
        <v>20</v>
      </c>
      <c r="D26" s="180">
        <f t="shared" si="2"/>
        <v>1619.4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36</v>
      </c>
      <c r="B27" s="179">
        <f>'Données projet'!D40</f>
        <v>85.88</v>
      </c>
      <c r="C27" s="191">
        <v>72</v>
      </c>
      <c r="D27" s="180">
        <f t="shared" si="2"/>
        <v>6183.36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42</v>
      </c>
      <c r="B28" s="179">
        <f>'Données projet'!D41</f>
        <v>91.25</v>
      </c>
      <c r="C28" s="191">
        <v>72</v>
      </c>
      <c r="D28" s="180">
        <f t="shared" si="2"/>
        <v>6570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48</v>
      </c>
      <c r="B29" s="179">
        <f>'Données projet'!D42</f>
        <v>101.34</v>
      </c>
      <c r="C29" s="191">
        <v>72</v>
      </c>
      <c r="D29" s="180">
        <f t="shared" si="2"/>
        <v>7296.4800000000005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54</v>
      </c>
      <c r="B30" s="179">
        <f>'Données projet'!D43</f>
        <v>707.75</v>
      </c>
      <c r="C30" s="191">
        <v>72</v>
      </c>
      <c r="D30" s="180">
        <f t="shared" si="2"/>
        <v>50958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0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rouge d'Amérique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3741.02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41</v>
      </c>
      <c r="C56" s="189">
        <v>20</v>
      </c>
      <c r="D56" s="177">
        <f t="shared" si="4"/>
        <v>820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23</v>
      </c>
      <c r="C57" s="189">
        <v>20</v>
      </c>
      <c r="D57" s="177">
        <f t="shared" si="4"/>
        <v>460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24</v>
      </c>
      <c r="C58" s="189">
        <v>20</v>
      </c>
      <c r="D58" s="177">
        <f t="shared" si="4"/>
        <v>480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24</v>
      </c>
      <c r="C59" s="189">
        <v>55</v>
      </c>
      <c r="D59" s="177">
        <f t="shared" si="4"/>
        <v>1320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23</v>
      </c>
      <c r="C60" s="189">
        <v>55</v>
      </c>
      <c r="D60" s="177">
        <f t="shared" si="4"/>
        <v>1265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22</v>
      </c>
      <c r="C61" s="189">
        <v>55</v>
      </c>
      <c r="D61" s="177">
        <f t="shared" si="4"/>
        <v>1210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21</v>
      </c>
      <c r="C62" s="189">
        <v>55</v>
      </c>
      <c r="D62" s="177">
        <f t="shared" si="4"/>
        <v>1155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20</v>
      </c>
      <c r="C63" s="189">
        <v>55</v>
      </c>
      <c r="D63" s="177">
        <f t="shared" si="4"/>
        <v>1100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18</v>
      </c>
      <c r="C64" s="189">
        <v>55</v>
      </c>
      <c r="D64" s="177">
        <f t="shared" si="4"/>
        <v>990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65</v>
      </c>
      <c r="B65" s="179">
        <f>'Données projet'!D73</f>
        <v>17</v>
      </c>
      <c r="C65" s="189">
        <v>55</v>
      </c>
      <c r="D65" s="177">
        <f t="shared" si="4"/>
        <v>935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70</v>
      </c>
      <c r="B66" s="179">
        <f>'Données projet'!D74</f>
        <v>16</v>
      </c>
      <c r="C66" s="189">
        <v>55</v>
      </c>
      <c r="D66" s="177">
        <f t="shared" si="4"/>
        <v>880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75</v>
      </c>
      <c r="B67" s="179">
        <f>'Données projet'!D75</f>
        <v>14</v>
      </c>
      <c r="C67" s="189">
        <v>55</v>
      </c>
      <c r="D67" s="177">
        <f t="shared" si="4"/>
        <v>770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80</v>
      </c>
      <c r="B68" s="179">
        <f>'Données projet'!D76</f>
        <v>13</v>
      </c>
      <c r="C68" s="189">
        <v>55</v>
      </c>
      <c r="D68" s="177">
        <f t="shared" si="4"/>
        <v>715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85</v>
      </c>
      <c r="B69" s="179">
        <f>'Données projet'!D77</f>
        <v>12</v>
      </c>
      <c r="C69" s="189">
        <v>55</v>
      </c>
      <c r="D69" s="177">
        <f t="shared" si="4"/>
        <v>660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90</v>
      </c>
      <c r="B70" s="179">
        <f>'Données projet'!D78</f>
        <v>11</v>
      </c>
      <c r="C70" s="189">
        <v>55</v>
      </c>
      <c r="D70" s="177">
        <f t="shared" si="4"/>
        <v>605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95</v>
      </c>
      <c r="B71" s="179">
        <f>'Données projet'!D79</f>
        <v>11</v>
      </c>
      <c r="C71" s="189">
        <v>55</v>
      </c>
      <c r="D71" s="177">
        <f t="shared" si="4"/>
        <v>605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100</v>
      </c>
      <c r="B72" s="179">
        <f>'Données projet'!D80</f>
        <v>12</v>
      </c>
      <c r="C72" s="189">
        <v>55</v>
      </c>
      <c r="D72" s="177">
        <f t="shared" si="4"/>
        <v>660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pubescent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4054.13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30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44</v>
      </c>
      <c r="B86" s="179">
        <f>'Données projet'!D89</f>
        <v>74.010000000000005</v>
      </c>
      <c r="C86" s="189">
        <v>235</v>
      </c>
      <c r="D86" s="177">
        <f t="shared" ref="D86:D104" si="6">B86*C86</f>
        <v>17392.350000000002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51</v>
      </c>
      <c r="B87" s="179">
        <f>'Données projet'!D90</f>
        <v>46.13</v>
      </c>
      <c r="C87" s="189">
        <v>235</v>
      </c>
      <c r="D87" s="177">
        <f t="shared" si="6"/>
        <v>10840.550000000001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59</v>
      </c>
      <c r="B88" s="179">
        <f>'Données projet'!D91</f>
        <v>48.96</v>
      </c>
      <c r="C88" s="189">
        <v>235</v>
      </c>
      <c r="D88" s="177">
        <f t="shared" si="6"/>
        <v>11505.6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str">
        <f>IF(O87+1&lt;=MIN('Données projet'!$E$9:$E$18),O87+1,"STOP")</f>
        <v>STOP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67</v>
      </c>
      <c r="B89" s="179">
        <f>'Données projet'!D92</f>
        <v>40.630000000000003</v>
      </c>
      <c r="C89" s="189">
        <v>235</v>
      </c>
      <c r="D89" s="177">
        <f t="shared" si="6"/>
        <v>9548.0500000000011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75</v>
      </c>
      <c r="B90" s="179">
        <f>'Données projet'!D93</f>
        <v>39.54</v>
      </c>
      <c r="C90" s="189">
        <v>235</v>
      </c>
      <c r="D90" s="177">
        <f t="shared" si="6"/>
        <v>9291.9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84</v>
      </c>
      <c r="B91" s="179">
        <f>'Données projet'!D94</f>
        <v>44.89</v>
      </c>
      <c r="C91" s="189">
        <v>235</v>
      </c>
      <c r="D91" s="177">
        <f t="shared" si="6"/>
        <v>10549.15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93</v>
      </c>
      <c r="B92" s="179">
        <f>'Données projet'!D95</f>
        <v>38.57</v>
      </c>
      <c r="C92" s="189">
        <v>235</v>
      </c>
      <c r="D92" s="177">
        <f t="shared" si="6"/>
        <v>9063.9500000000007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103</v>
      </c>
      <c r="B93" s="179">
        <f>'Données projet'!D96</f>
        <v>50.51</v>
      </c>
      <c r="C93" s="189">
        <v>235</v>
      </c>
      <c r="D93" s="177">
        <f t="shared" si="6"/>
        <v>11869.85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113</v>
      </c>
      <c r="B94" s="179">
        <f>'Données projet'!D97</f>
        <v>40.479999999999997</v>
      </c>
      <c r="C94" s="189">
        <v>235</v>
      </c>
      <c r="D94" s="177">
        <f t="shared" si="6"/>
        <v>9512.7999999999993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125</v>
      </c>
      <c r="B95" s="179">
        <f>'Données projet'!D98</f>
        <v>61.5</v>
      </c>
      <c r="C95" s="189">
        <v>235</v>
      </c>
      <c r="D95" s="177">
        <f t="shared" si="6"/>
        <v>14452.5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137</v>
      </c>
      <c r="B96" s="179">
        <f>'Données projet'!D99</f>
        <v>65.53</v>
      </c>
      <c r="C96" s="189">
        <v>235</v>
      </c>
      <c r="D96" s="177">
        <f t="shared" si="6"/>
        <v>15399.550000000001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149</v>
      </c>
      <c r="B97" s="179">
        <f>'Données projet'!D100</f>
        <v>153.56</v>
      </c>
      <c r="C97" s="189">
        <v>235</v>
      </c>
      <c r="D97" s="177">
        <f t="shared" si="6"/>
        <v>36086.6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153</v>
      </c>
      <c r="B98" s="179">
        <f>'Données projet'!D101</f>
        <v>89.29</v>
      </c>
      <c r="C98" s="189">
        <v>235</v>
      </c>
      <c r="D98" s="177">
        <f t="shared" si="6"/>
        <v>20983.15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157</v>
      </c>
      <c r="B99" s="179">
        <f>'Données projet'!D102</f>
        <v>57.95</v>
      </c>
      <c r="C99" s="189">
        <v>235</v>
      </c>
      <c r="D99" s="177">
        <f t="shared" si="6"/>
        <v>13618.25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161</v>
      </c>
      <c r="B100" s="179">
        <f>'Données projet'!D103</f>
        <v>115.43</v>
      </c>
      <c r="C100" s="189">
        <v>235</v>
      </c>
      <c r="D100" s="177">
        <f t="shared" si="6"/>
        <v>27126.050000000003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Chêne sessile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3554.13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30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44</v>
      </c>
      <c r="B117" s="179">
        <f>'Données projet'!D115</f>
        <v>74.010000000000005</v>
      </c>
      <c r="C117" s="189">
        <v>235</v>
      </c>
      <c r="D117" s="177">
        <f t="shared" ref="D117:D135" si="8">B117*C117</f>
        <v>17392.350000000002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51</v>
      </c>
      <c r="B118" s="179">
        <f>'Données projet'!D116</f>
        <v>46.13</v>
      </c>
      <c r="C118" s="189">
        <v>235</v>
      </c>
      <c r="D118" s="177">
        <f t="shared" si="8"/>
        <v>10840.550000000001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59</v>
      </c>
      <c r="B119" s="179">
        <f>'Données projet'!D117</f>
        <v>48.96</v>
      </c>
      <c r="C119" s="189">
        <v>235</v>
      </c>
      <c r="D119" s="177">
        <f t="shared" si="8"/>
        <v>11505.6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67</v>
      </c>
      <c r="B120" s="179">
        <f>'Données projet'!D118</f>
        <v>40.630000000000003</v>
      </c>
      <c r="C120" s="189">
        <v>235</v>
      </c>
      <c r="D120" s="177">
        <f t="shared" si="8"/>
        <v>9548.0500000000011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75</v>
      </c>
      <c r="B121" s="179">
        <f>'Données projet'!D119</f>
        <v>39.54</v>
      </c>
      <c r="C121" s="189">
        <v>235</v>
      </c>
      <c r="D121" s="177">
        <f t="shared" si="8"/>
        <v>9291.9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84</v>
      </c>
      <c r="B122" s="179">
        <f>'Données projet'!D120</f>
        <v>44.89</v>
      </c>
      <c r="C122" s="189">
        <v>235</v>
      </c>
      <c r="D122" s="177">
        <f t="shared" si="8"/>
        <v>10549.15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93</v>
      </c>
      <c r="B123" s="179">
        <f>'Données projet'!D121</f>
        <v>38.57</v>
      </c>
      <c r="C123" s="189">
        <v>235</v>
      </c>
      <c r="D123" s="177">
        <f t="shared" si="8"/>
        <v>9063.9500000000007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103</v>
      </c>
      <c r="B124" s="179">
        <f>'Données projet'!D122</f>
        <v>50.51</v>
      </c>
      <c r="C124" s="189">
        <v>235</v>
      </c>
      <c r="D124" s="177">
        <f t="shared" si="8"/>
        <v>11869.85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113</v>
      </c>
      <c r="B125" s="179">
        <f>'Données projet'!D123</f>
        <v>40.479999999999997</v>
      </c>
      <c r="C125" s="189">
        <v>235</v>
      </c>
      <c r="D125" s="177">
        <f t="shared" si="8"/>
        <v>9512.7999999999993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125</v>
      </c>
      <c r="B126" s="179">
        <f>'Données projet'!D124</f>
        <v>61.5</v>
      </c>
      <c r="C126" s="189">
        <v>235</v>
      </c>
      <c r="D126" s="177">
        <f t="shared" si="8"/>
        <v>14452.5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137</v>
      </c>
      <c r="B127" s="179">
        <f>'Données projet'!D125</f>
        <v>65.53</v>
      </c>
      <c r="C127" s="189">
        <v>235</v>
      </c>
      <c r="D127" s="177">
        <f t="shared" si="8"/>
        <v>15399.550000000001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149</v>
      </c>
      <c r="B128" s="179">
        <f>'Données projet'!D126</f>
        <v>153.56</v>
      </c>
      <c r="C128" s="189">
        <v>235</v>
      </c>
      <c r="D128" s="177">
        <f t="shared" si="8"/>
        <v>36086.6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153</v>
      </c>
      <c r="B129" s="179">
        <f>'Données projet'!D127</f>
        <v>89.29</v>
      </c>
      <c r="C129" s="189">
        <v>235</v>
      </c>
      <c r="D129" s="177">
        <f t="shared" si="8"/>
        <v>20983.15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157</v>
      </c>
      <c r="B130" s="179">
        <f>'Données projet'!D128</f>
        <v>57.95</v>
      </c>
      <c r="C130" s="189">
        <v>235</v>
      </c>
      <c r="D130" s="177">
        <f t="shared" si="8"/>
        <v>13618.25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161</v>
      </c>
      <c r="B131" s="179">
        <f>'Données projet'!D129</f>
        <v>115.43</v>
      </c>
      <c r="C131" s="189">
        <v>235</v>
      </c>
      <c r="D131" s="177">
        <f t="shared" si="8"/>
        <v>27126.050000000003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Noyer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4294.58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15</v>
      </c>
      <c r="B147" s="173">
        <f>'Données projet'!D140</f>
        <v>15</v>
      </c>
      <c r="C147" s="189">
        <v>20</v>
      </c>
      <c r="D147" s="180">
        <f>B147*C147</f>
        <v>300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20</v>
      </c>
      <c r="B148" s="173">
        <f>'Données projet'!D141</f>
        <v>28</v>
      </c>
      <c r="C148" s="189">
        <v>20</v>
      </c>
      <c r="D148" s="180">
        <f t="shared" ref="D148:D166" si="10">B148*C148</f>
        <v>560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25</v>
      </c>
      <c r="B149" s="173">
        <f>'Données projet'!D142</f>
        <v>28</v>
      </c>
      <c r="C149" s="189">
        <v>20</v>
      </c>
      <c r="D149" s="180">
        <f t="shared" si="10"/>
        <v>560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30</v>
      </c>
      <c r="B150" s="173">
        <f>'Données projet'!D143</f>
        <v>28</v>
      </c>
      <c r="C150" s="189">
        <v>20</v>
      </c>
      <c r="D150" s="180">
        <f t="shared" si="10"/>
        <v>560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35</v>
      </c>
      <c r="B151" s="173">
        <f>'Données projet'!D144</f>
        <v>28</v>
      </c>
      <c r="C151" s="189">
        <v>55</v>
      </c>
      <c r="D151" s="180">
        <f t="shared" si="10"/>
        <v>1540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40</v>
      </c>
      <c r="B152" s="173">
        <f>'Données projet'!D145</f>
        <v>28</v>
      </c>
      <c r="C152" s="189">
        <v>55</v>
      </c>
      <c r="D152" s="180">
        <f t="shared" si="10"/>
        <v>1540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45</v>
      </c>
      <c r="B153" s="173">
        <f>'Données projet'!D146</f>
        <v>22</v>
      </c>
      <c r="C153" s="189">
        <v>55</v>
      </c>
      <c r="D153" s="180">
        <f t="shared" si="10"/>
        <v>1210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50</v>
      </c>
      <c r="B154" s="173">
        <f>'Données projet'!D147</f>
        <v>17</v>
      </c>
      <c r="C154" s="189">
        <v>55</v>
      </c>
      <c r="D154" s="180">
        <f t="shared" si="10"/>
        <v>935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55</v>
      </c>
      <c r="B155" s="173">
        <f>'Données projet'!D148</f>
        <v>13</v>
      </c>
      <c r="C155" s="189">
        <v>55</v>
      </c>
      <c r="D155" s="180">
        <f t="shared" si="10"/>
        <v>715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60</v>
      </c>
      <c r="B156" s="173">
        <f>'Données projet'!D149</f>
        <v>12</v>
      </c>
      <c r="C156" s="189">
        <v>55</v>
      </c>
      <c r="D156" s="180">
        <f t="shared" si="10"/>
        <v>660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65</v>
      </c>
      <c r="B157" s="173">
        <f>'Données projet'!D150</f>
        <v>11</v>
      </c>
      <c r="C157" s="189">
        <v>55</v>
      </c>
      <c r="D157" s="180">
        <f t="shared" si="10"/>
        <v>605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70</v>
      </c>
      <c r="B158" s="173">
        <f>'Données projet'!D151</f>
        <v>10</v>
      </c>
      <c r="C158" s="189">
        <v>55</v>
      </c>
      <c r="D158" s="180">
        <f t="shared" si="10"/>
        <v>550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75</v>
      </c>
      <c r="B159" s="173">
        <f>'Données projet'!D152</f>
        <v>9</v>
      </c>
      <c r="C159" s="189">
        <v>55</v>
      </c>
      <c r="D159" s="180">
        <f t="shared" si="10"/>
        <v>495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80</v>
      </c>
      <c r="B160" s="173">
        <f>'Données projet'!D153</f>
        <v>8</v>
      </c>
      <c r="C160" s="189">
        <v>55</v>
      </c>
      <c r="D160" s="180">
        <f t="shared" si="10"/>
        <v>440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Pin de Salzmann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3535.83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20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25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30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35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40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45</v>
      </c>
      <c r="B183" s="179">
        <f>'Données projet'!D171</f>
        <v>73.989999999999995</v>
      </c>
      <c r="C183" s="191">
        <v>41</v>
      </c>
      <c r="D183" s="177">
        <f t="shared" si="11"/>
        <v>3033.5899999999997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50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55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60</v>
      </c>
      <c r="B186" s="179">
        <f>'Données projet'!D174</f>
        <v>71.69</v>
      </c>
      <c r="C186" s="191">
        <v>41</v>
      </c>
      <c r="D186" s="177">
        <f t="shared" si="11"/>
        <v>2939.29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65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70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75</v>
      </c>
      <c r="B189" s="179">
        <f>'Données projet'!D177</f>
        <v>75.069999999999993</v>
      </c>
      <c r="C189" s="191">
        <v>41</v>
      </c>
      <c r="D189" s="177">
        <f t="shared" si="11"/>
        <v>3077.87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80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85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90</v>
      </c>
      <c r="B192" s="179">
        <f>'Données projet'!D180</f>
        <v>65.83</v>
      </c>
      <c r="C192" s="191">
        <v>41</v>
      </c>
      <c r="D192" s="177">
        <f t="shared" si="11"/>
        <v>2699.0299999999997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95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100</v>
      </c>
      <c r="B194" s="179">
        <f>'Données projet'!D182</f>
        <v>92.21</v>
      </c>
      <c r="C194" s="191">
        <v>41</v>
      </c>
      <c r="D194" s="177">
        <f t="shared" si="11"/>
        <v>3780.6099999999997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105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110</v>
      </c>
      <c r="B196" s="179">
        <f>'Données projet'!D184</f>
        <v>244.09</v>
      </c>
      <c r="C196" s="191">
        <v>41</v>
      </c>
      <c r="D196" s="177">
        <f t="shared" si="11"/>
        <v>10007.69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2024-08-13T14:09:04Z</dcterms:modified>
</cp:coreProperties>
</file>