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Casteide-Cami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 l="1"/>
  <c r="B99" i="1"/>
  <c r="B97" i="1"/>
  <c r="B95" i="1"/>
  <c r="B94" i="1"/>
  <c r="B93" i="1"/>
  <c r="B91" i="1"/>
  <c r="B89" i="1"/>
  <c r="B69" i="1" l="1"/>
  <c r="D68" i="1"/>
  <c r="B68" i="1"/>
  <c r="B67" i="1"/>
  <c r="D66" i="1"/>
  <c r="B66" i="1"/>
  <c r="B65" i="1"/>
  <c r="D64" i="1"/>
  <c r="B64" i="1"/>
  <c r="B63" i="1"/>
  <c r="B43" i="1"/>
  <c r="D42" i="1"/>
  <c r="B42" i="1"/>
  <c r="B41" i="1"/>
  <c r="D40" i="1"/>
  <c r="B40" i="1"/>
  <c r="B39" i="1"/>
  <c r="D38" i="1"/>
  <c r="B38" i="1"/>
  <c r="B37" i="1"/>
  <c r="B127" i="1" l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B116" i="1"/>
  <c r="B115" i="1"/>
  <c r="B114" i="1"/>
  <c r="D197" i="1" l="1"/>
  <c r="D202" i="1"/>
  <c r="D101" i="1"/>
  <c r="D99" i="1"/>
  <c r="D97" i="1"/>
  <c r="D95" i="1"/>
  <c r="D93" i="1"/>
  <c r="D91" i="1"/>
  <c r="D89" i="1"/>
  <c r="B148" i="1"/>
  <c r="D148" i="1" s="1"/>
  <c r="B147" i="1"/>
  <c r="B146" i="1"/>
  <c r="D145" i="1"/>
  <c r="B145" i="1"/>
  <c r="B144" i="1"/>
  <c r="C143" i="1"/>
  <c r="D143" i="1"/>
  <c r="B143" i="1"/>
  <c r="B142" i="1"/>
  <c r="B141" i="1"/>
  <c r="B140" i="1"/>
  <c r="B172" i="1" l="1"/>
  <c r="D172" i="1" s="1"/>
  <c r="B171" i="1"/>
  <c r="B170" i="1"/>
  <c r="B169" i="1"/>
  <c r="B168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H156" i="2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EI195" i="2" a="1"/>
  <c r="EI195" i="2" s="1"/>
  <c r="AH90" i="2" a="1"/>
  <c r="AH90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CS77" i="2" l="1" a="1"/>
  <c r="CS77" i="2" s="1"/>
  <c r="CS137" i="2" a="1"/>
  <c r="CS137" i="2" s="1"/>
  <c r="CS120" i="2" a="1"/>
  <c r="CS120" i="2" s="1"/>
  <c r="CS116" i="2" a="1"/>
  <c r="CS116" i="2" s="1"/>
  <c r="EY202" i="2"/>
  <c r="HJ202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8" i="2" l="1"/>
  <c r="DT186" i="2"/>
  <c r="DT20" i="2"/>
  <c r="DT166" i="2"/>
  <c r="DT121" i="2"/>
  <c r="DT167" i="2"/>
  <c r="DT156" i="2"/>
  <c r="DT93" i="2"/>
  <c r="DT193" i="2"/>
  <c r="DT87" i="2"/>
  <c r="DT73" i="2"/>
  <c r="DT113" i="2"/>
  <c r="DT71" i="2"/>
  <c r="DT11" i="2"/>
  <c r="DT195" i="2"/>
  <c r="DT62" i="2"/>
  <c r="DT94" i="2"/>
  <c r="DT201" i="2"/>
  <c r="DT182" i="2"/>
  <c r="DT108" i="2"/>
  <c r="DT4" i="2"/>
  <c r="DT189" i="2"/>
  <c r="DT163" i="2"/>
  <c r="DT191" i="2"/>
  <c r="DT134" i="2"/>
  <c r="DT97" i="2"/>
  <c r="DT15" i="2"/>
  <c r="DT82" i="2"/>
  <c r="DT43" i="2"/>
  <c r="DT36" i="2"/>
  <c r="DT39" i="2"/>
  <c r="DT150" i="2"/>
  <c r="DT37" i="2"/>
  <c r="DT179" i="2"/>
  <c r="DT32" i="2"/>
  <c r="DT136" i="2"/>
  <c r="DT98" i="2"/>
  <c r="DT100" i="2"/>
  <c r="DT60" i="2"/>
  <c r="DT117" i="2"/>
  <c r="DT188" i="2"/>
  <c r="DT181" i="2"/>
  <c r="DT57" i="2"/>
  <c r="DT104" i="2"/>
  <c r="DT190" i="2"/>
  <c r="DT175" i="2"/>
  <c r="DT96" i="2"/>
  <c r="DT152" i="2"/>
  <c r="DT146" i="2"/>
  <c r="DT154" i="2"/>
  <c r="DT176" i="2"/>
  <c r="DT95" i="2"/>
  <c r="DT125" i="2"/>
  <c r="DT141" i="2"/>
  <c r="DT185" i="2"/>
  <c r="DT24" i="2"/>
  <c r="DT54" i="2"/>
  <c r="DT177" i="2"/>
  <c r="DT79" i="2"/>
  <c r="DT33" i="2"/>
  <c r="DT74" i="2"/>
  <c r="DT169" i="2"/>
  <c r="DT7" i="2"/>
  <c r="DT159" i="2"/>
  <c r="DT63" i="2"/>
  <c r="DT38" i="2"/>
  <c r="DT162" i="2"/>
  <c r="DT50" i="2"/>
  <c r="DT165" i="2"/>
  <c r="DT147" i="2"/>
  <c r="DT132" i="2"/>
  <c r="DT10" i="2"/>
  <c r="DT99" i="2"/>
  <c r="DT101" i="2"/>
  <c r="DT198" i="2"/>
  <c r="DT53" i="2"/>
  <c r="DT76" i="2"/>
  <c r="DT116" i="2"/>
  <c r="DT158" i="2"/>
  <c r="DT144" i="2"/>
  <c r="DT119" i="2"/>
  <c r="DT157" i="2"/>
  <c r="DT86" i="2"/>
  <c r="DT103" i="2"/>
  <c r="DT84" i="2"/>
  <c r="DT16" i="2"/>
  <c r="DT149" i="2"/>
  <c r="DT102" i="2"/>
  <c r="DT42" i="2"/>
  <c r="DT56" i="2"/>
  <c r="DT90" i="2"/>
  <c r="DT184" i="2"/>
  <c r="DT69" i="2"/>
  <c r="DT6" i="2"/>
  <c r="DT51" i="2"/>
  <c r="DT148" i="2"/>
  <c r="DT19" i="2"/>
  <c r="DT64" i="2"/>
  <c r="DT170" i="2"/>
  <c r="DT129" i="2"/>
  <c r="DT55" i="2"/>
  <c r="DT145" i="2"/>
  <c r="DT61" i="2"/>
  <c r="DT85" i="2"/>
  <c r="DT81" i="2"/>
  <c r="DT131" i="2"/>
  <c r="DT26" i="2"/>
  <c r="DT199" i="2"/>
  <c r="DT46" i="2"/>
  <c r="DT183" i="2"/>
  <c r="DT168" i="2"/>
  <c r="DT109" i="2"/>
  <c r="DT171" i="2"/>
  <c r="DT110" i="2"/>
  <c r="DT91" i="2"/>
  <c r="DT45" i="2"/>
  <c r="DT126" i="2"/>
  <c r="DT123" i="2"/>
  <c r="DT58" i="2"/>
  <c r="DT41" i="2"/>
  <c r="DT27" i="2"/>
  <c r="DT22" i="2"/>
  <c r="DT9" i="2"/>
  <c r="DT72" i="2"/>
  <c r="DT5" i="2"/>
  <c r="DT59" i="2"/>
  <c r="DT47" i="2"/>
  <c r="DT174" i="2"/>
  <c r="DT65" i="2"/>
  <c r="DT127" i="2"/>
  <c r="DT139" i="2"/>
  <c r="DT120" i="2"/>
  <c r="DT67" i="2"/>
  <c r="DT122" i="2"/>
  <c r="DT66" i="2"/>
  <c r="DT31" i="2"/>
  <c r="DT164" i="2"/>
  <c r="DT124" i="2"/>
  <c r="DT114" i="2"/>
  <c r="DT52" i="2"/>
  <c r="DT48" i="2"/>
  <c r="DT192" i="2"/>
  <c r="DT14" i="2"/>
  <c r="DT78" i="2"/>
  <c r="DT133" i="2"/>
  <c r="DT40" i="2"/>
  <c r="DT173" i="2"/>
  <c r="DT106" i="2"/>
  <c r="DT172" i="2"/>
  <c r="DT111" i="2"/>
  <c r="DT23" i="2"/>
  <c r="DT25" i="2"/>
  <c r="DT70" i="2"/>
  <c r="DT49" i="2"/>
  <c r="DT197" i="2"/>
  <c r="DT28" i="2"/>
  <c r="DT142" i="2"/>
  <c r="DT83" i="2"/>
  <c r="DT105" i="2"/>
  <c r="DT118" i="2"/>
  <c r="DT180" i="2"/>
  <c r="DT140" i="2"/>
  <c r="DT92" i="2"/>
  <c r="DT35" i="2"/>
  <c r="DT153" i="2"/>
  <c r="DT68" i="2"/>
  <c r="DT130" i="2"/>
  <c r="DT88" i="2"/>
  <c r="DT135" i="2"/>
  <c r="DT160" i="2"/>
  <c r="DT200" i="2"/>
  <c r="DT137" i="2"/>
  <c r="DT203" i="2"/>
  <c r="DT138" i="2"/>
  <c r="DT8" i="2"/>
  <c r="DT13" i="2"/>
  <c r="DT151" i="2"/>
  <c r="DT202" i="2"/>
  <c r="DT196" i="2"/>
  <c r="DT17" i="2"/>
  <c r="DT155" i="2"/>
  <c r="DT115" i="2"/>
  <c r="DT178" i="2"/>
  <c r="DT143" i="2"/>
  <c r="DT18" i="2"/>
  <c r="DT187" i="2"/>
  <c r="DT112" i="2"/>
  <c r="DT44" i="2"/>
  <c r="DT80" i="2"/>
  <c r="DT77" i="2"/>
  <c r="DT30" i="2"/>
  <c r="DT34" i="2"/>
  <c r="DT89" i="2"/>
  <c r="DT21" i="2"/>
  <c r="DT75" i="2"/>
  <c r="DT161" i="2"/>
  <c r="DT194" i="2"/>
  <c r="DT107" i="2"/>
  <c r="DT12" i="2"/>
  <c r="DT3" i="2"/>
  <c r="C11" i="4" s="1"/>
  <c r="E11" i="4" s="1"/>
  <c r="F11" i="4" s="1"/>
  <c r="G11" i="4" s="1"/>
  <c r="L11" i="4" s="1"/>
  <c r="DT29" i="2"/>
  <c r="CD60" i="2"/>
  <c r="CD171" i="2"/>
  <c r="CD16" i="2"/>
  <c r="CD97" i="2"/>
  <c r="CD113" i="2"/>
  <c r="CD184" i="2"/>
  <c r="CD78" i="2"/>
  <c r="CD114" i="2"/>
  <c r="CD23" i="2"/>
  <c r="CD121" i="2"/>
  <c r="CD195" i="2"/>
  <c r="CD163" i="2"/>
  <c r="CD106" i="2"/>
  <c r="CD194" i="2"/>
  <c r="CD158" i="2"/>
  <c r="CD130" i="2"/>
  <c r="CD142" i="2"/>
  <c r="CD94" i="2"/>
  <c r="CD144" i="2"/>
  <c r="CD123" i="2"/>
  <c r="CD61" i="2"/>
  <c r="CD3" i="2"/>
  <c r="C9" i="4" s="1"/>
  <c r="E9" i="4" s="1"/>
  <c r="F9" i="4" s="1"/>
  <c r="G9" i="4" s="1"/>
  <c r="L9" i="4" s="1"/>
  <c r="CD8" i="2"/>
  <c r="CD104" i="2"/>
  <c r="CD90" i="2"/>
  <c r="CD39" i="2"/>
  <c r="CD48" i="2"/>
  <c r="CD56" i="2"/>
  <c r="CD19" i="2"/>
  <c r="CD185" i="2"/>
  <c r="CD188" i="2"/>
  <c r="CD120" i="2"/>
  <c r="CD179" i="2"/>
  <c r="CD132" i="2"/>
  <c r="CD200" i="2"/>
  <c r="CD45" i="2"/>
  <c r="CD172" i="2"/>
  <c r="CD160" i="2"/>
  <c r="CD84" i="2"/>
  <c r="CD110" i="2"/>
  <c r="CD162" i="2"/>
  <c r="CD27" i="2"/>
  <c r="CD118" i="2"/>
  <c r="CD25" i="2"/>
  <c r="CD29" i="2"/>
  <c r="CD133" i="2"/>
  <c r="CD181" i="2"/>
  <c r="CD86" i="2"/>
  <c r="CD7" i="2"/>
  <c r="CD77" i="2"/>
  <c r="CD12" i="2"/>
  <c r="CD157" i="2"/>
  <c r="CD51" i="2"/>
  <c r="CD71" i="2"/>
  <c r="CD196" i="2"/>
  <c r="CD44" i="2"/>
  <c r="CD46" i="2"/>
  <c r="CD82" i="2"/>
  <c r="CD139" i="2"/>
  <c r="CD64" i="2"/>
  <c r="CD129" i="2"/>
  <c r="CD99" i="2"/>
  <c r="CD108" i="2"/>
  <c r="CD55" i="2"/>
  <c r="CD189" i="2"/>
  <c r="CD156" i="2"/>
  <c r="CD140" i="2"/>
  <c r="CD111" i="2"/>
  <c r="CD38" i="2"/>
  <c r="CD54" i="2"/>
  <c r="CD155" i="2"/>
  <c r="CD89" i="2"/>
  <c r="CD93" i="2"/>
  <c r="CD116" i="2"/>
  <c r="CD202" i="2"/>
  <c r="CD187" i="2"/>
  <c r="CD24" i="2"/>
  <c r="CD36" i="2"/>
  <c r="CD59" i="2"/>
  <c r="CD76" i="2"/>
  <c r="CD10" i="2"/>
  <c r="CD119" i="2"/>
  <c r="CD80" i="2"/>
  <c r="CD62" i="2"/>
  <c r="CD186" i="2"/>
  <c r="CD13" i="2"/>
  <c r="CD68" i="2"/>
  <c r="CD83" i="2"/>
  <c r="CD50" i="2"/>
  <c r="CD146" i="2"/>
  <c r="CD145" i="2"/>
  <c r="CD203" i="2"/>
  <c r="CD75" i="2"/>
  <c r="CD11" i="2"/>
  <c r="CD128" i="2"/>
  <c r="CD26" i="2"/>
  <c r="CD18" i="2"/>
  <c r="CD100" i="2"/>
  <c r="CD81" i="2"/>
  <c r="CD63" i="2"/>
  <c r="CD141" i="2"/>
  <c r="CD125" i="2"/>
  <c r="CD28" i="2"/>
  <c r="CD67" i="2"/>
  <c r="CD35" i="2"/>
  <c r="CD69" i="2"/>
  <c r="CD175" i="2"/>
  <c r="CD41" i="2"/>
  <c r="CD112" i="2"/>
  <c r="CD183" i="2"/>
  <c r="CD115" i="2"/>
  <c r="CD191" i="2"/>
  <c r="CD105" i="2"/>
  <c r="CD73" i="2"/>
  <c r="CD153" i="2"/>
  <c r="CD122" i="2"/>
  <c r="CD150" i="2"/>
  <c r="CD143" i="2"/>
  <c r="CD136" i="2"/>
  <c r="CD182" i="2"/>
  <c r="CD135" i="2"/>
  <c r="CD147" i="2"/>
  <c r="CD53" i="2"/>
  <c r="CD161" i="2"/>
  <c r="CD137" i="2"/>
  <c r="CD165" i="2"/>
  <c r="CD151" i="2"/>
  <c r="CD79" i="2"/>
  <c r="CD178" i="2"/>
  <c r="CD47" i="2"/>
  <c r="CD14" i="2"/>
  <c r="CD20" i="2"/>
  <c r="CD166" i="2"/>
  <c r="CD124" i="2"/>
  <c r="CD70" i="2"/>
  <c r="CD87" i="2"/>
  <c r="CD32" i="2"/>
  <c r="CD180" i="2"/>
  <c r="CD49" i="2"/>
  <c r="CD91" i="2"/>
  <c r="CD149" i="2"/>
  <c r="CD95" i="2"/>
  <c r="CD74" i="2"/>
  <c r="CD30" i="2"/>
  <c r="CD109" i="2"/>
  <c r="CD190" i="2"/>
  <c r="CD65" i="2"/>
  <c r="CD127" i="2"/>
  <c r="CD5" i="2"/>
  <c r="CD42" i="2"/>
  <c r="CD131" i="2"/>
  <c r="CD164" i="2"/>
  <c r="CD9" i="2"/>
  <c r="CD152" i="2"/>
  <c r="CD52" i="2"/>
  <c r="CD192" i="2"/>
  <c r="CD117" i="2"/>
  <c r="CD148" i="2"/>
  <c r="CD17" i="2"/>
  <c r="CD22" i="2"/>
  <c r="CD57" i="2"/>
  <c r="CD31" i="2"/>
  <c r="CD88" i="2"/>
  <c r="CD174" i="2"/>
  <c r="CD198" i="2"/>
  <c r="CD167" i="2"/>
  <c r="CD170" i="2"/>
  <c r="CD173" i="2"/>
  <c r="CD107" i="2"/>
  <c r="CD201" i="2"/>
  <c r="CD134" i="2"/>
  <c r="CD85" i="2"/>
  <c r="CD169" i="2"/>
  <c r="CD168" i="2"/>
  <c r="CD4" i="2"/>
  <c r="CD102" i="2"/>
  <c r="CD34" i="2"/>
  <c r="CD199" i="2"/>
  <c r="CD176" i="2"/>
  <c r="CD40" i="2"/>
  <c r="CD96" i="2"/>
  <c r="CD154" i="2"/>
  <c r="CD193" i="2"/>
  <c r="CD43" i="2"/>
  <c r="CD98" i="2"/>
  <c r="CD58" i="2"/>
  <c r="CD138" i="2"/>
  <c r="CD103" i="2"/>
  <c r="CD92" i="2"/>
  <c r="CD37" i="2"/>
  <c r="CD159" i="2"/>
  <c r="CD101" i="2"/>
  <c r="CD197" i="2"/>
  <c r="CD6" i="2"/>
  <c r="CD126" i="2"/>
  <c r="CD72" i="2"/>
  <c r="CD177" i="2"/>
  <c r="CD33" i="2"/>
  <c r="CD21" i="2"/>
  <c r="CD66" i="2"/>
  <c r="CD15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<sst xmlns="http://schemas.openxmlformats.org/spreadsheetml/2006/main" count="1176" uniqueCount="324">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</sst>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34320"/>
        <c:axId val="-2107233232"/>
      </c:scatterChart>
      <c:valAx>
        <c:axId val="-2107234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3232"/>
        <c:crosses val="autoZero"/>
        <c:crossBetween val="midCat"/>
      </c:valAx>
      <c:valAx>
        <c:axId val="-210723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3989024"/>
        <c:axId val="-1893998272"/>
      </c:scatterChart>
      <c:valAx>
        <c:axId val="-1893989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3998272"/>
        <c:crosses val="autoZero"/>
        <c:crossBetween val="midCat"/>
      </c:valAx>
      <c:valAx>
        <c:axId val="-189399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3989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38128"/>
        <c:axId val="-2107240304"/>
      </c:scatterChart>
      <c:valAx>
        <c:axId val="-210723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0304"/>
        <c:crosses val="autoZero"/>
        <c:crossBetween val="midCat"/>
      </c:valAx>
      <c:valAx>
        <c:axId val="-210724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167.21639270035547</c:v>
                </c:pt>
                <c:pt idx="25">
                  <c:v>187.24258760716546</c:v>
                </c:pt>
                <c:pt idx="26">
                  <c:v>206.2685966241975</c:v>
                </c:pt>
                <c:pt idx="27">
                  <c:v>225.25404749767384</c:v>
                </c:pt>
                <c:pt idx="28">
                  <c:v>244.20283975997816</c:v>
                </c:pt>
                <c:pt idx="29">
                  <c:v>263.11821789263291</c:v>
                </c:pt>
                <c:pt idx="30">
                  <c:v>282.00292156784479</c:v>
                </c:pt>
                <c:pt idx="31">
                  <c:v>210.38540694907314</c:v>
                </c:pt>
                <c:pt idx="32">
                  <c:v>227.15051827180903</c:v>
                </c:pt>
                <c:pt idx="33">
                  <c:v>243.88730861103326</c:v>
                </c:pt>
                <c:pt idx="34">
                  <c:v>260.59799513306115</c:v>
                </c:pt>
                <c:pt idx="35">
                  <c:v>277.28448730625297</c:v>
                </c:pt>
                <c:pt idx="36">
                  <c:v>292.37729611444672</c:v>
                </c:pt>
                <c:pt idx="37">
                  <c:v>307.4527132610603</c:v>
                </c:pt>
                <c:pt idx="38">
                  <c:v>322.51171160469693</c:v>
                </c:pt>
                <c:pt idx="39">
                  <c:v>337.55516572548032</c:v>
                </c:pt>
                <c:pt idx="40">
                  <c:v>352.58386588275084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340.06095344521356</c:v>
                </c:pt>
                <c:pt idx="47">
                  <c:v>351.01904297525931</c:v>
                </c:pt>
                <c:pt idx="48">
                  <c:v>361.96963273404771</c:v>
                </c:pt>
                <c:pt idx="49">
                  <c:v>372.91298167145283</c:v>
                </c:pt>
                <c:pt idx="50">
                  <c:v>383.8493322938412</c:v>
                </c:pt>
                <c:pt idx="51">
                  <c:v>332.85570681025916</c:v>
                </c:pt>
                <c:pt idx="52">
                  <c:v>342.87947924141304</c:v>
                </c:pt>
                <c:pt idx="53">
                  <c:v>352.89681216953187</c:v>
                </c:pt>
                <c:pt idx="54">
                  <c:v>362.90791424748909</c:v>
                </c:pt>
                <c:pt idx="55">
                  <c:v>372.91298167145288</c:v>
                </c:pt>
                <c:pt idx="56">
                  <c:v>380.7253612664947</c:v>
                </c:pt>
                <c:pt idx="57">
                  <c:v>388.5342542497454</c:v>
                </c:pt>
                <c:pt idx="58">
                  <c:v>396.33974062840025</c:v>
                </c:pt>
                <c:pt idx="59">
                  <c:v>404.1418969991085</c:v>
                </c:pt>
                <c:pt idx="60">
                  <c:v>411.94079675783905</c:v>
                </c:pt>
                <c:pt idx="61">
                  <c:v>379.78806142237414</c:v>
                </c:pt>
                <c:pt idx="62">
                  <c:v>386.66043357385666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413.18832324929986</c:v>
                </c:pt>
                <c:pt idx="67">
                  <c:v>419.11296885471535</c:v>
                </c:pt>
                <c:pt idx="68">
                  <c:v>425.03581010994799</c:v>
                </c:pt>
                <c:pt idx="69">
                  <c:v>430.95687572671636</c:v>
                </c:pt>
                <c:pt idx="70">
                  <c:v>436.87619356276895</c:v>
                </c:pt>
                <c:pt idx="71">
                  <c:v>409.44549880731051</c:v>
                </c:pt>
                <c:pt idx="72">
                  <c:v>414.74761709639353</c:v>
                </c:pt>
                <c:pt idx="73">
                  <c:v>420.0482735257836</c:v>
                </c:pt>
                <c:pt idx="74">
                  <c:v>425.34748916314453</c:v>
                </c:pt>
                <c:pt idx="75">
                  <c:v>430.64528450788202</c:v>
                </c:pt>
                <c:pt idx="76">
                  <c:v>435.31864626323119</c:v>
                </c:pt>
                <c:pt idx="77">
                  <c:v>439.99093116362309</c:v>
                </c:pt>
                <c:pt idx="78">
                  <c:v>444.66215226871242</c:v>
                </c:pt>
                <c:pt idx="79">
                  <c:v>449.33232234112387</c:v>
                </c:pt>
                <c:pt idx="80">
                  <c:v>454.00145385629543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37584"/>
        <c:axId val="-2107246832"/>
      </c:scatterChart>
      <c:valAx>
        <c:axId val="-2107237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6832"/>
        <c:crosses val="autoZero"/>
        <c:crossBetween val="midCat"/>
      </c:valAx>
      <c:valAx>
        <c:axId val="-210724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42480"/>
        <c:axId val="-2107246288"/>
      </c:scatterChart>
      <c:valAx>
        <c:axId val="-2107242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6288"/>
        <c:crosses val="autoZero"/>
        <c:crossBetween val="midCat"/>
      </c:valAx>
      <c:valAx>
        <c:axId val="-210724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2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188.43805162103794</c:v>
                </c:pt>
                <c:pt idx="12">
                  <c:v>209.5635422593634</c:v>
                </c:pt>
                <c:pt idx="13">
                  <c:v>230.63988637237389</c:v>
                </c:pt>
                <c:pt idx="14">
                  <c:v>251.67220666437959</c:v>
                </c:pt>
                <c:pt idx="15">
                  <c:v>272.6646989766358</c:v>
                </c:pt>
                <c:pt idx="16">
                  <c:v>292.06972985560304</c:v>
                </c:pt>
                <c:pt idx="17">
                  <c:v>311.445977545365</c:v>
                </c:pt>
                <c:pt idx="18">
                  <c:v>330.79548404889391</c:v>
                </c:pt>
                <c:pt idx="19">
                  <c:v>350.1200330013915</c:v>
                </c:pt>
                <c:pt idx="20">
                  <c:v>369.42119511414558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355.91277070439509</c:v>
                </c:pt>
                <c:pt idx="27">
                  <c:v>369.42119511414558</c:v>
                </c:pt>
                <c:pt idx="28">
                  <c:v>382.9188457551441</c:v>
                </c:pt>
                <c:pt idx="29">
                  <c:v>396.40615590256044</c:v>
                </c:pt>
                <c:pt idx="30">
                  <c:v>409.88352694182049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434.88781420496633</c:v>
                </c:pt>
                <c:pt idx="37">
                  <c:v>444.49652417922852</c:v>
                </c:pt>
                <c:pt idx="38">
                  <c:v>454.10078588624373</c:v>
                </c:pt>
                <c:pt idx="39">
                  <c:v>463.70070669781398</c:v>
                </c:pt>
                <c:pt idx="40">
                  <c:v>473.29638917614938</c:v>
                </c:pt>
                <c:pt idx="41">
                  <c:v>482.88793138455003</c:v>
                </c:pt>
                <c:pt idx="42">
                  <c:v>492.47542717211553</c:v>
                </c:pt>
                <c:pt idx="43">
                  <c:v>502.05896643512551</c:v>
                </c:pt>
                <c:pt idx="44">
                  <c:v>511.63863535742729</c:v>
                </c:pt>
                <c:pt idx="45">
                  <c:v>521.21451663187679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36496"/>
        <c:axId val="-2107241936"/>
      </c:scatterChart>
      <c:valAx>
        <c:axId val="-2107236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1936"/>
        <c:crosses val="autoZero"/>
        <c:crossBetween val="midCat"/>
      </c:valAx>
      <c:valAx>
        <c:axId val="-210724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6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2.059299625439059</c:v>
                </c:pt>
                <c:pt idx="2">
                  <c:v>2.5631490552489224</c:v>
                </c:pt>
                <c:pt idx="3">
                  <c:v>3.1907575421655068</c:v>
                </c:pt>
                <c:pt idx="4">
                  <c:v>3.972635492295312</c:v>
                </c:pt>
                <c:pt idx="5">
                  <c:v>4.9468409052332136</c:v>
                </c:pt>
                <c:pt idx="6">
                  <c:v>6.1608524298468161</c:v>
                </c:pt>
                <c:pt idx="7">
                  <c:v>7.673908613844187</c:v>
                </c:pt>
                <c:pt idx="8">
                  <c:v>9.5599296925347588</c:v>
                </c:pt>
                <c:pt idx="9">
                  <c:v>11.911167369074306</c:v>
                </c:pt>
                <c:pt idx="10">
                  <c:v>14.842764443415049</c:v>
                </c:pt>
                <c:pt idx="11">
                  <c:v>18.498451683695013</c:v>
                </c:pt>
                <c:pt idx="12">
                  <c:v>23.057666296912391</c:v>
                </c:pt>
                <c:pt idx="13">
                  <c:v>28.744447618276066</c:v>
                </c:pt>
                <c:pt idx="14">
                  <c:v>35.838554796967067</c:v>
                </c:pt>
                <c:pt idx="15">
                  <c:v>44.689362812583909</c:v>
                </c:pt>
                <c:pt idx="16">
                  <c:v>55.733232748311231</c:v>
                </c:pt>
                <c:pt idx="17">
                  <c:v>69.515226931876853</c:v>
                </c:pt>
                <c:pt idx="18">
                  <c:v>86.716258171398479</c:v>
                </c:pt>
                <c:pt idx="19">
                  <c:v>108.18703592715815</c:v>
                </c:pt>
                <c:pt idx="20">
                  <c:v>134.99051473121605</c:v>
                </c:pt>
                <c:pt idx="21">
                  <c:v>75.106139619906443</c:v>
                </c:pt>
                <c:pt idx="22">
                  <c:v>89.746706436515694</c:v>
                </c:pt>
                <c:pt idx="23">
                  <c:v>104.3272941810082</c:v>
                </c:pt>
                <c:pt idx="24">
                  <c:v>118.85748997118363</c:v>
                </c:pt>
                <c:pt idx="25">
                  <c:v>133.34433344211197</c:v>
                </c:pt>
                <c:pt idx="26">
                  <c:v>147.79320404174845</c:v>
                </c:pt>
                <c:pt idx="27">
                  <c:v>162.20834057141184</c:v>
                </c:pt>
                <c:pt idx="28">
                  <c:v>176.59316531401487</c:v>
                </c:pt>
                <c:pt idx="29">
                  <c:v>190.95049654731417</c:v>
                </c:pt>
                <c:pt idx="30">
                  <c:v>205.28269356734697</c:v>
                </c:pt>
                <c:pt idx="31">
                  <c:v>216.25896183985853</c:v>
                </c:pt>
                <c:pt idx="32">
                  <c:v>227.22241767290214</c:v>
                </c:pt>
                <c:pt idx="33">
                  <c:v>238.17376682993768</c:v>
                </c:pt>
                <c:pt idx="34">
                  <c:v>249.11364481597573</c:v>
                </c:pt>
                <c:pt idx="35">
                  <c:v>260.04262671698189</c:v>
                </c:pt>
                <c:pt idx="36">
                  <c:v>270.96123529691698</c:v>
                </c:pt>
                <c:pt idx="37">
                  <c:v>281.86994772018772</c:v>
                </c:pt>
                <c:pt idx="38">
                  <c:v>292.7692011781333</c:v>
                </c:pt>
                <c:pt idx="39">
                  <c:v>303.659397633217</c:v>
                </c:pt>
                <c:pt idx="40">
                  <c:v>314.54090784661207</c:v>
                </c:pt>
                <c:pt idx="41">
                  <c:v>145.7684799383367</c:v>
                </c:pt>
                <c:pt idx="42">
                  <c:v>163.29836706023542</c:v>
                </c:pt>
                <c:pt idx="43">
                  <c:v>180.78374378845038</c:v>
                </c:pt>
                <c:pt idx="44">
                  <c:v>198.22952330955923</c:v>
                </c:pt>
                <c:pt idx="45">
                  <c:v>215.63968200938768</c:v>
                </c:pt>
                <c:pt idx="46">
                  <c:v>233.01750101249687</c:v>
                </c:pt>
                <c:pt idx="47">
                  <c:v>250.36573167724194</c:v>
                </c:pt>
                <c:pt idx="48">
                  <c:v>267.68671271122554</c:v>
                </c:pt>
                <c:pt idx="49">
                  <c:v>284.98245533148872</c:v>
                </c:pt>
                <c:pt idx="50">
                  <c:v>302.25470663909709</c:v>
                </c:pt>
                <c:pt idx="51">
                  <c:v>236.38349204501648</c:v>
                </c:pt>
                <c:pt idx="52">
                  <c:v>248.81735550888095</c:v>
                </c:pt>
                <c:pt idx="53">
                  <c:v>261.23712560010279</c:v>
                </c:pt>
                <c:pt idx="54">
                  <c:v>273.64356702742066</c:v>
                </c:pt>
                <c:pt idx="55">
                  <c:v>286.03736945996593</c:v>
                </c:pt>
                <c:pt idx="56">
                  <c:v>298.41915789277482</c:v>
                </c:pt>
                <c:pt idx="57">
                  <c:v>310.78950120078446</c:v>
                </c:pt>
                <c:pt idx="58">
                  <c:v>323.14891925888026</c:v>
                </c:pt>
                <c:pt idx="59">
                  <c:v>335.49788891514845</c:v>
                </c:pt>
                <c:pt idx="60">
                  <c:v>347.83684903831903</c:v>
                </c:pt>
                <c:pt idx="61">
                  <c:v>357.19933732983412</c:v>
                </c:pt>
                <c:pt idx="62">
                  <c:v>366.55645469361872</c:v>
                </c:pt>
                <c:pt idx="63">
                  <c:v>375.9083576406224</c:v>
                </c:pt>
                <c:pt idx="64">
                  <c:v>385.25519425482179</c:v>
                </c:pt>
                <c:pt idx="65">
                  <c:v>394.59710484482639</c:v>
                </c:pt>
                <c:pt idx="66">
                  <c:v>403.93422253053865</c:v>
                </c:pt>
                <c:pt idx="67">
                  <c:v>413.26667377272298</c:v>
                </c:pt>
                <c:pt idx="68">
                  <c:v>422.59457885222963</c:v>
                </c:pt>
                <c:pt idx="69">
                  <c:v>431.91805230469055</c:v>
                </c:pt>
                <c:pt idx="70">
                  <c:v>441.23720331571639</c:v>
                </c:pt>
                <c:pt idx="71">
                  <c:v>449.50767757631553</c:v>
                </c:pt>
                <c:pt idx="72">
                  <c:v>457.77489658252875</c:v>
                </c:pt>
                <c:pt idx="73">
                  <c:v>466.03892743829942</c:v>
                </c:pt>
                <c:pt idx="74">
                  <c:v>474.29983467263992</c:v>
                </c:pt>
                <c:pt idx="75">
                  <c:v>482.55768038254035</c:v>
                </c:pt>
                <c:pt idx="76">
                  <c:v>490.8125243655831</c:v>
                </c:pt>
                <c:pt idx="77">
                  <c:v>499.06442424316856</c:v>
                </c:pt>
                <c:pt idx="78">
                  <c:v>507.31343557516715</c:v>
                </c:pt>
                <c:pt idx="79">
                  <c:v>515.5596119667224</c:v>
                </c:pt>
                <c:pt idx="80">
                  <c:v>523.80300516786735</c:v>
                </c:pt>
                <c:pt idx="81">
                  <c:v>1.1334929971951436E-12</c:v>
                </c:pt>
                <c:pt idx="82">
                  <c:v>1.1334929971951436E-12</c:v>
                </c:pt>
                <c:pt idx="83">
                  <c:v>1.1334929971951436E-12</c:v>
                </c:pt>
                <c:pt idx="84">
                  <c:v>1.1334929971951436E-12</c:v>
                </c:pt>
                <c:pt idx="85">
                  <c:v>1.1334929971951436E-12</c:v>
                </c:pt>
                <c:pt idx="86">
                  <c:v>1.1334929971951436E-12</c:v>
                </c:pt>
                <c:pt idx="87">
                  <c:v>1.1334929971951436E-12</c:v>
                </c:pt>
                <c:pt idx="88">
                  <c:v>1.1334929971951436E-12</c:v>
                </c:pt>
                <c:pt idx="89">
                  <c:v>1.1334929971951436E-12</c:v>
                </c:pt>
                <c:pt idx="90">
                  <c:v>1.1334929971951436E-12</c:v>
                </c:pt>
                <c:pt idx="91">
                  <c:v>1.1334929971951436E-12</c:v>
                </c:pt>
                <c:pt idx="92">
                  <c:v>1.1334929971951436E-12</c:v>
                </c:pt>
                <c:pt idx="93">
                  <c:v>1.1334929971951436E-12</c:v>
                </c:pt>
                <c:pt idx="94">
                  <c:v>1.1334929971951436E-12</c:v>
                </c:pt>
                <c:pt idx="95">
                  <c:v>1.1334929971951436E-12</c:v>
                </c:pt>
                <c:pt idx="96">
                  <c:v>1.1334929971951436E-12</c:v>
                </c:pt>
                <c:pt idx="97">
                  <c:v>1.1334929971951436E-12</c:v>
                </c:pt>
                <c:pt idx="98">
                  <c:v>1.1334929971951436E-12</c:v>
                </c:pt>
                <c:pt idx="99">
                  <c:v>1.1334929971951436E-12</c:v>
                </c:pt>
                <c:pt idx="100">
                  <c:v>1.1334929971951436E-12</c:v>
                </c:pt>
                <c:pt idx="101">
                  <c:v>1.1334929971951436E-12</c:v>
                </c:pt>
                <c:pt idx="102">
                  <c:v>1.1334929971951436E-12</c:v>
                </c:pt>
                <c:pt idx="103">
                  <c:v>1.1334929971951436E-12</c:v>
                </c:pt>
                <c:pt idx="104">
                  <c:v>1.1334929971951436E-12</c:v>
                </c:pt>
                <c:pt idx="105">
                  <c:v>1.1334929971951436E-12</c:v>
                </c:pt>
                <c:pt idx="106">
                  <c:v>1.1334929971951436E-12</c:v>
                </c:pt>
                <c:pt idx="107">
                  <c:v>1.1334929971951436E-12</c:v>
                </c:pt>
                <c:pt idx="108">
                  <c:v>1.1334929971951436E-12</c:v>
                </c:pt>
                <c:pt idx="109">
                  <c:v>1.1334929971951436E-12</c:v>
                </c:pt>
                <c:pt idx="110">
                  <c:v>1.1334929971951436E-12</c:v>
                </c:pt>
                <c:pt idx="111">
                  <c:v>1.1334929971951436E-12</c:v>
                </c:pt>
                <c:pt idx="112">
                  <c:v>1.1334929971951436E-12</c:v>
                </c:pt>
                <c:pt idx="113">
                  <c:v>1.1334929971951436E-12</c:v>
                </c:pt>
                <c:pt idx="114">
                  <c:v>1.1334929971951436E-12</c:v>
                </c:pt>
                <c:pt idx="115">
                  <c:v>1.1334929971951436E-12</c:v>
                </c:pt>
                <c:pt idx="116">
                  <c:v>1.1334929971951436E-12</c:v>
                </c:pt>
                <c:pt idx="117">
                  <c:v>1.1334929971951436E-12</c:v>
                </c:pt>
                <c:pt idx="118">
                  <c:v>1.1334929971951436E-12</c:v>
                </c:pt>
                <c:pt idx="119">
                  <c:v>1.1334929971951436E-12</c:v>
                </c:pt>
                <c:pt idx="120">
                  <c:v>1.1334929971951436E-12</c:v>
                </c:pt>
                <c:pt idx="121">
                  <c:v>1.1334929971951436E-12</c:v>
                </c:pt>
                <c:pt idx="122">
                  <c:v>1.1334929971951436E-12</c:v>
                </c:pt>
                <c:pt idx="123">
                  <c:v>1.1334929971951436E-12</c:v>
                </c:pt>
                <c:pt idx="124">
                  <c:v>1.1334929971951436E-12</c:v>
                </c:pt>
                <c:pt idx="125">
                  <c:v>1.1334929971951436E-12</c:v>
                </c:pt>
                <c:pt idx="126">
                  <c:v>1.1334929971951436E-12</c:v>
                </c:pt>
                <c:pt idx="127">
                  <c:v>1.1334929971951436E-12</c:v>
                </c:pt>
                <c:pt idx="128">
                  <c:v>1.1334929971951436E-12</c:v>
                </c:pt>
                <c:pt idx="129">
                  <c:v>1.1334929971951436E-12</c:v>
                </c:pt>
                <c:pt idx="130">
                  <c:v>1.1334929971951436E-12</c:v>
                </c:pt>
                <c:pt idx="131">
                  <c:v>1.1334929971951436E-12</c:v>
                </c:pt>
                <c:pt idx="132">
                  <c:v>1.1334929971951436E-12</c:v>
                </c:pt>
                <c:pt idx="133">
                  <c:v>1.1334929971951436E-12</c:v>
                </c:pt>
                <c:pt idx="134">
                  <c:v>1.1334929971951436E-12</c:v>
                </c:pt>
                <c:pt idx="135">
                  <c:v>1.1334929971951436E-12</c:v>
                </c:pt>
                <c:pt idx="136">
                  <c:v>1.1334929971951436E-12</c:v>
                </c:pt>
                <c:pt idx="137">
                  <c:v>1.1334929971951436E-12</c:v>
                </c:pt>
                <c:pt idx="138">
                  <c:v>1.1334929971951436E-12</c:v>
                </c:pt>
                <c:pt idx="139">
                  <c:v>1.1334929971951436E-12</c:v>
                </c:pt>
                <c:pt idx="140">
                  <c:v>1.1334929971951436E-12</c:v>
                </c:pt>
                <c:pt idx="141">
                  <c:v>1.1334929971951436E-12</c:v>
                </c:pt>
                <c:pt idx="142">
                  <c:v>1.1334929971951436E-12</c:v>
                </c:pt>
                <c:pt idx="143">
                  <c:v>1.1334929971951436E-12</c:v>
                </c:pt>
                <c:pt idx="144">
                  <c:v>1.1334929971951436E-12</c:v>
                </c:pt>
                <c:pt idx="145">
                  <c:v>1.1334929971951436E-12</c:v>
                </c:pt>
                <c:pt idx="146">
                  <c:v>1.1334929971951436E-12</c:v>
                </c:pt>
                <c:pt idx="147">
                  <c:v>1.1334929971951436E-12</c:v>
                </c:pt>
                <c:pt idx="148">
                  <c:v>1.1334929971951436E-12</c:v>
                </c:pt>
                <c:pt idx="149">
                  <c:v>1.1334929971951436E-12</c:v>
                </c:pt>
                <c:pt idx="150">
                  <c:v>1.1334929971951436E-12</c:v>
                </c:pt>
                <c:pt idx="151">
                  <c:v>1.1334929971951436E-12</c:v>
                </c:pt>
                <c:pt idx="152">
                  <c:v>1.1334929971951436E-12</c:v>
                </c:pt>
                <c:pt idx="153">
                  <c:v>1.1334929971951436E-12</c:v>
                </c:pt>
                <c:pt idx="154">
                  <c:v>1.1334929971951436E-12</c:v>
                </c:pt>
                <c:pt idx="155">
                  <c:v>1.1334929971951436E-12</c:v>
                </c:pt>
                <c:pt idx="156">
                  <c:v>1.1334929971951436E-12</c:v>
                </c:pt>
                <c:pt idx="157">
                  <c:v>1.1334929971951436E-12</c:v>
                </c:pt>
                <c:pt idx="158">
                  <c:v>1.1334929971951436E-12</c:v>
                </c:pt>
                <c:pt idx="159">
                  <c:v>1.1334929971951436E-12</c:v>
                </c:pt>
                <c:pt idx="160">
                  <c:v>1.1334929971951436E-12</c:v>
                </c:pt>
                <c:pt idx="161">
                  <c:v>1.1334929971951436E-12</c:v>
                </c:pt>
                <c:pt idx="162">
                  <c:v>1.1334929971951436E-12</c:v>
                </c:pt>
                <c:pt idx="163">
                  <c:v>1.1334929971951436E-12</c:v>
                </c:pt>
                <c:pt idx="164">
                  <c:v>1.1334929971951436E-12</c:v>
                </c:pt>
                <c:pt idx="165">
                  <c:v>1.1334929971951436E-12</c:v>
                </c:pt>
                <c:pt idx="166">
                  <c:v>1.1334929971951436E-12</c:v>
                </c:pt>
                <c:pt idx="167">
                  <c:v>1.1334929971951436E-12</c:v>
                </c:pt>
                <c:pt idx="168">
                  <c:v>1.1334929971951436E-12</c:v>
                </c:pt>
                <c:pt idx="169">
                  <c:v>1.1334929971951436E-12</c:v>
                </c:pt>
                <c:pt idx="170">
                  <c:v>1.1334929971951436E-12</c:v>
                </c:pt>
                <c:pt idx="171">
                  <c:v>1.1334929971951436E-12</c:v>
                </c:pt>
                <c:pt idx="172">
                  <c:v>1.1334929971951436E-12</c:v>
                </c:pt>
                <c:pt idx="173">
                  <c:v>1.1334929971951436E-12</c:v>
                </c:pt>
                <c:pt idx="174">
                  <c:v>1.1334929971951436E-12</c:v>
                </c:pt>
                <c:pt idx="175">
                  <c:v>1.1334929971951436E-12</c:v>
                </c:pt>
                <c:pt idx="176">
                  <c:v>1.1334929971951436E-12</c:v>
                </c:pt>
                <c:pt idx="177">
                  <c:v>1.1334929971951436E-12</c:v>
                </c:pt>
                <c:pt idx="178">
                  <c:v>1.1334929971951436E-12</c:v>
                </c:pt>
                <c:pt idx="179">
                  <c:v>1.1334929971951436E-12</c:v>
                </c:pt>
                <c:pt idx="180">
                  <c:v>1.1334929971951436E-12</c:v>
                </c:pt>
                <c:pt idx="181">
                  <c:v>1.1334929971951436E-12</c:v>
                </c:pt>
                <c:pt idx="182">
                  <c:v>1.1334929971951436E-12</c:v>
                </c:pt>
                <c:pt idx="183">
                  <c:v>1.1334929971951436E-12</c:v>
                </c:pt>
                <c:pt idx="184">
                  <c:v>1.1334929971951436E-12</c:v>
                </c:pt>
                <c:pt idx="185">
                  <c:v>1.1334929971951436E-12</c:v>
                </c:pt>
                <c:pt idx="186">
                  <c:v>1.1334929971951436E-12</c:v>
                </c:pt>
                <c:pt idx="187">
                  <c:v>1.1334929971951436E-12</c:v>
                </c:pt>
                <c:pt idx="188">
                  <c:v>1.1334929971951436E-12</c:v>
                </c:pt>
                <c:pt idx="189">
                  <c:v>1.1334929971951436E-12</c:v>
                </c:pt>
                <c:pt idx="190">
                  <c:v>1.1334929971951436E-12</c:v>
                </c:pt>
                <c:pt idx="191">
                  <c:v>1.1334929971951436E-12</c:v>
                </c:pt>
                <c:pt idx="192">
                  <c:v>1.1334929971951436E-12</c:v>
                </c:pt>
                <c:pt idx="193">
                  <c:v>1.1334929971951436E-12</c:v>
                </c:pt>
                <c:pt idx="194">
                  <c:v>1.1334929971951436E-12</c:v>
                </c:pt>
                <c:pt idx="195">
                  <c:v>1.1334929971951436E-12</c:v>
                </c:pt>
                <c:pt idx="196">
                  <c:v>1.1334929971951436E-12</c:v>
                </c:pt>
                <c:pt idx="197">
                  <c:v>1.1334929971951436E-12</c:v>
                </c:pt>
                <c:pt idx="198">
                  <c:v>1.1334929971951436E-12</c:v>
                </c:pt>
                <c:pt idx="199">
                  <c:v>1.1334929971951436E-12</c:v>
                </c:pt>
                <c:pt idx="200">
                  <c:v>1.1334929971951436E-12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45744"/>
        <c:axId val="-2107240848"/>
      </c:scatterChart>
      <c:valAx>
        <c:axId val="-2107245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0848"/>
        <c:crosses val="autoZero"/>
        <c:crossBetween val="midCat"/>
      </c:valAx>
      <c:valAx>
        <c:axId val="-210724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5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43024"/>
        <c:axId val="-2107235408"/>
      </c:scatterChart>
      <c:valAx>
        <c:axId val="-2107243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5408"/>
        <c:crosses val="autoZero"/>
        <c:crossBetween val="midCat"/>
      </c:valAx>
      <c:valAx>
        <c:axId val="-210723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3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33776"/>
        <c:axId val="-2107244656"/>
      </c:scatterChart>
      <c:valAx>
        <c:axId val="-2107233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4656"/>
        <c:crosses val="autoZero"/>
        <c:crossBetween val="midCat"/>
      </c:valAx>
      <c:valAx>
        <c:axId val="-210724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3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7244112"/>
        <c:axId val="-8590816"/>
      </c:scatterChart>
      <c:valAx>
        <c:axId val="-2107244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90816"/>
        <c:crosses val="autoZero"/>
        <c:crossBetween val="midCat"/>
      </c:valAx>
      <c:valAx>
        <c:axId val="-859081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7244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97" zoomScale="85" zoomScaleNormal="85" workbookViewId="0">
      <selection activeCell="F91" sqref="F9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5" t="s">
        <v>192</v>
      </c>
      <c r="C3" s="296"/>
      <c r="D3" s="296"/>
      <c r="E3" s="296"/>
      <c r="F3" s="297"/>
      <c r="G3" s="92"/>
      <c r="I3" s="225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4"/>
      <c r="B4" s="94"/>
      <c r="C4" s="94"/>
      <c r="D4" s="94"/>
      <c r="E4" s="94"/>
      <c r="F4" s="94"/>
      <c r="G4" s="235"/>
      <c r="I4" s="225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1" t="s">
        <v>231</v>
      </c>
      <c r="B5" s="301"/>
      <c r="C5" s="26">
        <v>1.6</v>
      </c>
      <c r="D5" s="302" t="s">
        <v>229</v>
      </c>
      <c r="E5" s="303"/>
      <c r="F5" s="94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5"/>
      <c r="B6" s="95"/>
      <c r="C6" s="96"/>
      <c r="D6" s="90"/>
      <c r="E6" s="90"/>
      <c r="F6" s="29"/>
      <c r="G6" s="237"/>
      <c r="H6" s="238"/>
      <c r="I6" s="238"/>
      <c r="J6" s="24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6.25" x14ac:dyDescent="0.25">
      <c r="A7" s="299" t="s">
        <v>226</v>
      </c>
      <c r="B7" s="299"/>
      <c r="C7" s="94"/>
      <c r="D7" s="94"/>
      <c r="E7" s="5"/>
      <c r="F7" s="94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0.39400000000000002</v>
      </c>
      <c r="D9" s="36">
        <f t="shared" ref="D9:D18" si="0">C9*$C$5</f>
        <v>0.63040000000000007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0.24299999999999999</v>
      </c>
      <c r="D10" s="36">
        <f t="shared" si="0"/>
        <v>0.38880000000000003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0.11799999999999999</v>
      </c>
      <c r="D11" s="36">
        <f t="shared" si="0"/>
        <v>0.1888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8.5000000000000006E-2</v>
      </c>
      <c r="D12" s="36">
        <f t="shared" si="0"/>
        <v>0.13600000000000001</v>
      </c>
      <c r="E12" s="37">
        <v>109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44</v>
      </c>
      <c r="C13" s="35">
        <v>7.9000000000000001E-2</v>
      </c>
      <c r="D13" s="36">
        <f t="shared" si="0"/>
        <v>0.12640000000000001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321</v>
      </c>
      <c r="C14" s="35">
        <v>3.9E-2</v>
      </c>
      <c r="D14" s="36">
        <f t="shared" si="0"/>
        <v>6.2400000000000004E-2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</v>
      </c>
      <c r="C15" s="35">
        <v>2.1000000000000001E-2</v>
      </c>
      <c r="D15" s="36">
        <f t="shared" si="0"/>
        <v>3.3600000000000005E-2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7"/>
      <c r="B19" s="39" t="s">
        <v>175</v>
      </c>
      <c r="C19" s="40">
        <f>SUM(C9:C18)</f>
        <v>0.97899999999999998</v>
      </c>
      <c r="D19" s="41">
        <f>SUM(D9:D18)</f>
        <v>1.5664000000000005</v>
      </c>
      <c r="E19" s="5"/>
      <c r="F19" s="98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7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8" t="s">
        <v>232</v>
      </c>
      <c r="B22" s="298"/>
      <c r="C22" s="96"/>
      <c r="H22" s="227"/>
      <c r="I22" s="245"/>
      <c r="J22" s="245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25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99"/>
      <c r="F26" s="99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0" t="s">
        <v>227</v>
      </c>
      <c r="B30" s="300"/>
      <c r="D30" s="247"/>
      <c r="H30" s="245"/>
      <c r="I30" s="245"/>
      <c r="J30" s="245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25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1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1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v>37</v>
      </c>
      <c r="C88" s="61"/>
      <c r="D88" s="61"/>
      <c r="E88" s="54"/>
      <c r="F88" s="54"/>
      <c r="G88" s="54"/>
      <c r="H88" s="54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80+15</f>
        <v>95</v>
      </c>
      <c r="C89" s="61">
        <v>1</v>
      </c>
      <c r="D89" s="61">
        <f>15+28</f>
        <v>43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v>115</v>
      </c>
      <c r="C90" s="61"/>
      <c r="D90" s="61"/>
      <c r="E90" s="54"/>
      <c r="F90" s="54"/>
      <c r="G90" s="54"/>
      <c r="H90" s="54"/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147+28</f>
        <v>175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v>172</v>
      </c>
      <c r="C92" s="61"/>
      <c r="D92" s="61"/>
      <c r="E92" s="54"/>
      <c r="F92" s="54"/>
      <c r="G92" s="54"/>
      <c r="H92" s="54"/>
      <c r="I92" s="56">
        <f t="shared" si="3"/>
        <v>10.6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192+28</f>
        <v>220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9.6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45</v>
      </c>
      <c r="B94" s="61">
        <f>205</f>
        <v>205</v>
      </c>
      <c r="C94" s="61"/>
      <c r="D94" s="61"/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50</v>
      </c>
      <c r="B95" s="61">
        <f>218+22</f>
        <v>240</v>
      </c>
      <c r="C95" s="61">
        <v>4</v>
      </c>
      <c r="D95" s="61">
        <f>22+17</f>
        <v>39</v>
      </c>
      <c r="E95" s="54"/>
      <c r="F95" s="54"/>
      <c r="G95" s="54"/>
      <c r="H95" s="54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55</v>
      </c>
      <c r="B96" s="61">
        <v>233</v>
      </c>
      <c r="C96" s="61"/>
      <c r="D96" s="61"/>
      <c r="E96" s="54"/>
      <c r="F96" s="54"/>
      <c r="G96" s="54"/>
      <c r="H96" s="54"/>
      <c r="I96" s="56">
        <f t="shared" si="3"/>
        <v>6.4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60</v>
      </c>
      <c r="B97" s="61">
        <f>245+13</f>
        <v>258</v>
      </c>
      <c r="C97" s="61">
        <v>5</v>
      </c>
      <c r="D97" s="61">
        <f>13+12</f>
        <v>25</v>
      </c>
      <c r="E97" s="54"/>
      <c r="F97" s="54"/>
      <c r="G97" s="54"/>
      <c r="H97" s="54"/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65</v>
      </c>
      <c r="B98" s="61">
        <v>255</v>
      </c>
      <c r="C98" s="61"/>
      <c r="D98" s="61"/>
      <c r="E98" s="54"/>
      <c r="F98" s="54"/>
      <c r="G98" s="54"/>
      <c r="H98" s="54"/>
      <c r="I98" s="56">
        <f t="shared" si="3"/>
        <v>4.4000000000000004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70</v>
      </c>
      <c r="B99" s="61">
        <f>263+11</f>
        <v>274</v>
      </c>
      <c r="C99" s="61">
        <v>6</v>
      </c>
      <c r="D99" s="61">
        <f>11+10</f>
        <v>21</v>
      </c>
      <c r="E99" s="54"/>
      <c r="F99" s="54"/>
      <c r="G99" s="54"/>
      <c r="H99" s="54"/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75</v>
      </c>
      <c r="B100" s="61">
        <v>270</v>
      </c>
      <c r="C100" s="61"/>
      <c r="D100" s="61"/>
      <c r="E100" s="54"/>
      <c r="F100" s="54"/>
      <c r="G100" s="54"/>
      <c r="H100" s="54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80</v>
      </c>
      <c r="B101" s="61">
        <f>276+9</f>
        <v>285</v>
      </c>
      <c r="C101" s="61">
        <v>7</v>
      </c>
      <c r="D101" s="61">
        <f>B101</f>
        <v>285</v>
      </c>
      <c r="E101" s="54"/>
      <c r="F101" s="54"/>
      <c r="G101" s="54"/>
      <c r="H101" s="54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0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0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0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0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0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0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30</v>
      </c>
      <c r="B114" s="61">
        <f>134.26/1.3</f>
        <v>103.27692307692307</v>
      </c>
      <c r="C114" s="61"/>
      <c r="D114" s="61"/>
      <c r="E114" s="54"/>
      <c r="F114" s="54"/>
      <c r="G114" s="54"/>
      <c r="H114" s="54">
        <v>1</v>
      </c>
      <c r="I114" s="56">
        <f>IFERROR(B114/A114,"")</f>
        <v>3.4425641025641025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35</v>
      </c>
      <c r="B115" s="61">
        <f>192.26/1.3</f>
        <v>147.89230769230767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8.9230769230769198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1">
        <f>257.14/1.3</f>
        <v>197.79999999999998</v>
      </c>
      <c r="C116" s="61"/>
      <c r="D116" s="61"/>
      <c r="E116" s="54"/>
      <c r="F116" s="54"/>
      <c r="G116" s="54"/>
      <c r="H116" s="54"/>
      <c r="I116" s="56">
        <f t="shared" si="4"/>
        <v>9.981538461538463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45</v>
      </c>
      <c r="B117" s="61">
        <f>327.79/1.3</f>
        <v>252.14615384615385</v>
      </c>
      <c r="C117" s="61"/>
      <c r="D117" s="61"/>
      <c r="E117" s="54"/>
      <c r="F117" s="54"/>
      <c r="G117" s="54"/>
      <c r="H117" s="54"/>
      <c r="I117" s="56">
        <f t="shared" si="4"/>
        <v>10.869230769230773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51</v>
      </c>
      <c r="B118" s="61">
        <f>418.39/1.3</f>
        <v>321.8384615384615</v>
      </c>
      <c r="C118" s="61">
        <v>1</v>
      </c>
      <c r="D118" s="61">
        <f>130.4/1.3</f>
        <v>100.30769230769231</v>
      </c>
      <c r="E118" s="54"/>
      <c r="F118" s="54"/>
      <c r="G118" s="54"/>
      <c r="H118" s="54"/>
      <c r="I118" s="56">
        <f t="shared" si="4"/>
        <v>11.615384615384608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57</v>
      </c>
      <c r="B119" s="61">
        <f>370.22/1.3</f>
        <v>284.78461538461539</v>
      </c>
      <c r="C119" s="61"/>
      <c r="D119" s="61"/>
      <c r="E119" s="54"/>
      <c r="F119" s="54"/>
      <c r="G119" s="54"/>
      <c r="H119" s="54"/>
      <c r="I119" s="56">
        <f t="shared" si="4"/>
        <v>10.542307692307702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63</v>
      </c>
      <c r="B120" s="61">
        <f>455.9/1.3</f>
        <v>350.69230769230768</v>
      </c>
      <c r="C120" s="61">
        <v>2</v>
      </c>
      <c r="D120" s="61">
        <f>140.51/1.3</f>
        <v>108.08461538461538</v>
      </c>
      <c r="E120" s="54"/>
      <c r="F120" s="54"/>
      <c r="G120" s="54"/>
      <c r="H120" s="54"/>
      <c r="I120" s="56">
        <f t="shared" si="4"/>
        <v>10.984615384615381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0">
        <v>69</v>
      </c>
      <c r="B121" s="61">
        <f>390.97/1.3</f>
        <v>300.74615384615385</v>
      </c>
      <c r="C121" s="61"/>
      <c r="D121" s="61"/>
      <c r="E121" s="54"/>
      <c r="F121" s="54"/>
      <c r="G121" s="54"/>
      <c r="H121" s="54"/>
      <c r="I121" s="56">
        <f t="shared" si="4"/>
        <v>9.6897435897435908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0">
        <v>75</v>
      </c>
      <c r="B122" s="61">
        <f>468.62/1.3</f>
        <v>360.47692307692307</v>
      </c>
      <c r="C122" s="61">
        <v>3</v>
      </c>
      <c r="D122" s="61">
        <f>110.97/1.3</f>
        <v>85.361538461538458</v>
      </c>
      <c r="E122" s="54"/>
      <c r="F122" s="54"/>
      <c r="G122" s="54"/>
      <c r="H122" s="54"/>
      <c r="I122" s="56">
        <f t="shared" si="4"/>
        <v>9.9551282051282044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0">
        <v>81</v>
      </c>
      <c r="B123" s="61">
        <f>427.32/1.3</f>
        <v>328.7076923076923</v>
      </c>
      <c r="C123" s="61"/>
      <c r="D123" s="61"/>
      <c r="E123" s="54"/>
      <c r="F123" s="54"/>
      <c r="G123" s="54"/>
      <c r="H123" s="54"/>
      <c r="I123" s="56">
        <f t="shared" si="4"/>
        <v>8.9320512820512761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0">
        <v>87</v>
      </c>
      <c r="B124" s="61">
        <f>498.08/1.3</f>
        <v>383.13846153846151</v>
      </c>
      <c r="C124" s="61">
        <v>4</v>
      </c>
      <c r="D124" s="61">
        <f>107.82/1.3</f>
        <v>82.938461538461524</v>
      </c>
      <c r="E124" s="54"/>
      <c r="F124" s="54"/>
      <c r="G124" s="54"/>
      <c r="H124" s="54"/>
      <c r="I124" s="56">
        <f t="shared" si="4"/>
        <v>9.0717948717948698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0">
        <v>93</v>
      </c>
      <c r="B125" s="61">
        <f>453.6/1.3</f>
        <v>348.92307692307691</v>
      </c>
      <c r="C125" s="61"/>
      <c r="D125" s="61"/>
      <c r="E125" s="54"/>
      <c r="F125" s="54"/>
      <c r="G125" s="54"/>
      <c r="H125" s="54"/>
      <c r="I125" s="56">
        <f t="shared" si="4"/>
        <v>8.1205128205128201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0">
        <v>99</v>
      </c>
      <c r="B126" s="61">
        <f>517.23/1.3</f>
        <v>397.8692307692308</v>
      </c>
      <c r="C126" s="61">
        <v>5</v>
      </c>
      <c r="D126" s="61">
        <f>257.82/1.3</f>
        <v>198.32307692307691</v>
      </c>
      <c r="E126" s="54"/>
      <c r="F126" s="54"/>
      <c r="G126" s="54"/>
      <c r="H126" s="54"/>
      <c r="I126" s="56">
        <f t="shared" si="4"/>
        <v>8.1576923076923151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0">
        <v>104</v>
      </c>
      <c r="B127" s="61">
        <f>297.43/1.3</f>
        <v>228.7923076923077</v>
      </c>
      <c r="C127" s="61"/>
      <c r="D127" s="61"/>
      <c r="E127" s="54"/>
      <c r="F127" s="54"/>
      <c r="G127" s="54"/>
      <c r="H127" s="54"/>
      <c r="I127" s="56">
        <f t="shared" si="4"/>
        <v>5.849230769230763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0">
        <v>109</v>
      </c>
      <c r="B128" s="53">
        <v>256.09230769230771</v>
      </c>
      <c r="C128" s="53">
        <v>6</v>
      </c>
      <c r="D128" s="53">
        <v>256.09230769230771</v>
      </c>
      <c r="E128" s="54"/>
      <c r="F128" s="54"/>
      <c r="G128" s="54"/>
      <c r="H128" s="54"/>
      <c r="I128" s="56">
        <f t="shared" si="4"/>
        <v>5.4600000000000026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Robinier faux-acacia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5</v>
      </c>
      <c r="B140" s="61">
        <f>24+4</f>
        <v>28</v>
      </c>
      <c r="C140" s="61"/>
      <c r="D140" s="61"/>
      <c r="E140" s="54"/>
      <c r="F140" s="54"/>
      <c r="G140" s="54"/>
      <c r="H140" s="54"/>
      <c r="I140" s="59">
        <f>IFERROR(B140/A140,"")</f>
        <v>5.6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10</v>
      </c>
      <c r="B141" s="61">
        <f>58+4+21</f>
        <v>83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11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15</v>
      </c>
      <c r="B142" s="61">
        <f>95+4+21+17</f>
        <v>137</v>
      </c>
      <c r="C142" s="61"/>
      <c r="D142" s="61"/>
      <c r="E142" s="54"/>
      <c r="F142" s="54"/>
      <c r="G142" s="54"/>
      <c r="H142" s="54"/>
      <c r="I142" s="59">
        <f t="shared" si="5"/>
        <v>10.8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20</v>
      </c>
      <c r="B143" s="61">
        <f>131+4+21+17+14</f>
        <v>187</v>
      </c>
      <c r="C143" s="61">
        <f>1</f>
        <v>1</v>
      </c>
      <c r="D143" s="61">
        <f>4+21+17+14</f>
        <v>56</v>
      </c>
      <c r="E143" s="54"/>
      <c r="F143" s="54"/>
      <c r="G143" s="54"/>
      <c r="H143" s="54">
        <v>1</v>
      </c>
      <c r="I143" s="59">
        <f t="shared" si="5"/>
        <v>10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25</v>
      </c>
      <c r="B144" s="61">
        <f>162+11</f>
        <v>173</v>
      </c>
      <c r="C144" s="61"/>
      <c r="D144" s="61"/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30</v>
      </c>
      <c r="B145" s="61">
        <f>188+11+9</f>
        <v>208</v>
      </c>
      <c r="C145" s="61">
        <v>2</v>
      </c>
      <c r="D145" s="61">
        <f>11+9</f>
        <v>20</v>
      </c>
      <c r="E145" s="54"/>
      <c r="F145" s="54"/>
      <c r="G145" s="54"/>
      <c r="H145" s="54">
        <v>1</v>
      </c>
      <c r="I145" s="59">
        <f t="shared" si="5"/>
        <v>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35</v>
      </c>
      <c r="B146" s="61">
        <f>209+7</f>
        <v>216</v>
      </c>
      <c r="C146" s="61"/>
      <c r="D146" s="61"/>
      <c r="E146" s="54"/>
      <c r="F146" s="54"/>
      <c r="G146" s="54"/>
      <c r="H146" s="54"/>
      <c r="I146" s="59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40</v>
      </c>
      <c r="B147" s="53">
        <f>228+7+6</f>
        <v>241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45</v>
      </c>
      <c r="B148" s="53">
        <f>247+7+6+6</f>
        <v>266</v>
      </c>
      <c r="C148" s="53">
        <v>3</v>
      </c>
      <c r="D148" s="53">
        <f>B148</f>
        <v>266</v>
      </c>
      <c r="E148" s="54"/>
      <c r="F148" s="54"/>
      <c r="G148" s="54"/>
      <c r="H148" s="54"/>
      <c r="I148" s="59">
        <f t="shared" si="5"/>
        <v>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53"/>
      <c r="C149" s="53"/>
      <c r="D149" s="53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53"/>
      <c r="C150" s="53"/>
      <c r="D150" s="53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53"/>
      <c r="C151" s="53"/>
      <c r="D151" s="53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53"/>
      <c r="C152" s="53"/>
      <c r="D152" s="53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53"/>
      <c r="C153" s="53"/>
      <c r="D153" s="53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Tulipier de Virginie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f>147/1.56</f>
        <v>94.230769230769226</v>
      </c>
      <c r="C166" s="61">
        <v>1</v>
      </c>
      <c r="D166" s="61">
        <v>53</v>
      </c>
      <c r="E166" s="54"/>
      <c r="F166" s="54"/>
      <c r="G166" s="54"/>
      <c r="H166" s="54">
        <v>1</v>
      </c>
      <c r="I166" s="52">
        <f>IFERROR(B166/A166,"")</f>
        <v>4.7115384615384617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1">
        <f>226/1.56</f>
        <v>144.87179487179486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10.364102564102563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1">
        <f>350/1.56</f>
        <v>224.35897435897436</v>
      </c>
      <c r="C168" s="61">
        <v>2</v>
      </c>
      <c r="D168" s="61">
        <v>135</v>
      </c>
      <c r="E168" s="54"/>
      <c r="F168" s="54"/>
      <c r="G168" s="54"/>
      <c r="H168" s="54"/>
      <c r="I168" s="52">
        <f t="shared" si="6"/>
        <v>7.9487179487179507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50</v>
      </c>
      <c r="B169" s="61">
        <f>336/1.56</f>
        <v>215.38461538461539</v>
      </c>
      <c r="C169" s="61">
        <v>3</v>
      </c>
      <c r="D169" s="61">
        <v>57</v>
      </c>
      <c r="E169" s="54"/>
      <c r="F169" s="54"/>
      <c r="G169" s="54"/>
      <c r="H169" s="54"/>
      <c r="I169" s="52">
        <f t="shared" si="6"/>
        <v>12.602564102564102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60</v>
      </c>
      <c r="B170" s="61">
        <f>388/1.56</f>
        <v>248.7179487179487</v>
      </c>
      <c r="C170" s="61"/>
      <c r="D170" s="61"/>
      <c r="E170" s="54"/>
      <c r="F170" s="54"/>
      <c r="G170" s="54"/>
      <c r="H170" s="54"/>
      <c r="I170" s="52">
        <f t="shared" si="6"/>
        <v>9.0333333333333314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70</v>
      </c>
      <c r="B171" s="61">
        <f>495/1.56</f>
        <v>317.30769230769232</v>
      </c>
      <c r="C171" s="61"/>
      <c r="D171" s="61"/>
      <c r="E171" s="54"/>
      <c r="F171" s="54"/>
      <c r="G171" s="54"/>
      <c r="H171" s="54"/>
      <c r="I171" s="52">
        <f t="shared" si="6"/>
        <v>6.8589743589743621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80</v>
      </c>
      <c r="B172" s="61">
        <f>590/1.56</f>
        <v>378.20512820512818</v>
      </c>
      <c r="C172" s="61">
        <v>4</v>
      </c>
      <c r="D172" s="61">
        <f>B172</f>
        <v>378.20512820512818</v>
      </c>
      <c r="E172" s="54"/>
      <c r="F172" s="54"/>
      <c r="G172" s="54"/>
      <c r="H172" s="54"/>
      <c r="I172" s="52">
        <f t="shared" si="6"/>
        <v>6.0897435897435859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Bouleau verruqueux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1">
        <v>9</v>
      </c>
      <c r="C192" s="53"/>
      <c r="D192" s="61"/>
      <c r="E192" s="54"/>
      <c r="F192" s="54"/>
      <c r="G192" s="54"/>
      <c r="H192" s="54"/>
      <c r="I192" s="52">
        <f>IFERROR(B192/A192,"")</f>
        <v>0.9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1">
        <v>49</v>
      </c>
      <c r="C193" s="53"/>
      <c r="D193" s="61"/>
      <c r="E193" s="54"/>
      <c r="F193" s="54"/>
      <c r="G193" s="54"/>
      <c r="H193" s="54"/>
      <c r="I193" s="52">
        <f t="shared" ref="I193:I211" si="7">IF(A193&lt;&gt;0,(B193-(B192-D192))/(A193-A192),"")</f>
        <v>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1">
        <v>99</v>
      </c>
      <c r="C194" s="53">
        <v>1</v>
      </c>
      <c r="D194" s="61">
        <v>40</v>
      </c>
      <c r="E194" s="54"/>
      <c r="F194" s="54"/>
      <c r="G194" s="54"/>
      <c r="H194" s="54">
        <v>1</v>
      </c>
      <c r="I194" s="52">
        <f t="shared" si="7"/>
        <v>10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1">
        <v>102</v>
      </c>
      <c r="C195" s="53"/>
      <c r="D195" s="61"/>
      <c r="E195" s="54"/>
      <c r="F195" s="54"/>
      <c r="G195" s="54"/>
      <c r="H195" s="54"/>
      <c r="I195" s="52">
        <f t="shared" si="7"/>
        <v>8.6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1">
        <v>146</v>
      </c>
      <c r="C196" s="53"/>
      <c r="D196" s="61"/>
      <c r="E196" s="54"/>
      <c r="F196" s="54"/>
      <c r="G196" s="54"/>
      <c r="H196" s="54"/>
      <c r="I196" s="52">
        <f t="shared" si="7"/>
        <v>8.8000000000000007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1">
        <v>190</v>
      </c>
      <c r="C197" s="53">
        <v>2</v>
      </c>
      <c r="D197" s="61">
        <f>76</f>
        <v>76</v>
      </c>
      <c r="E197" s="54"/>
      <c r="F197" s="54"/>
      <c r="G197" s="54"/>
      <c r="H197" s="54"/>
      <c r="I197" s="52">
        <f t="shared" si="7"/>
        <v>8.8000000000000007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1">
        <v>152</v>
      </c>
      <c r="C198" s="53"/>
      <c r="D198" s="61"/>
      <c r="E198" s="54"/>
      <c r="F198" s="54"/>
      <c r="G198" s="54"/>
      <c r="H198" s="54"/>
      <c r="I198" s="52">
        <f t="shared" si="7"/>
        <v>7.6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45</v>
      </c>
      <c r="B199" s="61">
        <v>190</v>
      </c>
      <c r="C199" s="53"/>
      <c r="D199" s="61"/>
      <c r="E199" s="54"/>
      <c r="F199" s="54"/>
      <c r="G199" s="54"/>
      <c r="H199" s="54"/>
      <c r="I199" s="52">
        <f t="shared" si="7"/>
        <v>7.6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50</v>
      </c>
      <c r="B200" s="61">
        <v>228</v>
      </c>
      <c r="C200" s="53"/>
      <c r="D200" s="61"/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55</v>
      </c>
      <c r="B201" s="61">
        <v>266</v>
      </c>
      <c r="C201" s="53"/>
      <c r="D201" s="61"/>
      <c r="E201" s="54"/>
      <c r="F201" s="54"/>
      <c r="G201" s="54"/>
      <c r="H201" s="54"/>
      <c r="I201" s="52">
        <f t="shared" si="7"/>
        <v>7.6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60</v>
      </c>
      <c r="B202" s="61">
        <v>303</v>
      </c>
      <c r="C202" s="53"/>
      <c r="D202" s="61">
        <f>B202</f>
        <v>303</v>
      </c>
      <c r="E202" s="54"/>
      <c r="F202" s="54"/>
      <c r="G202" s="54"/>
      <c r="H202" s="54"/>
      <c r="I202" s="52">
        <f t="shared" si="7"/>
        <v>7.4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61"/>
      <c r="C203" s="53"/>
      <c r="D203" s="61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61"/>
      <c r="C204" s="53"/>
      <c r="D204" s="61"/>
      <c r="E204" s="57"/>
      <c r="F204" s="57"/>
      <c r="G204" s="57"/>
      <c r="H204" s="5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1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280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280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280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280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280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280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280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280"/>
      <c r="B232" s="53"/>
      <c r="C232" s="53"/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280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280"/>
      <c r="B234" s="53"/>
      <c r="C234" s="53"/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280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280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280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/>
      <c r="B251" s="53"/>
      <c r="C251" s="53"/>
      <c r="D251" s="53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/>
      <c r="B252" s="53"/>
      <c r="C252" s="53"/>
      <c r="D252" s="5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280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280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280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280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280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280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280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280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280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280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280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280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280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9" sqref="B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5"/>
      <c r="B7" s="29" t="s">
        <v>295</v>
      </c>
      <c r="C7" s="106" t="s">
        <v>214</v>
      </c>
      <c r="D7" s="232"/>
      <c r="E7" s="107"/>
      <c r="F7" s="29" t="s">
        <v>295</v>
      </c>
      <c r="G7" s="106" t="s">
        <v>215</v>
      </c>
      <c r="H7" s="233"/>
      <c r="I7" s="233"/>
      <c r="J7" s="233"/>
      <c r="K7" s="233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25">
      <c r="A8" s="111">
        <v>1</v>
      </c>
      <c r="B8" s="62">
        <v>1</v>
      </c>
      <c r="C8" s="52" t="s">
        <v>177</v>
      </c>
      <c r="D8" s="25"/>
      <c r="E8" s="111">
        <v>4</v>
      </c>
      <c r="F8" s="62">
        <v>0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0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3"/>
      <c r="B13" s="113"/>
      <c r="C13" s="104" t="s">
        <v>273</v>
      </c>
      <c r="D13" s="233"/>
      <c r="E13" s="105"/>
      <c r="F13" s="113"/>
      <c r="G13" s="104" t="s">
        <v>301</v>
      </c>
      <c r="H13" s="233"/>
      <c r="I13" s="233"/>
      <c r="J13" s="233"/>
      <c r="K13" s="23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25">
      <c r="A14" s="233"/>
      <c r="B14" s="113"/>
      <c r="C14" s="104" t="s">
        <v>309</v>
      </c>
      <c r="D14" s="233"/>
      <c r="E14" s="105"/>
      <c r="F14" s="113"/>
      <c r="G14" s="104" t="s">
        <v>294</v>
      </c>
      <c r="H14" s="233"/>
      <c r="I14" s="233"/>
      <c r="J14" s="233"/>
      <c r="K14" s="233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2">
        <f>SUM(B16:B18)</f>
        <v>1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pubescent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Châtaignier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Cèdre de l'Atlas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Robinier faux-acacia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Tulipier de Virginie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Bouleau verruqueux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469.67944008675863</v>
      </c>
      <c r="T3" s="60">
        <f>IF('Données projet'!E9&gt;30,$R$33-$H$33,LOOKUP('Données projet'!$E$9,$A$3:$A$203,R3:R203)-LOOKUP('Données projet'!$E$9,$A$3:$A$203,$H$3:$H$203))</f>
        <v>266.11908070867173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516.30971934066179</v>
      </c>
      <c r="AO3" s="60">
        <f>IF('Données projet'!E10&gt;30,$AM$33-$H$33,LOOKUP('Données projet'!$E$10,$A$3:$A$203,AM3:AM203)-LOOKUP('Données projet'!$E$10,$A$3:$A$203,$H$3:$H$203))</f>
        <v>290.84286505723571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314.75847268052081</v>
      </c>
      <c r="BJ3" s="60">
        <f>IF('Données projet'!E11&gt;30,$BH$33-$H$33,LOOKUP('Données projet'!$E$11,$A$3:$A$203,BH3:BH203)-LOOKUP('Données projet'!$E$11,$A$3:$A$203,$H$3:$H$203))</f>
        <v>337.77701316755338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277.77877239988635</v>
      </c>
      <c r="CE3" s="60">
        <f>IF('Données projet'!E12&gt;30,$CC$33-$H$33,LOOKUP('Données projet'!$E$12,$A$3:$A$203,CC3:CC203)-LOOKUP('Données projet'!$E$12,$A$3:$A$203,$H$3:$H$203))</f>
        <v>164.65640238394164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334.26876877415839</v>
      </c>
      <c r="CZ3" s="60">
        <f>IF('Données projet'!E13&gt;30,$CX$33-$H$33,LOOKUP('Données projet'!$E$13,$A$3:$A$203,CX3:CX203)-LOOKUP('Données projet'!$E$13,$A$3:$A$203,$H$3:$H$203))</f>
        <v>465.65761854152913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285.09561428624352</v>
      </c>
      <c r="DU3" s="60">
        <f>IF('Données projet'!E14&gt;30,$DS$33-$H$33,LOOKUP('Données projet'!$E$14,$A$3:$A$203,DS3:DS203)-LOOKUP('Données projet'!$E$14,$A$3:$A$203,$H$3:$H$203))</f>
        <v>261.05678516705564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272.69564942740931</v>
      </c>
      <c r="EP3" s="60">
        <f>IF('Données projet'!E15&gt;30,$EN$33-$H$33,LOOKUP('Données projet'!$E$15,$A$3:$A$203,EN3:EN203)-LOOKUP('Données projet'!$E$15,$A$3:$A$203,$H$3:$H$203))</f>
        <v>316.57989180609252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170.57875918674947</v>
      </c>
      <c r="S4" s="60">
        <f ca="1">AVERAGE(OFFSET($R$3,0,0,'Données projet'!$E$9+1,1))-AVERAGE(OFFSET($H$3,0,0,'Données projet'!$E$9+1,1))</f>
        <v>469.67944008675863</v>
      </c>
      <c r="T4" s="60">
        <f>$T$3</f>
        <v>266.11908070867173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170.89982938223079</v>
      </c>
      <c r="AN4" s="60">
        <f ca="1">AVERAGE(OFFSET($AM$3,0,0,'Données projet'!$E$10+1,1))-AVERAGE(OFFSET($H$3,0,0,'Données projet'!$E$10+1,1))</f>
        <v>516.30971934066179</v>
      </c>
      <c r="AO4" s="60">
        <f>$AO$3</f>
        <v>290.84286505723571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0.9327585484198414</v>
      </c>
      <c r="BF4" s="14">
        <f>EXP(-1.0587+0.8836*LN(BE4)+0.284)</f>
        <v>0.43335135961225768</v>
      </c>
      <c r="BG4" s="22">
        <f t="shared" ref="BG4:BG67" si="7">(BE4+BF4)*0.475*44/12</f>
        <v>2.3793080898225729</v>
      </c>
      <c r="BH4" s="60">
        <f t="shared" ref="BH4:BH67" si="8">BG4+(AY4+AZ4)*44/12</f>
        <v>170.19174204274643</v>
      </c>
      <c r="BI4" s="60">
        <f ca="1">AVERAGE(OFFSET($BH$3,0,0,'Données projet'!$E$11+1,1))-AVERAGE(OFFSET($H$3,0,0,'Données projet'!$E$11+1,1))</f>
        <v>314.75847268052081</v>
      </c>
      <c r="BJ4" s="60">
        <f>$BJ$3</f>
        <v>337.77701316755338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3.4425641025641025</v>
      </c>
      <c r="BY4" s="13">
        <f>IF('Données projet'!$A$114&gt;35,BY3+BX4-CG3,IF(A4&lt;'Données projet'!$A$114,$BV$205^A4,IF(A4='Données projet'!$A$114,'Données projet'!$B$114,BY3+BX4-CG3)))</f>
        <v>1.1671681906248585</v>
      </c>
      <c r="BZ4" s="14">
        <f>BY4*VLOOKUP('Données projet'!$B$12,Paramètres!$A$1:$I$89,3,0)*VLOOKUP('Données projet'!$B$12,Paramètres!$A$1:$I$89,5,0)</f>
        <v>0.54623471321243378</v>
      </c>
      <c r="CA4" s="14">
        <f>EXP(-1.0587+0.8836*LN(BZ4)+0.284)</f>
        <v>0.27008496636632595</v>
      </c>
      <c r="CB4" s="22">
        <f t="shared" ref="CB4:CB67" si="10">(BZ4+CA4)*0.475*44/12</f>
        <v>1.4217567752663396</v>
      </c>
      <c r="CC4" s="60">
        <f t="shared" ref="CC4:CC67" si="11">CB4+(BT4+BU4)*44/12</f>
        <v>169.23419072819019</v>
      </c>
      <c r="CD4" s="60">
        <f ca="1">AVERAGE(OFFSET($CC$3,0,0,'Données projet'!$E$12+1,1))-AVERAGE(OFFSET($H$3,0,0,'Données projet'!$E$12+1,1))</f>
        <v>277.77877239988635</v>
      </c>
      <c r="CE4" s="60">
        <f>$CE$3</f>
        <v>164.65640238394164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5.6</v>
      </c>
      <c r="CT4" s="13">
        <f>IF('Données projet'!$A$140&gt;35,CT3+CS4-DB3,IF(A4&lt;'Données projet'!$A$140,$CQ$205^A4,IF(A4='Données projet'!$A$140,'Données projet'!$B$140,CT3+CS4-DB3)))</f>
        <v>1.9472943612303364</v>
      </c>
      <c r="CU4" s="18">
        <f>CT4*VLOOKUP('Données projet'!$B$13,Paramètres!$A$1:$I$89,3,0)*VLOOKUP('Données projet'!$B$13,Paramètres!$A$1:$I$89,5,0)</f>
        <v>1.7619119380412083</v>
      </c>
      <c r="CV4" s="14">
        <f>EXP(-1.0587+0.8836*LN(CU4)+0.284)</f>
        <v>0.76015770586189668</v>
      </c>
      <c r="CW4" s="22">
        <f t="shared" ref="CW4:CW67" si="13">(CU4+CV4)*0.475*44/12</f>
        <v>4.3926046297979076</v>
      </c>
      <c r="CX4" s="60">
        <f t="shared" ref="CX4:CX67" si="14">CW4+(CO4+CP4)*44/12</f>
        <v>172.20503858272176</v>
      </c>
      <c r="CY4" s="60">
        <f ca="1">AVERAGE(OFFSET($CX$3,0,0,'Données projet'!$E$13+1,1))-AVERAGE(OFFSET($H$3,0,0,'Données projet'!$E$13+1,1))</f>
        <v>334.26876877415839</v>
      </c>
      <c r="CZ4" s="60">
        <f>$CZ$3</f>
        <v>465.65761854152913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4.7115384615384617</v>
      </c>
      <c r="DO4" s="13">
        <f>IF('Données projet'!$A$166&gt;35,DO3+DN4-DW3,IF(A4&lt;'Données projet'!$A$166,$DL$205^A4,IF(A4='Données projet'!$A$166,'Données projet'!$B$166,DO3+DN4-DW3)))</f>
        <v>1.2551904803974363</v>
      </c>
      <c r="DP4" s="18">
        <f>DO4*VLOOKUP('Données projet'!$B$14,Paramètres!$A$1:$I$89,3,0)*VLOOKUP('Données projet'!$B$14,Paramètres!$A$1:$I$89,5,0)</f>
        <v>0.80281983126220025</v>
      </c>
      <c r="DQ4" s="14">
        <f>EXP(-1.0587+0.8836*LN(DP4)+0.284)</f>
        <v>0.37955315942051321</v>
      </c>
      <c r="DR4" s="22">
        <f t="shared" ref="DR4:DR67" si="16">(DP4+DQ4)*0.475*44/12</f>
        <v>2.059299625439059</v>
      </c>
      <c r="DS4" s="60">
        <f t="shared" ref="DS4:DS67" si="17">DR4+(DJ4+DK4)*44/12</f>
        <v>169.87173357836289</v>
      </c>
      <c r="DT4" s="60">
        <f ca="1">AVERAGE(OFFSET($DS$3,0,0,'Données projet'!$E$14+1,1))-AVERAGE(OFFSET($H$3,0,0,'Données projet'!$E$14+1,1))</f>
        <v>285.09561428624352</v>
      </c>
      <c r="DU4" s="60">
        <f>$DU$3</f>
        <v>261.05678516705564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</v>
      </c>
      <c r="EJ4" s="13">
        <f>IF('Données projet'!$A$192&gt;35,EJ3+EI4-ER3,IF(A4&lt;'Données projet'!$A$192,$EG$205^A4,IF(A4='Données projet'!$A$192,'Données projet'!$B$192,EJ3+EI4-ER3)))</f>
        <v>1.2457309396155174</v>
      </c>
      <c r="EK4" s="18">
        <f>EJ4*VLOOKUP('Données projet'!$B$15,Paramètres!$A$1:$I$89,3,0)*VLOOKUP('Données projet'!$B$15,Paramètres!$A$1:$I$89,5,0)</f>
        <v>1.0105369382161078</v>
      </c>
      <c r="EL4" s="14">
        <f>EXP(-1.0587+0.8836*LN(EK4)+0.284)</f>
        <v>0.46513003316107315</v>
      </c>
      <c r="EM4" s="22">
        <f t="shared" ref="EM4:EM67" si="19">(EK4+EL4)*0.475*44/12</f>
        <v>2.5701199751485899</v>
      </c>
      <c r="EN4" s="60">
        <f t="shared" ref="EN4:EN67" si="20">EM4+(EE4+EF4)*44/12</f>
        <v>170.38255392807244</v>
      </c>
      <c r="EO4" s="60">
        <f ca="1">AVERAGE(OFFSET($EN$3,0,0,'Données projet'!$E$15+1,1))-AVERAGE(OFFSET($H$3,0,0,'Données projet'!$E$15+1,1))</f>
        <v>272.69564942740931</v>
      </c>
      <c r="EP4" s="60">
        <f>$EP$3</f>
        <v>316.57989180609252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173.90956899732174</v>
      </c>
      <c r="S5" s="60">
        <f ca="1">AVERAGE(OFFSET($R$3,0,0,'Données projet'!$E$9+1,1))-AVERAGE(OFFSET($H$3,0,0,'Données projet'!$E$9+1,1))</f>
        <v>469.67944008675863</v>
      </c>
      <c r="T5" s="60">
        <f t="shared" ref="T5:T68" si="34">$T$3</f>
        <v>266.11908070867173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174.29423362025418</v>
      </c>
      <c r="AN5" s="60">
        <f ca="1">AVERAGE(OFFSET($AM$3,0,0,'Données projet'!$E$10+1,1))-AVERAGE(OFFSET($H$3,0,0,'Données projet'!$E$10+1,1))</f>
        <v>516.30971934066179</v>
      </c>
      <c r="AO5" s="60">
        <f t="shared" ref="AO5:AO68" si="36">$AO$3</f>
        <v>290.84286505723571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1.1866319007778094</v>
      </c>
      <c r="BF5" s="14">
        <f t="shared" ref="BF5:BF68" si="37">EXP(-1.0587+0.8836*LN(BE5)+0.284)</f>
        <v>0.53606530474621483</v>
      </c>
      <c r="BG5" s="22">
        <f t="shared" si="7"/>
        <v>3.0003642996210083</v>
      </c>
      <c r="BH5" s="60">
        <f t="shared" si="8"/>
        <v>173.59764558712183</v>
      </c>
      <c r="BI5" s="60">
        <f ca="1">AVERAGE(OFFSET($BH$3,0,0,'Données projet'!$E$11+1,1))-AVERAGE(OFFSET($H$3,0,0,'Données projet'!$E$11+1,1))</f>
        <v>314.75847268052081</v>
      </c>
      <c r="BJ5" s="60">
        <f t="shared" ref="BJ5:BJ68" si="38">$BJ$3</f>
        <v>337.77701316755338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3.4425641025641025</v>
      </c>
      <c r="BY5" s="13">
        <f>IF('Données projet'!$A$114&gt;35,BY4+BX5-CG4,IF(A5&lt;'Données projet'!$A$114,$BV$205^A5,IF(A5='Données projet'!$A$114,'Données projet'!$B$114,BY4+BX5-CG4)))</f>
        <v>1.3622815852065062</v>
      </c>
      <c r="BZ5" s="14">
        <f>BY5*VLOOKUP('Données projet'!$B$12,Paramètres!$A$1:$I$89,3,0)*VLOOKUP('Données projet'!$B$12,Paramètres!$A$1:$I$89,5,0)</f>
        <v>0.63754778187664485</v>
      </c>
      <c r="CA5" s="14">
        <f t="shared" ref="CA5:CA68" si="39">EXP(-1.0587+0.8836*LN(BZ5)+0.284)</f>
        <v>0.30961323785545058</v>
      </c>
      <c r="CB5" s="22">
        <f t="shared" si="10"/>
        <v>1.6496387760333995</v>
      </c>
      <c r="CC5" s="60">
        <f t="shared" si="11"/>
        <v>172.24692006353425</v>
      </c>
      <c r="CD5" s="60">
        <f ca="1">AVERAGE(OFFSET($CC$3,0,0,'Données projet'!$E$12+1,1))-AVERAGE(OFFSET($H$3,0,0,'Données projet'!$E$12+1,1))</f>
        <v>277.77877239988635</v>
      </c>
      <c r="CE5" s="60">
        <f t="shared" ref="CE5:CE68" si="40">$CE$3</f>
        <v>164.65640238394164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5.6</v>
      </c>
      <c r="CT5" s="13">
        <f>IF('Données projet'!$A$140&gt;35,CT4+CS5-DB4,IF(A5&lt;'Données projet'!$A$140,$CQ$205^A5,IF(A5='Données projet'!$A$140,'Données projet'!$B$140,CT4+CS5-DB4)))</f>
        <v>3.7919553292794639</v>
      </c>
      <c r="CU5" s="18">
        <f>CT5*VLOOKUP('Données projet'!$B$13,Paramètres!$A$1:$I$89,3,0)*VLOOKUP('Données projet'!$B$13,Paramètres!$A$1:$I$89,5,0)</f>
        <v>3.4309611819320587</v>
      </c>
      <c r="CV5" s="14">
        <f t="shared" ref="CV5:CV68" si="41">EXP(-1.0587+0.8836*LN(CU5)+0.284)</f>
        <v>1.3697631223860498</v>
      </c>
      <c r="CW5" s="22">
        <f t="shared" si="13"/>
        <v>8.3612614966873711</v>
      </c>
      <c r="CX5" s="60">
        <f t="shared" si="14"/>
        <v>178.95854278418821</v>
      </c>
      <c r="CY5" s="60">
        <f ca="1">AVERAGE(OFFSET($CX$3,0,0,'Données projet'!$E$13+1,1))-AVERAGE(OFFSET($H$3,0,0,'Données projet'!$E$13+1,1))</f>
        <v>334.26876877415839</v>
      </c>
      <c r="CZ5" s="60">
        <f t="shared" ref="CZ5:CZ68" si="42">$CZ$3</f>
        <v>465.65761854152913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4.7115384615384617</v>
      </c>
      <c r="DO5" s="13">
        <f>IF('Données projet'!$A$166&gt;35,DO4+DN5-DW4,IF(A5&lt;'Données projet'!$A$166,$DL$205^A5,IF(A5='Données projet'!$A$166,'Données projet'!$B$166,DO4+DN5-DW4)))</f>
        <v>1.5755031420803469</v>
      </c>
      <c r="DP5" s="18">
        <f>DO5*VLOOKUP('Données projet'!$B$14,Paramètres!$A$1:$I$89,3,0)*VLOOKUP('Données projet'!$B$14,Paramètres!$A$1:$I$89,5,0)</f>
        <v>1.0076918096745897</v>
      </c>
      <c r="DQ5" s="14">
        <f t="shared" ref="DQ5:DQ68" si="43">EXP(-1.0587+0.8836*LN(DP5)+0.284)</f>
        <v>0.46397271965493531</v>
      </c>
      <c r="DR5" s="22">
        <f t="shared" si="16"/>
        <v>2.5631490552489224</v>
      </c>
      <c r="DS5" s="60">
        <f t="shared" si="17"/>
        <v>173.16043034274975</v>
      </c>
      <c r="DT5" s="60">
        <f ca="1">AVERAGE(OFFSET($DS$3,0,0,'Données projet'!$E$14+1,1))-AVERAGE(OFFSET($H$3,0,0,'Données projet'!$E$14+1,1))</f>
        <v>285.09561428624352</v>
      </c>
      <c r="DU5" s="60">
        <f t="shared" ref="DU5:DU68" si="44">$DU$3</f>
        <v>261.05678516705564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</v>
      </c>
      <c r="EJ5" s="13">
        <f>IF('Données projet'!$A$192&gt;35,EJ4+EI5-ER4,IF(A5&lt;'Données projet'!$A$192,$EG$205^A5,IF(A5='Données projet'!$A$192,'Données projet'!$B$192,EJ4+EI5-ER4)))</f>
        <v>1.5518455739153598</v>
      </c>
      <c r="EK5" s="18">
        <f>EJ5*VLOOKUP('Données projet'!$B$15,Paramètres!$A$1:$I$89,3,0)*VLOOKUP('Données projet'!$B$15,Paramètres!$A$1:$I$89,5,0)</f>
        <v>1.2588571295601401</v>
      </c>
      <c r="EL5" s="14">
        <f t="shared" ref="EL5:EL68" si="45">EXP(-1.0587+0.8836*LN(EK5)+0.284)</f>
        <v>0.56479552972512193</v>
      </c>
      <c r="EM5" s="22">
        <f t="shared" si="19"/>
        <v>3.1761950482551646</v>
      </c>
      <c r="EN5" s="60">
        <f t="shared" si="20"/>
        <v>173.77347633575599</v>
      </c>
      <c r="EO5" s="60">
        <f ca="1">AVERAGE(OFFSET($EN$3,0,0,'Données projet'!$E$15+1,1))-AVERAGE(OFFSET($H$3,0,0,'Données projet'!$E$15+1,1))</f>
        <v>272.69564942740931</v>
      </c>
      <c r="EP5" s="60">
        <f t="shared" ref="EP5:EP68" si="46">$EP$3</f>
        <v>316.57989180609252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177.32142247633229</v>
      </c>
      <c r="S6" s="60">
        <f ca="1">AVERAGE(OFFSET($R$3,0,0,'Données projet'!$E$9+1,1))-AVERAGE(OFFSET($H$3,0,0,'Données projet'!$E$9+1,1))</f>
        <v>469.67944008675863</v>
      </c>
      <c r="T6" s="60">
        <f t="shared" si="34"/>
        <v>266.11908070867173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177.78232179480699</v>
      </c>
      <c r="AN6" s="60">
        <f ca="1">AVERAGE(OFFSET($AM$3,0,0,'Données projet'!$E$10+1,1))-AVERAGE(OFFSET($H$3,0,0,'Données projet'!$E$10+1,1))</f>
        <v>516.30971934066179</v>
      </c>
      <c r="AO6" s="60">
        <f t="shared" si="36"/>
        <v>290.84286505723571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1.5096031768660487</v>
      </c>
      <c r="BF6" s="14">
        <f t="shared" si="37"/>
        <v>0.66312474757151718</v>
      </c>
      <c r="BG6" s="22">
        <f t="shared" si="7"/>
        <v>3.7841678017287599</v>
      </c>
      <c r="BH6" s="60">
        <f t="shared" si="8"/>
        <v>177.13918837161364</v>
      </c>
      <c r="BI6" s="60">
        <f ca="1">AVERAGE(OFFSET($BH$3,0,0,'Données projet'!$E$11+1,1))-AVERAGE(OFFSET($H$3,0,0,'Données projet'!$E$11+1,1))</f>
        <v>314.75847268052081</v>
      </c>
      <c r="BJ6" s="60">
        <f t="shared" si="38"/>
        <v>337.77701316755338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3.4425641025641025</v>
      </c>
      <c r="BY6" s="13">
        <f>IF('Données projet'!$A$114&gt;35,BY5+BX6-CG5,IF(A6&lt;'Données projet'!$A$114,$BV$205^A6,IF(A6='Données projet'!$A$114,'Données projet'!$B$114,BY5+BX6-CG5)))</f>
        <v>1.590011732927042</v>
      </c>
      <c r="BZ6" s="14">
        <f>BY6*VLOOKUP('Données projet'!$B$12,Paramètres!$A$1:$I$89,3,0)*VLOOKUP('Données projet'!$B$12,Paramètres!$A$1:$I$89,5,0)</f>
        <v>0.7441254910098557</v>
      </c>
      <c r="CA6" s="14">
        <f t="shared" si="39"/>
        <v>0.35492666750402163</v>
      </c>
      <c r="CB6" s="22">
        <f t="shared" si="10"/>
        <v>1.9141825094116696</v>
      </c>
      <c r="CC6" s="60">
        <f t="shared" si="11"/>
        <v>175.26920307929655</v>
      </c>
      <c r="CD6" s="60">
        <f ca="1">AVERAGE(OFFSET($CC$3,0,0,'Données projet'!$E$12+1,1))-AVERAGE(OFFSET($H$3,0,0,'Données projet'!$E$12+1,1))</f>
        <v>277.77877239988635</v>
      </c>
      <c r="CE6" s="60">
        <f t="shared" si="40"/>
        <v>164.65640238394164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5.6</v>
      </c>
      <c r="CT6" s="13">
        <f>IF('Données projet'!$A$140&gt;35,CT5+CS6-DB5,IF(A6&lt;'Données projet'!$A$140,$CQ$205^A6,IF(A6='Données projet'!$A$140,'Données projet'!$B$140,CT5+CS6-DB5)))</f>
        <v>7.3840532307432234</v>
      </c>
      <c r="CU6" s="18">
        <f>CT6*VLOOKUP('Données projet'!$B$13,Paramètres!$A$1:$I$89,3,0)*VLOOKUP('Données projet'!$B$13,Paramètres!$A$1:$I$89,5,0)</f>
        <v>6.6810913631764679</v>
      </c>
      <c r="CV6" s="14">
        <f t="shared" si="41"/>
        <v>2.4682391521919964</v>
      </c>
      <c r="CW6" s="22">
        <f t="shared" si="13"/>
        <v>15.935083980933408</v>
      </c>
      <c r="CX6" s="60">
        <f t="shared" si="14"/>
        <v>189.29010455081828</v>
      </c>
      <c r="CY6" s="60">
        <f ca="1">AVERAGE(OFFSET($CX$3,0,0,'Données projet'!$E$13+1,1))-AVERAGE(OFFSET($H$3,0,0,'Données projet'!$E$13+1,1))</f>
        <v>334.26876877415839</v>
      </c>
      <c r="CZ6" s="60">
        <f t="shared" si="42"/>
        <v>465.65761854152913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4.7115384615384617</v>
      </c>
      <c r="DO6" s="13">
        <f>IF('Données projet'!$A$166&gt;35,DO5+DN6-DW5,IF(A6&lt;'Données projet'!$A$166,$DL$205^A6,IF(A6='Données projet'!$A$166,'Données projet'!$B$166,DO5+DN6-DW5)))</f>
        <v>1.9775565457755009</v>
      </c>
      <c r="DP6" s="18">
        <f>DO6*VLOOKUP('Données projet'!$B$14,Paramètres!$A$1:$I$89,3,0)*VLOOKUP('Données projet'!$B$14,Paramètres!$A$1:$I$89,5,0)</f>
        <v>1.2648451666780103</v>
      </c>
      <c r="DQ6" s="14">
        <f t="shared" si="43"/>
        <v>0.56716873312993621</v>
      </c>
      <c r="DR6" s="22">
        <f t="shared" si="16"/>
        <v>3.1907575421655068</v>
      </c>
      <c r="DS6" s="60">
        <f t="shared" si="17"/>
        <v>176.54577811205039</v>
      </c>
      <c r="DT6" s="60">
        <f ca="1">AVERAGE(OFFSET($DS$3,0,0,'Données projet'!$E$14+1,1))-AVERAGE(OFFSET($H$3,0,0,'Données projet'!$E$14+1,1))</f>
        <v>285.09561428624352</v>
      </c>
      <c r="DU6" s="60">
        <f t="shared" si="44"/>
        <v>261.05678516705564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</v>
      </c>
      <c r="EJ6" s="13">
        <f>IF('Données projet'!$A$192&gt;35,EJ5+EI6-ER5,IF(A6&lt;'Données projet'!$A$192,$EG$205^A6,IF(A6='Données projet'!$A$192,'Données projet'!$B$192,EJ5+EI6-ER5)))</f>
        <v>1.9331820449317632</v>
      </c>
      <c r="EK6" s="18">
        <f>EJ6*VLOOKUP('Données projet'!$B$15,Paramètres!$A$1:$I$89,3,0)*VLOOKUP('Données projet'!$B$15,Paramètres!$A$1:$I$89,5,0)</f>
        <v>1.5681972748486466</v>
      </c>
      <c r="EL6" s="14">
        <f t="shared" si="45"/>
        <v>0.68581679886281277</v>
      </c>
      <c r="EM6" s="22">
        <f t="shared" si="19"/>
        <v>3.9257411783807914</v>
      </c>
      <c r="EN6" s="60">
        <f t="shared" si="20"/>
        <v>177.28076174826569</v>
      </c>
      <c r="EO6" s="60">
        <f ca="1">AVERAGE(OFFSET($EN$3,0,0,'Données projet'!$E$15+1,1))-AVERAGE(OFFSET($H$3,0,0,'Données projet'!$E$15+1,1))</f>
        <v>272.69564942740931</v>
      </c>
      <c r="EP6" s="60">
        <f t="shared" si="46"/>
        <v>316.57989180609252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180.83628892348293</v>
      </c>
      <c r="S7" s="60">
        <f ca="1">AVERAGE(OFFSET($R$3,0,0,'Données projet'!$E$9+1,1))-AVERAGE(OFFSET($H$3,0,0,'Données projet'!$E$9+1,1))</f>
        <v>469.67944008675863</v>
      </c>
      <c r="T7" s="60">
        <f t="shared" si="34"/>
        <v>266.11908070867173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181.3885838491268</v>
      </c>
      <c r="AN7" s="60">
        <f ca="1">AVERAGE(OFFSET($AM$3,0,0,'Données projet'!$E$10+1,1))-AVERAGE(OFFSET($H$3,0,0,'Données projet'!$E$10+1,1))</f>
        <v>516.30971934066179</v>
      </c>
      <c r="AO7" s="60">
        <f t="shared" si="36"/>
        <v>290.84286505723571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1.9204790888482772</v>
      </c>
      <c r="BF7" s="14">
        <f t="shared" si="37"/>
        <v>0.82030011446080875</v>
      </c>
      <c r="BG7" s="22">
        <f t="shared" si="7"/>
        <v>4.7735237790966574</v>
      </c>
      <c r="BH7" s="60">
        <f t="shared" si="8"/>
        <v>180.8596458432736</v>
      </c>
      <c r="BI7" s="60">
        <f ca="1">AVERAGE(OFFSET($BH$3,0,0,'Données projet'!$E$11+1,1))-AVERAGE(OFFSET($H$3,0,0,'Données projet'!$E$11+1,1))</f>
        <v>314.75847268052081</v>
      </c>
      <c r="BJ7" s="60">
        <f t="shared" si="38"/>
        <v>337.77701316755338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3.4425641025641025</v>
      </c>
      <c r="BY7" s="13">
        <f>IF('Données projet'!$A$114&gt;35,BY6+BX7-CG6,IF(A7&lt;'Données projet'!$A$114,$BV$205^A7,IF(A7='Données projet'!$A$114,'Données projet'!$B$114,BY6+BX7-CG6)))</f>
        <v>1.8558111173927514</v>
      </c>
      <c r="BZ7" s="14">
        <f>BY7*VLOOKUP('Données projet'!$B$12,Paramètres!$A$1:$I$89,3,0)*VLOOKUP('Données projet'!$B$12,Paramètres!$A$1:$I$89,5,0)</f>
        <v>0.86851960293980757</v>
      </c>
      <c r="CA7" s="14">
        <f t="shared" si="39"/>
        <v>0.40687194183965542</v>
      </c>
      <c r="CB7" s="22">
        <f t="shared" si="10"/>
        <v>2.2213069404908978</v>
      </c>
      <c r="CC7" s="60">
        <f t="shared" si="11"/>
        <v>178.30742900466785</v>
      </c>
      <c r="CD7" s="60">
        <f ca="1">AVERAGE(OFFSET($CC$3,0,0,'Données projet'!$E$12+1,1))-AVERAGE(OFFSET($H$3,0,0,'Données projet'!$E$12+1,1))</f>
        <v>277.77877239988635</v>
      </c>
      <c r="CE7" s="60">
        <f t="shared" si="40"/>
        <v>164.65640238394164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5.6</v>
      </c>
      <c r="CT7" s="13">
        <f>IF('Données projet'!$A$140&gt;35,CT6+CS7-DB6,IF(A7&lt;'Données projet'!$A$140,$CQ$205^A7,IF(A7='Données projet'!$A$140,'Données projet'!$B$140,CT6+CS7-DB6)))</f>
        <v>14.378925219250927</v>
      </c>
      <c r="CU7" s="18">
        <f>CT7*VLOOKUP('Données projet'!$B$13,Paramètres!$A$1:$I$89,3,0)*VLOOKUP('Données projet'!$B$13,Paramètres!$A$1:$I$89,5,0)</f>
        <v>13.010051538378239</v>
      </c>
      <c r="CV7" s="14">
        <f t="shared" si="41"/>
        <v>4.4476336184326453</v>
      </c>
      <c r="CW7" s="22">
        <f t="shared" si="13"/>
        <v>30.405468314778947</v>
      </c>
      <c r="CX7" s="60">
        <f t="shared" si="14"/>
        <v>206.49159037895589</v>
      </c>
      <c r="CY7" s="60">
        <f ca="1">AVERAGE(OFFSET($CX$3,0,0,'Données projet'!$E$13+1,1))-AVERAGE(OFFSET($H$3,0,0,'Données projet'!$E$13+1,1))</f>
        <v>334.26876877415839</v>
      </c>
      <c r="CZ7" s="60">
        <f t="shared" si="42"/>
        <v>465.65761854152913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4.7115384615384617</v>
      </c>
      <c r="DO7" s="13">
        <f>IF('Données projet'!$A$166&gt;35,DO6+DN7-DW6,IF(A7&lt;'Données projet'!$A$166,$DL$205^A7,IF(A7='Données projet'!$A$166,'Données projet'!$B$166,DO6+DN7-DW6)))</f>
        <v>2.482210150705046</v>
      </c>
      <c r="DP7" s="18">
        <f>DO7*VLOOKUP('Données projet'!$B$14,Paramètres!$A$1:$I$89,3,0)*VLOOKUP('Données projet'!$B$14,Paramètres!$A$1:$I$89,5,0)</f>
        <v>1.5876216123909475</v>
      </c>
      <c r="DQ7" s="14">
        <f t="shared" si="43"/>
        <v>0.69331742624750925</v>
      </c>
      <c r="DR7" s="22">
        <f t="shared" si="16"/>
        <v>3.972635492295312</v>
      </c>
      <c r="DS7" s="60">
        <f t="shared" si="17"/>
        <v>180.05875755647227</v>
      </c>
      <c r="DT7" s="60">
        <f ca="1">AVERAGE(OFFSET($DS$3,0,0,'Données projet'!$E$14+1,1))-AVERAGE(OFFSET($H$3,0,0,'Données projet'!$E$14+1,1))</f>
        <v>285.09561428624352</v>
      </c>
      <c r="DU7" s="60">
        <f t="shared" si="44"/>
        <v>261.05678516705564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</v>
      </c>
      <c r="EJ7" s="13">
        <f>IF('Données projet'!$A$192&gt;35,EJ6+EI7-ER6,IF(A7&lt;'Données projet'!$A$192,$EG$205^A7,IF(A7='Données projet'!$A$192,'Données projet'!$B$192,EJ6+EI7-ER6)))</f>
        <v>2.4082246852806923</v>
      </c>
      <c r="EK7" s="18">
        <f>EJ7*VLOOKUP('Données projet'!$B$15,Paramètres!$A$1:$I$89,3,0)*VLOOKUP('Données projet'!$B$15,Paramètres!$A$1:$I$89,5,0)</f>
        <v>1.9535518646996977</v>
      </c>
      <c r="EL7" s="14">
        <f t="shared" si="45"/>
        <v>0.83276983766381052</v>
      </c>
      <c r="EM7" s="22">
        <f t="shared" si="19"/>
        <v>4.8528436316164436</v>
      </c>
      <c r="EN7" s="60">
        <f t="shared" si="20"/>
        <v>180.9389656957934</v>
      </c>
      <c r="EO7" s="60">
        <f ca="1">AVERAGE(OFFSET($EN$3,0,0,'Données projet'!$E$15+1,1))-AVERAGE(OFFSET($H$3,0,0,'Données projet'!$E$15+1,1))</f>
        <v>272.69564942740931</v>
      </c>
      <c r="EP7" s="60">
        <f t="shared" si="46"/>
        <v>316.57989180609252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184.48041712822103</v>
      </c>
      <c r="S8" s="60">
        <f ca="1">AVERAGE(OFFSET($R$3,0,0,'Données projet'!$E$9+1,1))-AVERAGE(OFFSET($H$3,0,0,'Données projet'!$E$9+1,1))</f>
        <v>469.67944008675863</v>
      </c>
      <c r="T8" s="60">
        <f t="shared" si="34"/>
        <v>266.11908070867173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185.14229339232202</v>
      </c>
      <c r="AN8" s="60">
        <f ca="1">AVERAGE(OFFSET($AM$3,0,0,'Données projet'!$E$10+1,1))-AVERAGE(OFFSET($H$3,0,0,'Données projet'!$E$10+1,1))</f>
        <v>516.30971934066179</v>
      </c>
      <c r="AO8" s="60">
        <f t="shared" si="36"/>
        <v>290.84286505723571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2.4431850616268127</v>
      </c>
      <c r="BF8" s="14">
        <f t="shared" si="37"/>
        <v>1.0147295516396715</v>
      </c>
      <c r="BG8" s="22">
        <f t="shared" si="7"/>
        <v>6.0225346181057935</v>
      </c>
      <c r="BH8" s="60">
        <f t="shared" si="8"/>
        <v>184.81358249455315</v>
      </c>
      <c r="BI8" s="60">
        <f ca="1">AVERAGE(OFFSET($BH$3,0,0,'Données projet'!$E$11+1,1))-AVERAGE(OFFSET($H$3,0,0,'Données projet'!$E$11+1,1))</f>
        <v>314.75847268052081</v>
      </c>
      <c r="BJ8" s="60">
        <f t="shared" si="38"/>
        <v>337.77701316755338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3.4425641025641025</v>
      </c>
      <c r="BY8" s="13">
        <f>IF('Données projet'!$A$114&gt;35,BY7+BX8-CG7,IF(A8&lt;'Données projet'!$A$114,$BV$205^A8,IF(A8='Données projet'!$A$114,'Données projet'!$B$114,BY7+BX8-CG7)))</f>
        <v>2.1660437040287945</v>
      </c>
      <c r="BZ8" s="14">
        <f>BY8*VLOOKUP('Données projet'!$B$12,Paramètres!$A$1:$I$89,3,0)*VLOOKUP('Données projet'!$B$12,Paramètres!$A$1:$I$89,5,0)</f>
        <v>1.0137084534854759</v>
      </c>
      <c r="CA8" s="14">
        <f t="shared" si="39"/>
        <v>0.46641966415357117</v>
      </c>
      <c r="CB8" s="22">
        <f t="shared" si="10"/>
        <v>2.5778898048880068</v>
      </c>
      <c r="CC8" s="60">
        <f t="shared" si="11"/>
        <v>181.36893768133535</v>
      </c>
      <c r="CD8" s="60">
        <f ca="1">AVERAGE(OFFSET($CC$3,0,0,'Données projet'!$E$12+1,1))-AVERAGE(OFFSET($H$3,0,0,'Données projet'!$E$12+1,1))</f>
        <v>277.77877239988635</v>
      </c>
      <c r="CE8" s="60">
        <f t="shared" si="40"/>
        <v>164.65640238394164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28</v>
      </c>
      <c r="CR8" s="13">
        <f>VLOOKUP(A8,'Données projet'!$A$139:$I$159,9,0)</f>
        <v>5.6</v>
      </c>
      <c r="CS8" s="13">
        <f t="array" ref="CS8">INDEX(CR:CR,MIN(IF(ISNUMBER(CR8:CR204),ROW(CR8:CR204),"")))</f>
        <v>5.6</v>
      </c>
      <c r="CT8" s="13">
        <f>IF('Données projet'!$A$140&gt;35,CT7+CS8-DB7,IF(A8&lt;'Données projet'!$A$140,$CQ$205^A8,IF(A8='Données projet'!$A$140,'Données projet'!$B$140,CT7+CS8-DB7)))</f>
        <v>28</v>
      </c>
      <c r="CU8" s="18">
        <f>CT8*VLOOKUP('Données projet'!$B$13,Paramètres!$A$1:$I$89,3,0)*VLOOKUP('Données projet'!$B$13,Paramètres!$A$1:$I$89,5,0)</f>
        <v>25.334399999999999</v>
      </c>
      <c r="CV8" s="14">
        <f t="shared" si="41"/>
        <v>8.0143955200794572</v>
      </c>
      <c r="CW8" s="22">
        <f t="shared" si="13"/>
        <v>58.082485530805052</v>
      </c>
      <c r="CX8" s="60">
        <f t="shared" si="14"/>
        <v>236.87353340725241</v>
      </c>
      <c r="CY8" s="60">
        <f ca="1">AVERAGE(OFFSET($CX$3,0,0,'Données projet'!$E$13+1,1))-AVERAGE(OFFSET($H$3,0,0,'Données projet'!$E$13+1,1))</f>
        <v>334.26876877415839</v>
      </c>
      <c r="CZ8" s="60">
        <f t="shared" si="42"/>
        <v>465.65761854152913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4.7115384615384617</v>
      </c>
      <c r="DO8" s="13">
        <f>IF('Données projet'!$A$166&gt;35,DO7+DN8-DW7,IF(A8&lt;'Données projet'!$A$166,$DL$205^A8,IF(A8='Données projet'!$A$166,'Données projet'!$B$166,DO7+DN8-DW7)))</f>
        <v>3.1156465515108596</v>
      </c>
      <c r="DP8" s="18">
        <f>DO8*VLOOKUP('Données projet'!$B$14,Paramètres!$A$1:$I$89,3,0)*VLOOKUP('Données projet'!$B$14,Paramètres!$A$1:$I$89,5,0)</f>
        <v>1.9927675343463458</v>
      </c>
      <c r="DQ8" s="14">
        <f t="shared" si="43"/>
        <v>0.84752389449569021</v>
      </c>
      <c r="DR8" s="22">
        <f t="shared" si="16"/>
        <v>4.9468409052332136</v>
      </c>
      <c r="DS8" s="60">
        <f t="shared" si="17"/>
        <v>183.73788878168057</v>
      </c>
      <c r="DT8" s="60">
        <f ca="1">AVERAGE(OFFSET($DS$3,0,0,'Données projet'!$E$14+1,1))-AVERAGE(OFFSET($H$3,0,0,'Données projet'!$E$14+1,1))</f>
        <v>285.09561428624352</v>
      </c>
      <c r="DU8" s="60">
        <f t="shared" si="44"/>
        <v>261.05678516705564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</v>
      </c>
      <c r="EJ8" s="13">
        <f>IF('Données projet'!$A$192&gt;35,EJ7+EI8-ER7,IF(A8&lt;'Données projet'!$A$192,$EG$205^A8,IF(A8='Données projet'!$A$192,'Données projet'!$B$192,EJ7+EI8-ER7)))</f>
        <v>3.0000000000000004</v>
      </c>
      <c r="EK8" s="18">
        <f>EJ8*VLOOKUP('Données projet'!$B$15,Paramètres!$A$1:$I$89,3,0)*VLOOKUP('Données projet'!$B$15,Paramètres!$A$1:$I$89,5,0)</f>
        <v>2.4336000000000007</v>
      </c>
      <c r="EL8" s="14">
        <f t="shared" si="45"/>
        <v>1.0112111626203177</v>
      </c>
      <c r="EM8" s="22">
        <f t="shared" si="19"/>
        <v>5.9997127748970547</v>
      </c>
      <c r="EN8" s="60">
        <f t="shared" si="20"/>
        <v>184.79076065134441</v>
      </c>
      <c r="EO8" s="60">
        <f ca="1">AVERAGE(OFFSET($EN$3,0,0,'Données projet'!$E$15+1,1))-AVERAGE(OFFSET($H$3,0,0,'Données projet'!$E$15+1,1))</f>
        <v>272.69564942740931</v>
      </c>
      <c r="EP8" s="60">
        <f t="shared" si="46"/>
        <v>316.57989180609252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188.28519320362309</v>
      </c>
      <c r="S9" s="60">
        <f ca="1">AVERAGE(OFFSET($R$3,0,0,'Données projet'!$E$9+1,1))-AVERAGE(OFFSET($H$3,0,0,'Données projet'!$E$9+1,1))</f>
        <v>469.67944008675863</v>
      </c>
      <c r="T9" s="60">
        <f t="shared" si="34"/>
        <v>266.11908070867173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189.07846666012946</v>
      </c>
      <c r="AN9" s="60">
        <f ca="1">AVERAGE(OFFSET($AM$3,0,0,'Données projet'!$E$10+1,1))-AVERAGE(OFFSET($H$3,0,0,'Données projet'!$E$10+1,1))</f>
        <v>516.30971934066179</v>
      </c>
      <c r="AO9" s="60">
        <f t="shared" si="36"/>
        <v>290.84286505723571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3.1081584173541552</v>
      </c>
      <c r="BF9" s="14">
        <f t="shared" si="37"/>
        <v>1.2552431053208675</v>
      </c>
      <c r="BG9" s="22">
        <f t="shared" si="7"/>
        <v>7.5995909853256647</v>
      </c>
      <c r="BH9" s="60">
        <f t="shared" si="8"/>
        <v>189.06984308158465</v>
      </c>
      <c r="BI9" s="60">
        <f ca="1">AVERAGE(OFFSET($BH$3,0,0,'Données projet'!$E$11+1,1))-AVERAGE(OFFSET($H$3,0,0,'Données projet'!$E$11+1,1))</f>
        <v>314.75847268052081</v>
      </c>
      <c r="BJ9" s="60">
        <f t="shared" si="38"/>
        <v>337.77701316755338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3.4425641025641025</v>
      </c>
      <c r="BY9" s="13">
        <f>IF('Données projet'!$A$114&gt;35,BY8+BX9-CG8,IF(A9&lt;'Données projet'!$A$114,$BV$205^A9,IF(A9='Données projet'!$A$114,'Données projet'!$B$114,BY8+BX9-CG8)))</f>
        <v>2.5281373108456551</v>
      </c>
      <c r="BZ9" s="14">
        <f>BY9*VLOOKUP('Données projet'!$B$12,Paramètres!$A$1:$I$89,3,0)*VLOOKUP('Données projet'!$B$12,Paramètres!$A$1:$I$89,5,0)</f>
        <v>1.1831682614757666</v>
      </c>
      <c r="CA9" s="14">
        <f t="shared" si="39"/>
        <v>0.53468249033221249</v>
      </c>
      <c r="CB9" s="22">
        <f t="shared" si="10"/>
        <v>2.9919233927322302</v>
      </c>
      <c r="CC9" s="60">
        <f t="shared" si="11"/>
        <v>184.46217548899119</v>
      </c>
      <c r="CD9" s="60">
        <f ca="1">AVERAGE(OFFSET($CC$3,0,0,'Données projet'!$E$12+1,1))-AVERAGE(OFFSET($H$3,0,0,'Données projet'!$E$12+1,1))</f>
        <v>277.77877239988635</v>
      </c>
      <c r="CE9" s="60">
        <f t="shared" si="40"/>
        <v>164.65640238394164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11</v>
      </c>
      <c r="CT9" s="13">
        <f>IF('Données projet'!$A$140&gt;35,CT8+CS9-DB8,IF(A9&lt;'Données projet'!$A$140,$CQ$205^A9,IF(A9='Données projet'!$A$140,'Données projet'!$B$140,CT8+CS9-DB8)))</f>
        <v>39</v>
      </c>
      <c r="CU9" s="18">
        <f>CT9*VLOOKUP('Données projet'!$B$13,Paramètres!$A$1:$I$89,3,0)*VLOOKUP('Données projet'!$B$13,Paramètres!$A$1:$I$89,5,0)</f>
        <v>35.287199999999999</v>
      </c>
      <c r="CV9" s="14">
        <f t="shared" si="41"/>
        <v>10.740552489323523</v>
      </c>
      <c r="CW9" s="22">
        <f t="shared" si="13"/>
        <v>80.165002252238452</v>
      </c>
      <c r="CX9" s="60">
        <f t="shared" si="14"/>
        <v>261.63525434849743</v>
      </c>
      <c r="CY9" s="60">
        <f ca="1">AVERAGE(OFFSET($CX$3,0,0,'Données projet'!$E$13+1,1))-AVERAGE(OFFSET($H$3,0,0,'Données projet'!$E$13+1,1))</f>
        <v>334.26876877415839</v>
      </c>
      <c r="CZ9" s="60">
        <f t="shared" si="42"/>
        <v>465.65761854152913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4.7115384615384617</v>
      </c>
      <c r="DO9" s="13">
        <f>IF('Données projet'!$A$166&gt;35,DO8+DN9-DW8,IF(A9&lt;'Données projet'!$A$166,$DL$205^A9,IF(A9='Données projet'!$A$166,'Données projet'!$B$166,DO8+DN9-DW8)))</f>
        <v>3.9107298917395314</v>
      </c>
      <c r="DP9" s="18">
        <f>DO9*VLOOKUP('Données projet'!$B$14,Paramètres!$A$1:$I$89,3,0)*VLOOKUP('Données projet'!$B$14,Paramètres!$A$1:$I$89,5,0)</f>
        <v>2.5013028387566041</v>
      </c>
      <c r="DQ9" s="14">
        <f t="shared" si="43"/>
        <v>1.0360286999114241</v>
      </c>
      <c r="DR9" s="22">
        <f t="shared" si="16"/>
        <v>6.1608524298468161</v>
      </c>
      <c r="DS9" s="60">
        <f t="shared" si="17"/>
        <v>187.63110452610579</v>
      </c>
      <c r="DT9" s="60">
        <f ca="1">AVERAGE(OFFSET($DS$3,0,0,'Données projet'!$E$14+1,1))-AVERAGE(OFFSET($H$3,0,0,'Données projet'!$E$14+1,1))</f>
        <v>285.09561428624352</v>
      </c>
      <c r="DU9" s="60">
        <f t="shared" si="44"/>
        <v>261.05678516705564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</v>
      </c>
      <c r="EJ9" s="13">
        <f>IF('Données projet'!$A$192&gt;35,EJ8+EI9-ER8,IF(A9&lt;'Données projet'!$A$192,$EG$205^A9,IF(A9='Données projet'!$A$192,'Données projet'!$B$192,EJ8+EI9-ER8)))</f>
        <v>3.7371928188465526</v>
      </c>
      <c r="EK9" s="18">
        <f>EJ9*VLOOKUP('Données projet'!$B$15,Paramètres!$A$1:$I$89,3,0)*VLOOKUP('Données projet'!$B$15,Paramètres!$A$1:$I$89,5,0)</f>
        <v>3.0316108146483236</v>
      </c>
      <c r="EL9" s="14">
        <f t="shared" si="45"/>
        <v>1.2278879099133964</v>
      </c>
      <c r="EM9" s="22">
        <f t="shared" si="19"/>
        <v>7.4186269452783291</v>
      </c>
      <c r="EN9" s="60">
        <f t="shared" si="20"/>
        <v>188.88887904153731</v>
      </c>
      <c r="EO9" s="60">
        <f ca="1">AVERAGE(OFFSET($EN$3,0,0,'Données projet'!$E$15+1,1))-AVERAGE(OFFSET($H$3,0,0,'Données projet'!$E$15+1,1))</f>
        <v>272.69564942740931</v>
      </c>
      <c r="EP9" s="60">
        <f t="shared" si="46"/>
        <v>316.57989180609252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192.28817046759474</v>
      </c>
      <c r="S10" s="60">
        <f ca="1">AVERAGE(OFFSET($R$3,0,0,'Données projet'!$E$9+1,1))-AVERAGE(OFFSET($H$3,0,0,'Données projet'!$E$9+1,1))</f>
        <v>469.67944008675863</v>
      </c>
      <c r="T10" s="60">
        <f t="shared" si="34"/>
        <v>266.11908070867173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193.23901385890804</v>
      </c>
      <c r="AN10" s="60">
        <f ca="1">AVERAGE(OFFSET($AM$3,0,0,'Données projet'!$E$10+1,1))-AVERAGE(OFFSET($H$3,0,0,'Données projet'!$E$10+1,1))</f>
        <v>516.30971934066179</v>
      </c>
      <c r="AO10" s="60">
        <f t="shared" si="36"/>
        <v>290.84286505723571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3.9541207496319881</v>
      </c>
      <c r="BF10" s="14">
        <f t="shared" si="37"/>
        <v>1.5527637397664751</v>
      </c>
      <c r="BG10" s="22">
        <f t="shared" si="7"/>
        <v>9.5911571523689911</v>
      </c>
      <c r="BH10" s="60">
        <f t="shared" si="8"/>
        <v>193.71533808810523</v>
      </c>
      <c r="BI10" s="60">
        <f ca="1">AVERAGE(OFFSET($BH$3,0,0,'Données projet'!$E$11+1,1))-AVERAGE(OFFSET($H$3,0,0,'Données projet'!$E$11+1,1))</f>
        <v>314.75847268052081</v>
      </c>
      <c r="BJ10" s="60">
        <f t="shared" si="38"/>
        <v>337.77701316755338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3.4425641025641025</v>
      </c>
      <c r="BY10" s="13">
        <f>IF('Données projet'!$A$114&gt;35,BY9+BX10-CG9,IF(A10&lt;'Données projet'!$A$114,$BV$205^A10,IF(A10='Données projet'!$A$114,'Données projet'!$B$114,BY9+BX10-CG9)))</f>
        <v>2.9507614507509188</v>
      </c>
      <c r="BZ10" s="14">
        <f>BY10*VLOOKUP('Données projet'!$B$12,Paramètres!$A$1:$I$89,3,0)*VLOOKUP('Données projet'!$B$12,Paramètres!$A$1:$I$89,5,0)</f>
        <v>1.38095635895143</v>
      </c>
      <c r="CA10" s="14">
        <f t="shared" si="39"/>
        <v>0.61293591895758326</v>
      </c>
      <c r="CB10" s="22">
        <f t="shared" si="10"/>
        <v>3.472695717358198</v>
      </c>
      <c r="CC10" s="60">
        <f t="shared" si="11"/>
        <v>187.59687665309443</v>
      </c>
      <c r="CD10" s="60">
        <f ca="1">AVERAGE(OFFSET($CC$3,0,0,'Données projet'!$E$12+1,1))-AVERAGE(OFFSET($H$3,0,0,'Données projet'!$E$12+1,1))</f>
        <v>277.77877239988635</v>
      </c>
      <c r="CE10" s="60">
        <f t="shared" si="40"/>
        <v>164.65640238394164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11</v>
      </c>
      <c r="CT10" s="13">
        <f>IF('Données projet'!$A$140&gt;35,CT9+CS10-DB9,IF(A10&lt;'Données projet'!$A$140,$CQ$205^A10,IF(A10='Données projet'!$A$140,'Données projet'!$B$140,CT9+CS10-DB9)))</f>
        <v>50</v>
      </c>
      <c r="CU10" s="18">
        <f>CT10*VLOOKUP('Données projet'!$B$13,Paramètres!$A$1:$I$89,3,0)*VLOOKUP('Données projet'!$B$13,Paramètres!$A$1:$I$89,5,0)</f>
        <v>45.239999999999995</v>
      </c>
      <c r="CV10" s="14">
        <f t="shared" si="41"/>
        <v>13.377403626687906</v>
      </c>
      <c r="CW10" s="22">
        <f t="shared" si="13"/>
        <v>102.09197798314808</v>
      </c>
      <c r="CX10" s="60">
        <f t="shared" si="14"/>
        <v>286.21615891888433</v>
      </c>
      <c r="CY10" s="60">
        <f ca="1">AVERAGE(OFFSET($CX$3,0,0,'Données projet'!$E$13+1,1))-AVERAGE(OFFSET($H$3,0,0,'Données projet'!$E$13+1,1))</f>
        <v>334.26876877415839</v>
      </c>
      <c r="CZ10" s="60">
        <f t="shared" si="42"/>
        <v>465.65761854152913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4.7115384615384617</v>
      </c>
      <c r="DO10" s="13">
        <f>IF('Données projet'!$A$166&gt;35,DO9+DN10-DW9,IF(A10&lt;'Données projet'!$A$166,$DL$205^A10,IF(A10='Données projet'!$A$166,'Données projet'!$B$166,DO9+DN10-DW9)))</f>
        <v>4.908710931517156</v>
      </c>
      <c r="DP10" s="18">
        <f>DO10*VLOOKUP('Données projet'!$B$14,Paramètres!$A$1:$I$89,3,0)*VLOOKUP('Données projet'!$B$14,Paramètres!$A$1:$I$89,5,0)</f>
        <v>3.1396115117983725</v>
      </c>
      <c r="DQ10" s="14">
        <f t="shared" si="43"/>
        <v>1.2664604195954194</v>
      </c>
      <c r="DR10" s="22">
        <f t="shared" si="16"/>
        <v>7.673908613844187</v>
      </c>
      <c r="DS10" s="60">
        <f t="shared" si="17"/>
        <v>191.79808954958042</v>
      </c>
      <c r="DT10" s="60">
        <f ca="1">AVERAGE(OFFSET($DS$3,0,0,'Données projet'!$E$14+1,1))-AVERAGE(OFFSET($H$3,0,0,'Données projet'!$E$14+1,1))</f>
        <v>285.09561428624352</v>
      </c>
      <c r="DU10" s="60">
        <f t="shared" si="44"/>
        <v>261.05678516705564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</v>
      </c>
      <c r="EJ10" s="13">
        <f>IF('Données projet'!$A$192&gt;35,EJ9+EI10-ER9,IF(A10&lt;'Données projet'!$A$192,$EG$205^A10,IF(A10='Données projet'!$A$192,'Données projet'!$B$192,EJ9+EI10-ER9)))</f>
        <v>4.6555367217460804</v>
      </c>
      <c r="EK10" s="18">
        <f>EJ10*VLOOKUP('Données projet'!$B$15,Paramètres!$A$1:$I$89,3,0)*VLOOKUP('Données projet'!$B$15,Paramètres!$A$1:$I$89,5,0)</f>
        <v>3.7765713886804204</v>
      </c>
      <c r="EL10" s="14">
        <f t="shared" si="45"/>
        <v>1.490992954829151</v>
      </c>
      <c r="EM10" s="22">
        <f t="shared" si="19"/>
        <v>9.1743412316125035</v>
      </c>
      <c r="EN10" s="60">
        <f t="shared" si="20"/>
        <v>193.29852216734875</v>
      </c>
      <c r="EO10" s="60">
        <f ca="1">AVERAGE(OFFSET($EN$3,0,0,'Données projet'!$E$15+1,1))-AVERAGE(OFFSET($H$3,0,0,'Données projet'!$E$15+1,1))</f>
        <v>272.69564942740931</v>
      </c>
      <c r="EP10" s="60">
        <f t="shared" si="46"/>
        <v>316.57989180609252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196.53430597224175</v>
      </c>
      <c r="S11" s="60">
        <f ca="1">AVERAGE(OFFSET($R$3,0,0,'Données projet'!$E$9+1,1))-AVERAGE(OFFSET($H$3,0,0,'Données projet'!$E$9+1,1))</f>
        <v>469.67944008675863</v>
      </c>
      <c r="T11" s="60">
        <f t="shared" si="34"/>
        <v>266.11908070867173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197.67412159271069</v>
      </c>
      <c r="AN11" s="60">
        <f ca="1">AVERAGE(OFFSET($AM$3,0,0,'Données projet'!$E$10+1,1))-AVERAGE(OFFSET($H$3,0,0,'Données projet'!$E$10+1,1))</f>
        <v>516.30971934066179</v>
      </c>
      <c r="AO11" s="60">
        <f t="shared" si="36"/>
        <v>290.84286505723571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5.0303326932671979</v>
      </c>
      <c r="BF11" s="14">
        <f t="shared" si="37"/>
        <v>1.9208034055819379</v>
      </c>
      <c r="BG11" s="22">
        <f t="shared" si="7"/>
        <v>12.106562038828912</v>
      </c>
      <c r="BH11" s="60">
        <f t="shared" si="8"/>
        <v>198.85983490504947</v>
      </c>
      <c r="BI11" s="60">
        <f ca="1">AVERAGE(OFFSET($BH$3,0,0,'Données projet'!$E$11+1,1))-AVERAGE(OFFSET($H$3,0,0,'Données projet'!$E$11+1,1))</f>
        <v>314.75847268052081</v>
      </c>
      <c r="BJ11" s="60">
        <f t="shared" si="38"/>
        <v>337.77701316755338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3.4425641025641025</v>
      </c>
      <c r="BY11" s="13">
        <f>IF('Données projet'!$A$114&gt;35,BY10+BX11-CG10,IF(A11&lt;'Données projet'!$A$114,$BV$205^A11,IF(A11='Données projet'!$A$114,'Données projet'!$B$114,BY10+BX11-CG10)))</f>
        <v>3.4440349034385327</v>
      </c>
      <c r="BZ11" s="14">
        <f>BY11*VLOOKUP('Données projet'!$B$12,Paramètres!$A$1:$I$89,3,0)*VLOOKUP('Données projet'!$B$12,Paramètres!$A$1:$I$89,5,0)</f>
        <v>1.6118083348092334</v>
      </c>
      <c r="CA11" s="14">
        <f t="shared" si="39"/>
        <v>0.70264212414165761</v>
      </c>
      <c r="CB11" s="22">
        <f t="shared" si="10"/>
        <v>4.0310012160061346</v>
      </c>
      <c r="CC11" s="60">
        <f t="shared" si="11"/>
        <v>190.78427408222669</v>
      </c>
      <c r="CD11" s="60">
        <f ca="1">AVERAGE(OFFSET($CC$3,0,0,'Données projet'!$E$12+1,1))-AVERAGE(OFFSET($H$3,0,0,'Données projet'!$E$12+1,1))</f>
        <v>277.77877239988635</v>
      </c>
      <c r="CE11" s="60">
        <f t="shared" si="40"/>
        <v>164.65640238394164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11</v>
      </c>
      <c r="CT11" s="13">
        <f>IF('Données projet'!$A$140&gt;35,CT10+CS11-DB10,IF(A11&lt;'Données projet'!$A$140,$CQ$205^A11,IF(A11='Données projet'!$A$140,'Données projet'!$B$140,CT10+CS11-DB10)))</f>
        <v>61</v>
      </c>
      <c r="CU11" s="18">
        <f>CT11*VLOOKUP('Données projet'!$B$13,Paramètres!$A$1:$I$89,3,0)*VLOOKUP('Données projet'!$B$13,Paramètres!$A$1:$I$89,5,0)</f>
        <v>55.192799999999998</v>
      </c>
      <c r="CV11" s="14">
        <f t="shared" si="41"/>
        <v>15.94701406628168</v>
      </c>
      <c r="CW11" s="22">
        <f t="shared" si="13"/>
        <v>123.90184283210725</v>
      </c>
      <c r="CX11" s="60">
        <f t="shared" si="14"/>
        <v>310.65511569832779</v>
      </c>
      <c r="CY11" s="60">
        <f ca="1">AVERAGE(OFFSET($CX$3,0,0,'Données projet'!$E$13+1,1))-AVERAGE(OFFSET($H$3,0,0,'Données projet'!$E$13+1,1))</f>
        <v>334.26876877415839</v>
      </c>
      <c r="CZ11" s="60">
        <f t="shared" si="42"/>
        <v>465.65761854152913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4.7115384615384617</v>
      </c>
      <c r="DO11" s="13">
        <f>IF('Données projet'!$A$166&gt;35,DO10+DN11-DW10,IF(A11&lt;'Données projet'!$A$166,$DL$205^A11,IF(A11='Données projet'!$A$166,'Données projet'!$B$166,DO10+DN11-DW10)))</f>
        <v>6.1613672322631672</v>
      </c>
      <c r="DP11" s="18">
        <f>DO11*VLOOKUP('Données projet'!$B$14,Paramètres!$A$1:$I$89,3,0)*VLOOKUP('Données projet'!$B$14,Paramètres!$A$1:$I$89,5,0)</f>
        <v>3.9408104817555212</v>
      </c>
      <c r="DQ11" s="14">
        <f t="shared" si="43"/>
        <v>1.5481443656328577</v>
      </c>
      <c r="DR11" s="22">
        <f t="shared" si="16"/>
        <v>9.5599296925347588</v>
      </c>
      <c r="DS11" s="60">
        <f t="shared" si="17"/>
        <v>196.31320255875531</v>
      </c>
      <c r="DT11" s="60">
        <f ca="1">AVERAGE(OFFSET($DS$3,0,0,'Données projet'!$E$14+1,1))-AVERAGE(OFFSET($H$3,0,0,'Données projet'!$E$14+1,1))</f>
        <v>285.09561428624352</v>
      </c>
      <c r="DU11" s="60">
        <f t="shared" si="44"/>
        <v>261.05678516705564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</v>
      </c>
      <c r="EJ11" s="13">
        <f>IF('Données projet'!$A$192&gt;35,EJ10+EI11-ER10,IF(A11&lt;'Données projet'!$A$192,$EG$205^A11,IF(A11='Données projet'!$A$192,'Données projet'!$B$192,EJ10+EI11-ER10)))</f>
        <v>5.7995461347952899</v>
      </c>
      <c r="EK11" s="18">
        <f>EJ11*VLOOKUP('Données projet'!$B$15,Paramètres!$A$1:$I$89,3,0)*VLOOKUP('Données projet'!$B$15,Paramètres!$A$1:$I$89,5,0)</f>
        <v>4.7045918245459397</v>
      </c>
      <c r="EL11" s="14">
        <f t="shared" si="45"/>
        <v>1.8104746967554695</v>
      </c>
      <c r="EM11" s="22">
        <f t="shared" si="19"/>
        <v>11.347074191266621</v>
      </c>
      <c r="EN11" s="60">
        <f t="shared" si="20"/>
        <v>198.10034705748717</v>
      </c>
      <c r="EO11" s="60">
        <f ca="1">AVERAGE(OFFSET($EN$3,0,0,'Données projet'!$E$15+1,1))-AVERAGE(OFFSET($H$3,0,0,'Données projet'!$E$15+1,1))</f>
        <v>272.69564942740931</v>
      </c>
      <c r="EP11" s="60">
        <f t="shared" si="46"/>
        <v>316.57989180609252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201.07744525705709</v>
      </c>
      <c r="S12" s="60">
        <f ca="1">AVERAGE(OFFSET($R$3,0,0,'Données projet'!$E$9+1,1))-AVERAGE(OFFSET($H$3,0,0,'Données projet'!$E$9+1,1))</f>
        <v>469.67944008675863</v>
      </c>
      <c r="T12" s="60">
        <f t="shared" si="34"/>
        <v>266.11908070867173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202.44391287603133</v>
      </c>
      <c r="AN12" s="60">
        <f ca="1">AVERAGE(OFFSET($AM$3,0,0,'Données projet'!$E$10+1,1))-AVERAGE(OFFSET($H$3,0,0,'Données projet'!$E$10+1,1))</f>
        <v>516.30971934066179</v>
      </c>
      <c r="AO12" s="60">
        <f t="shared" si="36"/>
        <v>290.84286505723571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6.399462385489338</v>
      </c>
      <c r="BF12" s="14">
        <f t="shared" si="37"/>
        <v>2.3760766872686268</v>
      </c>
      <c r="BG12" s="22">
        <f t="shared" si="7"/>
        <v>15.284063885053456</v>
      </c>
      <c r="BH12" s="60">
        <f t="shared" si="8"/>
        <v>204.64202263760953</v>
      </c>
      <c r="BI12" s="60">
        <f ca="1">AVERAGE(OFFSET($BH$3,0,0,'Données projet'!$E$11+1,1))-AVERAGE(OFFSET($H$3,0,0,'Données projet'!$E$11+1,1))</f>
        <v>314.75847268052081</v>
      </c>
      <c r="BJ12" s="60">
        <f t="shared" si="38"/>
        <v>337.77701316755338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3.4425641025641025</v>
      </c>
      <c r="BY12" s="13">
        <f>IF('Données projet'!$A$114&gt;35,BY11+BX12-CG11,IF(A12&lt;'Données projet'!$A$114,$BV$205^A12,IF(A12='Données projet'!$A$114,'Données projet'!$B$114,BY11+BX12-CG11)))</f>
        <v>4.0197679866952116</v>
      </c>
      <c r="BZ12" s="14">
        <f>BY12*VLOOKUP('Données projet'!$B$12,Paramètres!$A$1:$I$89,3,0)*VLOOKUP('Données projet'!$B$12,Paramètres!$A$1:$I$89,5,0)</f>
        <v>1.881251417773359</v>
      </c>
      <c r="CA12" s="14">
        <f t="shared" si="39"/>
        <v>0.80547727641405575</v>
      </c>
      <c r="CB12" s="22">
        <f t="shared" si="10"/>
        <v>4.6793858090430804</v>
      </c>
      <c r="CC12" s="60">
        <f t="shared" si="11"/>
        <v>194.03734456159916</v>
      </c>
      <c r="CD12" s="60">
        <f ca="1">AVERAGE(OFFSET($CC$3,0,0,'Données projet'!$E$12+1,1))-AVERAGE(OFFSET($H$3,0,0,'Données projet'!$E$12+1,1))</f>
        <v>277.77877239988635</v>
      </c>
      <c r="CE12" s="60">
        <f t="shared" si="40"/>
        <v>164.65640238394164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11</v>
      </c>
      <c r="CT12" s="13">
        <f>IF('Données projet'!$A$140&gt;35,CT11+CS12-DB11,IF(A12&lt;'Données projet'!$A$140,$CQ$205^A12,IF(A12='Données projet'!$A$140,'Données projet'!$B$140,CT11+CS12-DB11)))</f>
        <v>72</v>
      </c>
      <c r="CU12" s="18">
        <f>CT12*VLOOKUP('Données projet'!$B$13,Paramètres!$A$1:$I$89,3,0)*VLOOKUP('Données projet'!$B$13,Paramètres!$A$1:$I$89,5,0)</f>
        <v>65.145600000000002</v>
      </c>
      <c r="CV12" s="14">
        <f t="shared" si="41"/>
        <v>18.462943001028204</v>
      </c>
      <c r="CW12" s="22">
        <f t="shared" si="13"/>
        <v>145.61821239345747</v>
      </c>
      <c r="CX12" s="60">
        <f t="shared" si="14"/>
        <v>334.97617114601354</v>
      </c>
      <c r="CY12" s="60">
        <f ca="1">AVERAGE(OFFSET($CX$3,0,0,'Données projet'!$E$13+1,1))-AVERAGE(OFFSET($H$3,0,0,'Données projet'!$E$13+1,1))</f>
        <v>334.26876877415839</v>
      </c>
      <c r="CZ12" s="60">
        <f t="shared" si="42"/>
        <v>465.65761854152913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4.7115384615384617</v>
      </c>
      <c r="DO12" s="13">
        <f>IF('Données projet'!$A$166&gt;35,DO11+DN12-DW11,IF(A12&lt;'Données projet'!$A$166,$DL$205^A12,IF(A12='Données projet'!$A$166,'Données projet'!$B$166,DO11+DN12-DW11)))</f>
        <v>7.7336894961694274</v>
      </c>
      <c r="DP12" s="18">
        <f>DO12*VLOOKUP('Données projet'!$B$14,Paramètres!$A$1:$I$89,3,0)*VLOOKUP('Données projet'!$B$14,Paramètres!$A$1:$I$89,5,0)</f>
        <v>4.9464678017499661</v>
      </c>
      <c r="DQ12" s="14">
        <f t="shared" si="43"/>
        <v>1.8924799699673398</v>
      </c>
      <c r="DR12" s="22">
        <f t="shared" si="16"/>
        <v>11.911167369074306</v>
      </c>
      <c r="DS12" s="60">
        <f t="shared" si="17"/>
        <v>201.26912612163039</v>
      </c>
      <c r="DT12" s="60">
        <f ca="1">AVERAGE(OFFSET($DS$3,0,0,'Données projet'!$E$14+1,1))-AVERAGE(OFFSET($H$3,0,0,'Données projet'!$E$14+1,1))</f>
        <v>285.09561428624352</v>
      </c>
      <c r="DU12" s="60">
        <f t="shared" si="44"/>
        <v>261.05678516705564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</v>
      </c>
      <c r="EJ12" s="13">
        <f>IF('Données projet'!$A$192&gt;35,EJ11+EI12-ER11,IF(A12&lt;'Données projet'!$A$192,$EG$205^A12,IF(A12='Données projet'!$A$192,'Données projet'!$B$192,EJ11+EI12-ER11)))</f>
        <v>7.2246740558420788</v>
      </c>
      <c r="EK12" s="18">
        <f>EJ12*VLOOKUP('Données projet'!$B$15,Paramètres!$A$1:$I$89,3,0)*VLOOKUP('Données projet'!$B$15,Paramètres!$A$1:$I$89,5,0)</f>
        <v>5.8606555940990948</v>
      </c>
      <c r="EL12" s="14">
        <f t="shared" si="45"/>
        <v>2.1984132231982314</v>
      </c>
      <c r="EM12" s="22">
        <f t="shared" si="19"/>
        <v>14.036211523459508</v>
      </c>
      <c r="EN12" s="60">
        <f t="shared" si="20"/>
        <v>203.39417027601559</v>
      </c>
      <c r="EO12" s="60">
        <f ca="1">AVERAGE(OFFSET($EN$3,0,0,'Données projet'!$E$15+1,1))-AVERAGE(OFFSET($H$3,0,0,'Données projet'!$E$15+1,1))</f>
        <v>272.69564942740931</v>
      </c>
      <c r="EP12" s="60">
        <f t="shared" si="46"/>
        <v>316.57989180609252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205.9821052852981</v>
      </c>
      <c r="S13" s="60">
        <f ca="1">AVERAGE(OFFSET($R$3,0,0,'Données projet'!$E$9+1,1))-AVERAGE(OFFSET($H$3,0,0,'Données projet'!$E$9+1,1))</f>
        <v>469.67944008675863</v>
      </c>
      <c r="T13" s="60">
        <f t="shared" si="34"/>
        <v>266.11908070867173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207.62044061408039</v>
      </c>
      <c r="AN13" s="60">
        <f ca="1">AVERAGE(OFFSET($AM$3,0,0,'Données projet'!$E$10+1,1))-AVERAGE(OFFSET($H$3,0,0,'Données projet'!$E$10+1,1))</f>
        <v>516.30971934066179</v>
      </c>
      <c r="AO13" s="60">
        <f t="shared" si="36"/>
        <v>290.84286505723571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8.1412346499678296</v>
      </c>
      <c r="BF13" s="14">
        <f t="shared" si="37"/>
        <v>2.9392598989436851</v>
      </c>
      <c r="BG13" s="22">
        <f t="shared" si="7"/>
        <v>19.298528006020888</v>
      </c>
      <c r="BH13" s="60">
        <f t="shared" si="8"/>
        <v>211.23718999106578</v>
      </c>
      <c r="BI13" s="60">
        <f ca="1">AVERAGE(OFFSET($BH$3,0,0,'Données projet'!$E$11+1,1))-AVERAGE(OFFSET($H$3,0,0,'Données projet'!$E$11+1,1))</f>
        <v>314.75847268052081</v>
      </c>
      <c r="BJ13" s="60">
        <f t="shared" si="38"/>
        <v>337.77701316755338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3.4425641025641025</v>
      </c>
      <c r="BY13" s="13">
        <f>IF('Données projet'!$A$114&gt;35,BY12+BX13-CG12,IF(A13&lt;'Données projet'!$A$114,$BV$205^A13,IF(A13='Données projet'!$A$114,'Données projet'!$B$114,BY12+BX13-CG12)))</f>
        <v>4.6917453277627805</v>
      </c>
      <c r="BZ13" s="14">
        <f>BY13*VLOOKUP('Données projet'!$B$12,Paramètres!$A$1:$I$89,3,0)*VLOOKUP('Données projet'!$B$12,Paramètres!$A$1:$I$89,5,0)</f>
        <v>2.1957368133929811</v>
      </c>
      <c r="CA13" s="14">
        <f t="shared" si="39"/>
        <v>0.9233628621568436</v>
      </c>
      <c r="CB13" s="22">
        <f t="shared" si="10"/>
        <v>5.432431934915944</v>
      </c>
      <c r="CC13" s="60">
        <f t="shared" si="11"/>
        <v>197.37109391996083</v>
      </c>
      <c r="CD13" s="60">
        <f ca="1">AVERAGE(OFFSET($CC$3,0,0,'Données projet'!$E$12+1,1))-AVERAGE(OFFSET($H$3,0,0,'Données projet'!$E$12+1,1))</f>
        <v>277.77877239988635</v>
      </c>
      <c r="CE13" s="60">
        <f t="shared" si="40"/>
        <v>164.65640238394164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83</v>
      </c>
      <c r="CR13" s="13">
        <f>VLOOKUP(A13,'Données projet'!$A$139:$I$159,9,0)</f>
        <v>11</v>
      </c>
      <c r="CS13" s="13">
        <f t="array" ref="CS13">INDEX(CR:CR,MIN(IF(ISNUMBER(CR13:CR209),ROW(CR13:CR209),"")))</f>
        <v>11</v>
      </c>
      <c r="CT13" s="13">
        <f>IF('Données projet'!$A$140&gt;35,CT12+CS13-DB12,IF(A13&lt;'Données projet'!$A$140,$CQ$205^A13,IF(A13='Données projet'!$A$140,'Données projet'!$B$140,CT12+CS13-DB12)))</f>
        <v>83</v>
      </c>
      <c r="CU13" s="18">
        <f>CT13*VLOOKUP('Données projet'!$B$13,Paramètres!$A$1:$I$89,3,0)*VLOOKUP('Données projet'!$B$13,Paramètres!$A$1:$I$89,5,0)</f>
        <v>75.098399999999998</v>
      </c>
      <c r="CV13" s="14">
        <f t="shared" si="41"/>
        <v>20.934343091450742</v>
      </c>
      <c r="CW13" s="22">
        <f t="shared" si="13"/>
        <v>167.25702755094335</v>
      </c>
      <c r="CX13" s="60">
        <f t="shared" si="14"/>
        <v>359.19568953598821</v>
      </c>
      <c r="CY13" s="60">
        <f ca="1">AVERAGE(OFFSET($CX$3,0,0,'Données projet'!$E$13+1,1))-AVERAGE(OFFSET($H$3,0,0,'Données projet'!$E$13+1,1))</f>
        <v>334.26876877415839</v>
      </c>
      <c r="CZ13" s="60">
        <f t="shared" si="42"/>
        <v>465.65761854152913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4.7115384615384617</v>
      </c>
      <c r="DO13" s="13">
        <f>IF('Données projet'!$A$166&gt;35,DO12+DN13-DW12,IF(A13&lt;'Données projet'!$A$166,$DL$205^A13,IF(A13='Données projet'!$A$166,'Données projet'!$B$166,DO12+DN13-DW12)))</f>
        <v>9.70725343394151</v>
      </c>
      <c r="DP13" s="18">
        <f>DO13*VLOOKUP('Données projet'!$B$14,Paramètres!$A$1:$I$89,3,0)*VLOOKUP('Données projet'!$B$14,Paramètres!$A$1:$I$89,5,0)</f>
        <v>6.2087592963489895</v>
      </c>
      <c r="DQ13" s="14">
        <f t="shared" si="43"/>
        <v>2.3134021065687422</v>
      </c>
      <c r="DR13" s="22">
        <f t="shared" si="16"/>
        <v>14.842764443415049</v>
      </c>
      <c r="DS13" s="60">
        <f t="shared" si="17"/>
        <v>206.78142642845995</v>
      </c>
      <c r="DT13" s="60">
        <f ca="1">AVERAGE(OFFSET($DS$3,0,0,'Données projet'!$E$14+1,1))-AVERAGE(OFFSET($H$3,0,0,'Données projet'!$E$14+1,1))</f>
        <v>285.09561428624352</v>
      </c>
      <c r="DU13" s="60">
        <f t="shared" si="44"/>
        <v>261.05678516705564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9</v>
      </c>
      <c r="EH13" s="13">
        <f>VLOOKUP(A13,'Données projet'!$A$191:$I$211,9,0)</f>
        <v>0.9</v>
      </c>
      <c r="EI13" s="13">
        <f t="array" ref="EI13">INDEX(EH:EH,MIN(IF(ISNUMBER(EH13:EH209),ROW(EH13:EH209),"")))</f>
        <v>0.9</v>
      </c>
      <c r="EJ13" s="13">
        <f>IF('Données projet'!$A$192&gt;35,EJ12+EI13-ER12,IF(A13&lt;'Données projet'!$A$192,$EG$205^A13,IF(A13='Données projet'!$A$192,'Données projet'!$B$192,EJ12+EI13-ER12)))</f>
        <v>9</v>
      </c>
      <c r="EK13" s="18">
        <f>EJ13*VLOOKUP('Données projet'!$B$15,Paramètres!$A$1:$I$89,3,0)*VLOOKUP('Données projet'!$B$15,Paramètres!$A$1:$I$89,5,0)</f>
        <v>7.3007999999999997</v>
      </c>
      <c r="EL13" s="14">
        <f t="shared" si="45"/>
        <v>2.6694770761469542</v>
      </c>
      <c r="EM13" s="22">
        <f t="shared" si="19"/>
        <v>17.364899240955943</v>
      </c>
      <c r="EN13" s="60">
        <f t="shared" si="20"/>
        <v>209.30356122600082</v>
      </c>
      <c r="EO13" s="60">
        <f ca="1">AVERAGE(OFFSET($EN$3,0,0,'Données projet'!$E$15+1,1))-AVERAGE(OFFSET($H$3,0,0,'Données projet'!$E$15+1,1))</f>
        <v>272.69564942740931</v>
      </c>
      <c r="EP13" s="60">
        <f t="shared" si="46"/>
        <v>316.57989180609252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211.32561560077292</v>
      </c>
      <c r="S14" s="60">
        <f ca="1">AVERAGE(OFFSET($R$3,0,0,'Données projet'!$E$9+1,1))-AVERAGE(OFFSET($H$3,0,0,'Données projet'!$E$9+1,1))</f>
        <v>469.67944008675863</v>
      </c>
      <c r="T14" s="60">
        <f t="shared" si="34"/>
        <v>266.11908070867173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213.29008170735133</v>
      </c>
      <c r="AN14" s="60">
        <f ca="1">AVERAGE(OFFSET($AM$3,0,0,'Données projet'!$E$10+1,1))-AVERAGE(OFFSET($H$3,0,0,'Données projet'!$E$10+1,1))</f>
        <v>516.30971934066179</v>
      </c>
      <c r="AO14" s="60">
        <f t="shared" si="36"/>
        <v>290.84286505723571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10.357073396684818</v>
      </c>
      <c r="BF14" s="14">
        <f t="shared" si="37"/>
        <v>3.6359301026893722</v>
      </c>
      <c r="BG14" s="22">
        <f t="shared" si="7"/>
        <v>24.371147761410047</v>
      </c>
      <c r="BH14" s="60">
        <f t="shared" si="8"/>
        <v>218.86694637052418</v>
      </c>
      <c r="BI14" s="60">
        <f ca="1">AVERAGE(OFFSET($BH$3,0,0,'Données projet'!$E$11+1,1))-AVERAGE(OFFSET($H$3,0,0,'Données projet'!$E$11+1,1))</f>
        <v>314.75847268052081</v>
      </c>
      <c r="BJ14" s="60">
        <f t="shared" si="38"/>
        <v>337.77701316755338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3.4425641025641025</v>
      </c>
      <c r="BY14" s="13">
        <f>IF('Données projet'!$A$114&gt;35,BY13+BX14-CG13,IF(A14&lt;'Données projet'!$A$114,$BV$205^A14,IF(A14='Données projet'!$A$114,'Données projet'!$B$114,BY13+BX14-CG13)))</f>
        <v>5.4760559050775193</v>
      </c>
      <c r="BZ14" s="14">
        <f>BY14*VLOOKUP('Données projet'!$B$12,Paramètres!$A$1:$I$89,3,0)*VLOOKUP('Données projet'!$B$12,Paramètres!$A$1:$I$89,5,0)</f>
        <v>2.562794163576279</v>
      </c>
      <c r="CA14" s="14">
        <f t="shared" si="39"/>
        <v>1.0585015867936163</v>
      </c>
      <c r="CB14" s="22">
        <f t="shared" si="10"/>
        <v>6.3070900985608995</v>
      </c>
      <c r="CC14" s="60">
        <f t="shared" si="11"/>
        <v>200.80288870767504</v>
      </c>
      <c r="CD14" s="60">
        <f ca="1">AVERAGE(OFFSET($CC$3,0,0,'Données projet'!$E$12+1,1))-AVERAGE(OFFSET($H$3,0,0,'Données projet'!$E$12+1,1))</f>
        <v>277.77877239988635</v>
      </c>
      <c r="CE14" s="60">
        <f t="shared" si="40"/>
        <v>164.65640238394164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10.8</v>
      </c>
      <c r="CT14" s="13">
        <f>IF('Données projet'!$A$140&gt;35,CT13+CS14-DB13,IF(A14&lt;'Données projet'!$A$140,$CQ$205^A14,IF(A14='Données projet'!$A$140,'Données projet'!$B$140,CT13+CS14-DB13)))</f>
        <v>93.8</v>
      </c>
      <c r="CU14" s="18">
        <f>CT14*VLOOKUP('Données projet'!$B$13,Paramètres!$A$1:$I$89,3,0)*VLOOKUP('Données projet'!$B$13,Paramètres!$A$1:$I$89,5,0)</f>
        <v>84.870239999999995</v>
      </c>
      <c r="CV14" s="14">
        <f t="shared" si="41"/>
        <v>23.323856624519408</v>
      </c>
      <c r="CW14" s="22">
        <f t="shared" si="13"/>
        <v>188.43805162103794</v>
      </c>
      <c r="CX14" s="60">
        <f t="shared" si="14"/>
        <v>382.93385023015207</v>
      </c>
      <c r="CY14" s="60">
        <f ca="1">AVERAGE(OFFSET($CX$3,0,0,'Données projet'!$E$13+1,1))-AVERAGE(OFFSET($H$3,0,0,'Données projet'!$E$13+1,1))</f>
        <v>334.26876877415839</v>
      </c>
      <c r="CZ14" s="60">
        <f t="shared" si="42"/>
        <v>465.65761854152913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4.7115384615384617</v>
      </c>
      <c r="DO14" s="13">
        <f>IF('Données projet'!$A$166&gt;35,DO13+DN14-DW13,IF(A14&lt;'Données projet'!$A$166,$DL$205^A14,IF(A14='Données projet'!$A$166,'Données projet'!$B$166,DO13+DN14-DW13)))</f>
        <v>12.184452101088707</v>
      </c>
      <c r="DP14" s="18">
        <f>DO14*VLOOKUP('Données projet'!$B$14,Paramètres!$A$1:$I$89,3,0)*VLOOKUP('Données projet'!$B$14,Paramètres!$A$1:$I$89,5,0)</f>
        <v>7.7931755638563374</v>
      </c>
      <c r="DQ14" s="14">
        <f t="shared" si="43"/>
        <v>2.8279450200833858</v>
      </c>
      <c r="DR14" s="22">
        <f t="shared" si="16"/>
        <v>18.498451683695013</v>
      </c>
      <c r="DS14" s="60">
        <f t="shared" si="17"/>
        <v>212.99425029280914</v>
      </c>
      <c r="DT14" s="60">
        <f ca="1">AVERAGE(OFFSET($DS$3,0,0,'Données projet'!$E$14+1,1))-AVERAGE(OFFSET($H$3,0,0,'Données projet'!$E$14+1,1))</f>
        <v>285.09561428624352</v>
      </c>
      <c r="DU14" s="60">
        <f t="shared" si="44"/>
        <v>261.05678516705564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8</v>
      </c>
      <c r="EJ14" s="13">
        <f>IF('Données projet'!$A$192&gt;35,EJ13+EI14-ER13,IF(A14&lt;'Données projet'!$A$192,$EG$205^A14,IF(A14='Données projet'!$A$192,'Données projet'!$B$192,EJ13+EI14-ER13)))</f>
        <v>17</v>
      </c>
      <c r="EK14" s="18">
        <f>EJ14*VLOOKUP('Données projet'!$B$15,Paramètres!$A$1:$I$89,3,0)*VLOOKUP('Données projet'!$B$15,Paramètres!$A$1:$I$89,5,0)</f>
        <v>13.7904</v>
      </c>
      <c r="EL14" s="14">
        <f t="shared" si="45"/>
        <v>4.6825473896592289</v>
      </c>
      <c r="EM14" s="22">
        <f t="shared" si="19"/>
        <v>32.173716703656488</v>
      </c>
      <c r="EN14" s="60">
        <f t="shared" si="20"/>
        <v>226.66951531277061</v>
      </c>
      <c r="EO14" s="60">
        <f ca="1">AVERAGE(OFFSET($EN$3,0,0,'Données projet'!$E$15+1,1))-AVERAGE(OFFSET($H$3,0,0,'Données projet'!$E$15+1,1))</f>
        <v>272.69564942740931</v>
      </c>
      <c r="EP14" s="60">
        <f t="shared" si="46"/>
        <v>316.57989180609252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217.20068985717762</v>
      </c>
      <c r="S15" s="60">
        <f ca="1">AVERAGE(OFFSET($R$3,0,0,'Données projet'!$E$9+1,1))-AVERAGE(OFFSET($H$3,0,0,'Données projet'!$E$9+1,1))</f>
        <v>469.67944008675863</v>
      </c>
      <c r="T15" s="60">
        <f t="shared" si="34"/>
        <v>266.11908070867173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219.55641249162716</v>
      </c>
      <c r="AN15" s="60">
        <f ca="1">AVERAGE(OFFSET($AM$3,0,0,'Données projet'!$E$10+1,1))-AVERAGE(OFFSET($H$3,0,0,'Données projet'!$E$10+1,1))</f>
        <v>516.30971934066179</v>
      </c>
      <c r="AO15" s="60">
        <f t="shared" si="36"/>
        <v>290.84286505723571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13.176007565970389</v>
      </c>
      <c r="BF15" s="14">
        <f t="shared" si="37"/>
        <v>4.4977266952111856</v>
      </c>
      <c r="BG15" s="22">
        <f t="shared" si="7"/>
        <v>30.781753838224574</v>
      </c>
      <c r="BH15" s="60">
        <f t="shared" si="8"/>
        <v>227.81153129095745</v>
      </c>
      <c r="BI15" s="60">
        <f ca="1">AVERAGE(OFFSET($BH$3,0,0,'Données projet'!$E$11+1,1))-AVERAGE(OFFSET($H$3,0,0,'Données projet'!$E$11+1,1))</f>
        <v>314.75847268052081</v>
      </c>
      <c r="BJ15" s="60">
        <f t="shared" si="38"/>
        <v>337.77701316755338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3.4425641025641025</v>
      </c>
      <c r="BY15" s="13">
        <f>IF('Données projet'!$A$114&gt;35,BY14+BX15-CG14,IF(A15&lt;'Données projet'!$A$114,$BV$205^A15,IF(A15='Données projet'!$A$114,'Données projet'!$B$114,BY14+BX15-CG14)))</f>
        <v>6.3914782624899003</v>
      </c>
      <c r="BZ15" s="14">
        <f>BY15*VLOOKUP('Données projet'!$B$12,Paramètres!$A$1:$I$89,3,0)*VLOOKUP('Données projet'!$B$12,Paramètres!$A$1:$I$89,5,0)</f>
        <v>2.9912118268452734</v>
      </c>
      <c r="CA15" s="14">
        <f t="shared" si="39"/>
        <v>1.2134185325879896</v>
      </c>
      <c r="CB15" s="22">
        <f t="shared" si="10"/>
        <v>7.3230645426796004</v>
      </c>
      <c r="CC15" s="60">
        <f t="shared" si="11"/>
        <v>204.35284199541246</v>
      </c>
      <c r="CD15" s="60">
        <f ca="1">AVERAGE(OFFSET($CC$3,0,0,'Données projet'!$E$12+1,1))-AVERAGE(OFFSET($H$3,0,0,'Données projet'!$E$12+1,1))</f>
        <v>277.77877239988635</v>
      </c>
      <c r="CE15" s="60">
        <f t="shared" si="40"/>
        <v>164.65640238394164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10.8</v>
      </c>
      <c r="CT15" s="13">
        <f>IF('Données projet'!$A$140&gt;35,CT14+CS15-DB14,IF(A15&lt;'Données projet'!$A$140,$CQ$205^A15,IF(A15='Données projet'!$A$140,'Données projet'!$B$140,CT14+CS15-DB14)))</f>
        <v>104.6</v>
      </c>
      <c r="CU15" s="18">
        <f>CT15*VLOOKUP('Données projet'!$B$13,Paramètres!$A$1:$I$89,3,0)*VLOOKUP('Données projet'!$B$13,Paramètres!$A$1:$I$89,5,0)</f>
        <v>94.642079999999993</v>
      </c>
      <c r="CV15" s="14">
        <f t="shared" si="41"/>
        <v>25.68148493360578</v>
      </c>
      <c r="CW15" s="22">
        <f t="shared" si="13"/>
        <v>209.5635422593634</v>
      </c>
      <c r="CX15" s="60">
        <f t="shared" si="14"/>
        <v>406.59331971209627</v>
      </c>
      <c r="CY15" s="60">
        <f ca="1">AVERAGE(OFFSET($CX$3,0,0,'Données projet'!$E$13+1,1))-AVERAGE(OFFSET($H$3,0,0,'Données projet'!$E$13+1,1))</f>
        <v>334.26876877415839</v>
      </c>
      <c r="CZ15" s="60">
        <f t="shared" si="42"/>
        <v>465.65761854152913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4.7115384615384617</v>
      </c>
      <c r="DO15" s="13">
        <f>IF('Données projet'!$A$166&gt;35,DO14+DN15-DW14,IF(A15&lt;'Données projet'!$A$166,$DL$205^A15,IF(A15='Données projet'!$A$166,'Données projet'!$B$166,DO14+DN15-DW14)))</f>
        <v>15.293808286145088</v>
      </c>
      <c r="DP15" s="18">
        <f>DO15*VLOOKUP('Données projet'!$B$14,Paramètres!$A$1:$I$89,3,0)*VLOOKUP('Données projet'!$B$14,Paramètres!$A$1:$I$89,5,0)</f>
        <v>9.7819197798183986</v>
      </c>
      <c r="DQ15" s="14">
        <f t="shared" si="43"/>
        <v>3.4569316825236438</v>
      </c>
      <c r="DR15" s="22">
        <f t="shared" si="16"/>
        <v>23.057666296912391</v>
      </c>
      <c r="DS15" s="60">
        <f t="shared" si="17"/>
        <v>220.08744374964527</v>
      </c>
      <c r="DT15" s="60">
        <f ca="1">AVERAGE(OFFSET($DS$3,0,0,'Données projet'!$E$14+1,1))-AVERAGE(OFFSET($H$3,0,0,'Données projet'!$E$14+1,1))</f>
        <v>285.09561428624352</v>
      </c>
      <c r="DU15" s="60">
        <f t="shared" si="44"/>
        <v>261.05678516705564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8</v>
      </c>
      <c r="EJ15" s="13">
        <f>IF('Données projet'!$A$192&gt;35,EJ14+EI15-ER14,IF(A15&lt;'Données projet'!$A$192,$EG$205^A15,IF(A15='Données projet'!$A$192,'Données projet'!$B$192,EJ14+EI15-ER14)))</f>
        <v>25</v>
      </c>
      <c r="EK15" s="18">
        <f>EJ15*VLOOKUP('Données projet'!$B$15,Paramètres!$A$1:$I$89,3,0)*VLOOKUP('Données projet'!$B$15,Paramètres!$A$1:$I$89,5,0)</f>
        <v>20.28</v>
      </c>
      <c r="EL15" s="14">
        <f t="shared" si="45"/>
        <v>6.5838102554415308</v>
      </c>
      <c r="EM15" s="22">
        <f t="shared" si="19"/>
        <v>46.787802861560664</v>
      </c>
      <c r="EN15" s="60">
        <f t="shared" si="20"/>
        <v>243.81758031429354</v>
      </c>
      <c r="EO15" s="60">
        <f ca="1">AVERAGE(OFFSET($EN$3,0,0,'Données projet'!$E$15+1,1))-AVERAGE(OFFSET($H$3,0,0,'Données projet'!$E$15+1,1))</f>
        <v>272.69564942740931</v>
      </c>
      <c r="EP15" s="60">
        <f t="shared" si="46"/>
        <v>316.57989180609252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223.71851443666381</v>
      </c>
      <c r="S16" s="60">
        <f ca="1">AVERAGE(OFFSET($R$3,0,0,'Données projet'!$E$9+1,1))-AVERAGE(OFFSET($H$3,0,0,'Données projet'!$E$9+1,1))</f>
        <v>469.67944008675863</v>
      </c>
      <c r="T16" s="60">
        <f t="shared" si="34"/>
        <v>266.11908070867173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226.54366252015072</v>
      </c>
      <c r="AN16" s="60">
        <f ca="1">AVERAGE(OFFSET($AM$3,0,0,'Données projet'!$E$10+1,1))-AVERAGE(OFFSET($H$3,0,0,'Données projet'!$E$10+1,1))</f>
        <v>516.30971934066179</v>
      </c>
      <c r="AO16" s="60">
        <f t="shared" si="36"/>
        <v>290.84286505723571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16.762184521553994</v>
      </c>
      <c r="BF16" s="14">
        <f t="shared" si="37"/>
        <v>5.5637883164619248</v>
      </c>
      <c r="BG16" s="22">
        <f t="shared" si="7"/>
        <v>38.884402692877721</v>
      </c>
      <c r="BH16" s="60">
        <f t="shared" si="8"/>
        <v>238.42540294449654</v>
      </c>
      <c r="BI16" s="60">
        <f ca="1">AVERAGE(OFFSET($BH$3,0,0,'Données projet'!$E$11+1,1))-AVERAGE(OFFSET($H$3,0,0,'Données projet'!$E$11+1,1))</f>
        <v>314.75847268052081</v>
      </c>
      <c r="BJ16" s="60">
        <f t="shared" si="38"/>
        <v>337.77701316755338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3.4425641025641025</v>
      </c>
      <c r="BY16" s="13">
        <f>IF('Données projet'!$A$114&gt;35,BY15+BX16-CG15,IF(A16&lt;'Données projet'!$A$114,$BV$205^A16,IF(A16='Données projet'!$A$114,'Données projet'!$B$114,BY15+BX16-CG15)))</f>
        <v>7.459930119048451</v>
      </c>
      <c r="BZ16" s="14">
        <f>BY16*VLOOKUP('Données projet'!$B$12,Paramètres!$A$1:$I$89,3,0)*VLOOKUP('Données projet'!$B$12,Paramètres!$A$1:$I$89,5,0)</f>
        <v>3.4912472957146754</v>
      </c>
      <c r="CA16" s="14">
        <f t="shared" si="39"/>
        <v>1.3910083400895945</v>
      </c>
      <c r="CB16" s="22">
        <f t="shared" si="10"/>
        <v>8.5032618990257713</v>
      </c>
      <c r="CC16" s="60">
        <f t="shared" si="11"/>
        <v>208.04426215064458</v>
      </c>
      <c r="CD16" s="60">
        <f ca="1">AVERAGE(OFFSET($CC$3,0,0,'Données projet'!$E$12+1,1))-AVERAGE(OFFSET($H$3,0,0,'Données projet'!$E$12+1,1))</f>
        <v>277.77877239988635</v>
      </c>
      <c r="CE16" s="60">
        <f t="shared" si="40"/>
        <v>164.65640238394164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10.8</v>
      </c>
      <c r="CT16" s="13">
        <f>IF('Données projet'!$A$140&gt;35,CT15+CS16-DB15,IF(A16&lt;'Données projet'!$A$140,$CQ$205^A16,IF(A16='Données projet'!$A$140,'Données projet'!$B$140,CT15+CS16-DB15)))</f>
        <v>115.39999999999999</v>
      </c>
      <c r="CU16" s="18">
        <f>CT16*VLOOKUP('Données projet'!$B$13,Paramètres!$A$1:$I$89,3,0)*VLOOKUP('Données projet'!$B$13,Paramètres!$A$1:$I$89,5,0)</f>
        <v>104.41391999999999</v>
      </c>
      <c r="CV16" s="14">
        <f t="shared" si="41"/>
        <v>28.010895142032854</v>
      </c>
      <c r="CW16" s="22">
        <f t="shared" si="13"/>
        <v>230.63988637237389</v>
      </c>
      <c r="CX16" s="60">
        <f t="shared" si="14"/>
        <v>430.18088662399271</v>
      </c>
      <c r="CY16" s="60">
        <f ca="1">AVERAGE(OFFSET($CX$3,0,0,'Données projet'!$E$13+1,1))-AVERAGE(OFFSET($H$3,0,0,'Données projet'!$E$13+1,1))</f>
        <v>334.26876877415839</v>
      </c>
      <c r="CZ16" s="60">
        <f t="shared" si="42"/>
        <v>465.65761854152913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4.7115384615384617</v>
      </c>
      <c r="DO16" s="13">
        <f>IF('Données projet'!$A$166&gt;35,DO15+DN16-DW15,IF(A16&lt;'Données projet'!$A$166,$DL$205^A16,IF(A16='Données projet'!$A$166,'Données projet'!$B$166,DO15+DN16-DW15)))</f>
        <v>19.196642569792747</v>
      </c>
      <c r="DP16" s="18">
        <f>DO16*VLOOKUP('Données projet'!$B$14,Paramètres!$A$1:$I$89,3,0)*VLOOKUP('Données projet'!$B$14,Paramètres!$A$1:$I$89,5,0)</f>
        <v>12.278172587639441</v>
      </c>
      <c r="DQ16" s="14">
        <f t="shared" si="43"/>
        <v>4.2258164754855736</v>
      </c>
      <c r="DR16" s="22">
        <f t="shared" si="16"/>
        <v>28.744447618276066</v>
      </c>
      <c r="DS16" s="60">
        <f t="shared" si="17"/>
        <v>228.28544786989488</v>
      </c>
      <c r="DT16" s="60">
        <f ca="1">AVERAGE(OFFSET($DS$3,0,0,'Données projet'!$E$14+1,1))-AVERAGE(OFFSET($H$3,0,0,'Données projet'!$E$14+1,1))</f>
        <v>285.09561428624352</v>
      </c>
      <c r="DU16" s="60">
        <f t="shared" si="44"/>
        <v>261.05678516705564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8</v>
      </c>
      <c r="EJ16" s="13">
        <f>IF('Données projet'!$A$192&gt;35,EJ15+EI16-ER15,IF(A16&lt;'Données projet'!$A$192,$EG$205^A16,IF(A16='Données projet'!$A$192,'Données projet'!$B$192,EJ15+EI16-ER15)))</f>
        <v>33</v>
      </c>
      <c r="EK16" s="18">
        <f>EJ16*VLOOKUP('Données projet'!$B$15,Paramètres!$A$1:$I$89,3,0)*VLOOKUP('Données projet'!$B$15,Paramètres!$A$1:$I$89,5,0)</f>
        <v>26.769600000000001</v>
      </c>
      <c r="EL16" s="14">
        <f t="shared" si="45"/>
        <v>8.4142697673415618</v>
      </c>
      <c r="EM16" s="22">
        <f t="shared" si="19"/>
        <v>61.278573178119878</v>
      </c>
      <c r="EN16" s="60">
        <f t="shared" si="20"/>
        <v>260.81957342973868</v>
      </c>
      <c r="EO16" s="60">
        <f ca="1">AVERAGE(OFFSET($EN$3,0,0,'Données projet'!$E$15+1,1))-AVERAGE(OFFSET($H$3,0,0,'Données projet'!$E$15+1,1))</f>
        <v>272.69564942740931</v>
      </c>
      <c r="EP16" s="60">
        <f t="shared" si="46"/>
        <v>316.57989180609252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231.01245838467531</v>
      </c>
      <c r="S17" s="60">
        <f ca="1">AVERAGE(OFFSET($R$3,0,0,'Données projet'!$E$9+1,1))-AVERAGE(OFFSET($H$3,0,0,'Données projet'!$E$9+1,1))</f>
        <v>469.67944008675863</v>
      </c>
      <c r="T17" s="60">
        <f t="shared" si="34"/>
        <v>266.11908070867173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234.400863286803</v>
      </c>
      <c r="AN17" s="60">
        <f ca="1">AVERAGE(OFFSET($AM$3,0,0,'Données projet'!$E$10+1,1))-AVERAGE(OFFSET($H$3,0,0,'Données projet'!$E$10+1,1))</f>
        <v>516.30971934066179</v>
      </c>
      <c r="AO17" s="60">
        <f t="shared" si="36"/>
        <v>290.84286505723571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21.324428399713909</v>
      </c>
      <c r="BF17" s="14">
        <f t="shared" si="37"/>
        <v>6.8825303376831179</v>
      </c>
      <c r="BG17" s="22">
        <f t="shared" si="7"/>
        <v>49.127119800966483</v>
      </c>
      <c r="BH17" s="60">
        <f t="shared" si="8"/>
        <v>251.15698157323968</v>
      </c>
      <c r="BI17" s="60">
        <f ca="1">AVERAGE(OFFSET($BH$3,0,0,'Données projet'!$E$11+1,1))-AVERAGE(OFFSET($H$3,0,0,'Données projet'!$E$11+1,1))</f>
        <v>314.75847268052081</v>
      </c>
      <c r="BJ17" s="60">
        <f t="shared" si="38"/>
        <v>337.77701316755338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3.4425641025641025</v>
      </c>
      <c r="BY17" s="13">
        <f>IF('Données projet'!$A$114&gt;35,BY16+BX17-CG16,IF(A17&lt;'Données projet'!$A$114,$BV$205^A17,IF(A17='Données projet'!$A$114,'Données projet'!$B$114,BY16+BX17-CG16)))</f>
        <v>8.7069931392376674</v>
      </c>
      <c r="BZ17" s="14">
        <f>BY17*VLOOKUP('Données projet'!$B$12,Paramètres!$A$1:$I$89,3,0)*VLOOKUP('Données projet'!$B$12,Paramètres!$A$1:$I$89,5,0)</f>
        <v>4.0748727891632281</v>
      </c>
      <c r="CA17" s="14">
        <f t="shared" si="39"/>
        <v>1.5945892948181934</v>
      </c>
      <c r="CB17" s="22">
        <f t="shared" si="10"/>
        <v>9.8743131296009761</v>
      </c>
      <c r="CC17" s="60">
        <f t="shared" si="11"/>
        <v>211.90417490187417</v>
      </c>
      <c r="CD17" s="60">
        <f ca="1">AVERAGE(OFFSET($CC$3,0,0,'Données projet'!$E$12+1,1))-AVERAGE(OFFSET($H$3,0,0,'Données projet'!$E$12+1,1))</f>
        <v>277.77877239988635</v>
      </c>
      <c r="CE17" s="60">
        <f t="shared" si="40"/>
        <v>164.65640238394164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10.8</v>
      </c>
      <c r="CT17" s="13">
        <f>IF('Données projet'!$A$140&gt;35,CT16+CS17-DB16,IF(A17&lt;'Données projet'!$A$140,$CQ$205^A17,IF(A17='Données projet'!$A$140,'Données projet'!$B$140,CT16+CS17-DB16)))</f>
        <v>126.19999999999999</v>
      </c>
      <c r="CU17" s="18">
        <f>CT17*VLOOKUP('Données projet'!$B$13,Paramètres!$A$1:$I$89,3,0)*VLOOKUP('Données projet'!$B$13,Paramètres!$A$1:$I$89,5,0)</f>
        <v>114.18575999999997</v>
      </c>
      <c r="CV17" s="14">
        <f t="shared" si="41"/>
        <v>30.315028515433259</v>
      </c>
      <c r="CW17" s="22">
        <f t="shared" si="13"/>
        <v>251.67220666437959</v>
      </c>
      <c r="CX17" s="60">
        <f t="shared" si="14"/>
        <v>453.70206843665278</v>
      </c>
      <c r="CY17" s="60">
        <f ca="1">AVERAGE(OFFSET($CX$3,0,0,'Données projet'!$E$13+1,1))-AVERAGE(OFFSET($H$3,0,0,'Données projet'!$E$13+1,1))</f>
        <v>334.26876877415839</v>
      </c>
      <c r="CZ17" s="60">
        <f t="shared" si="42"/>
        <v>465.65761854152913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4.7115384615384617</v>
      </c>
      <c r="DO17" s="13">
        <f>IF('Données projet'!$A$166&gt;35,DO16+DN17-DW16,IF(A17&lt;'Données projet'!$A$166,$DL$205^A17,IF(A17='Données projet'!$A$166,'Données projet'!$B$166,DO16+DN17-DW16)))</f>
        <v>24.095443009196032</v>
      </c>
      <c r="DP17" s="18">
        <f>DO17*VLOOKUP('Données projet'!$B$14,Paramètres!$A$1:$I$89,3,0)*VLOOKUP('Données projet'!$B$14,Paramètres!$A$1:$I$89,5,0)</f>
        <v>15.411445348681781</v>
      </c>
      <c r="DQ17" s="14">
        <f t="shared" si="43"/>
        <v>5.1657153002945293</v>
      </c>
      <c r="DR17" s="22">
        <f t="shared" si="16"/>
        <v>35.838554796967067</v>
      </c>
      <c r="DS17" s="60">
        <f t="shared" si="17"/>
        <v>237.86841656924025</v>
      </c>
      <c r="DT17" s="60">
        <f ca="1">AVERAGE(OFFSET($DS$3,0,0,'Données projet'!$E$14+1,1))-AVERAGE(OFFSET($H$3,0,0,'Données projet'!$E$14+1,1))</f>
        <v>285.09561428624352</v>
      </c>
      <c r="DU17" s="60">
        <f t="shared" si="44"/>
        <v>261.05678516705564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8</v>
      </c>
      <c r="EJ17" s="13">
        <f>IF('Données projet'!$A$192&gt;35,EJ16+EI17-ER16,IF(A17&lt;'Données projet'!$A$192,$EG$205^A17,IF(A17='Données projet'!$A$192,'Données projet'!$B$192,EJ16+EI17-ER16)))</f>
        <v>41</v>
      </c>
      <c r="EK17" s="18">
        <f>EJ17*VLOOKUP('Données projet'!$B$15,Paramètres!$A$1:$I$89,3,0)*VLOOKUP('Données projet'!$B$15,Paramètres!$A$1:$I$89,5,0)</f>
        <v>33.2592</v>
      </c>
      <c r="EL17" s="14">
        <f t="shared" si="45"/>
        <v>10.193265358024187</v>
      </c>
      <c r="EM17" s="22">
        <f t="shared" si="19"/>
        <v>75.679710498558791</v>
      </c>
      <c r="EN17" s="60">
        <f t="shared" si="20"/>
        <v>277.70957227083198</v>
      </c>
      <c r="EO17" s="60">
        <f ca="1">AVERAGE(OFFSET($EN$3,0,0,'Données projet'!$E$15+1,1))-AVERAGE(OFFSET($H$3,0,0,'Données projet'!$E$15+1,1))</f>
        <v>272.69564942740931</v>
      </c>
      <c r="EP17" s="60">
        <f t="shared" si="46"/>
        <v>316.57989180609252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239.24252994115767</v>
      </c>
      <c r="S18" s="60">
        <f ca="1">AVERAGE(OFFSET($R$3,0,0,'Données projet'!$E$9+1,1))-AVERAGE(OFFSET($H$3,0,0,'Données projet'!$E$9+1,1))</f>
        <v>469.67944008675863</v>
      </c>
      <c r="T18" s="60">
        <f t="shared" si="34"/>
        <v>266.11908070867173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243.30683204586495</v>
      </c>
      <c r="AN18" s="60">
        <f ca="1">AVERAGE(OFFSET($AM$3,0,0,'Données projet'!$E$10+1,1))-AVERAGE(OFFSET($H$3,0,0,'Données projet'!$E$10+1,1))</f>
        <v>516.30971934066179</v>
      </c>
      <c r="AO18" s="60">
        <f t="shared" si="36"/>
        <v>290.84286505723571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27.128400000000003</v>
      </c>
      <c r="BF18" s="14">
        <f t="shared" si="37"/>
        <v>8.5138436537878839</v>
      </c>
      <c r="BG18" s="22">
        <f t="shared" si="7"/>
        <v>62.076907697013901</v>
      </c>
      <c r="BH18" s="60">
        <f t="shared" si="8"/>
        <v>266.57365762989497</v>
      </c>
      <c r="BI18" s="60">
        <f ca="1">AVERAGE(OFFSET($BH$3,0,0,'Données projet'!$E$11+1,1))-AVERAGE(OFFSET($H$3,0,0,'Données projet'!$E$11+1,1))</f>
        <v>314.75847268052081</v>
      </c>
      <c r="BJ18" s="60">
        <f t="shared" si="38"/>
        <v>337.77701316755338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3.4425641025641025</v>
      </c>
      <c r="BY18" s="13">
        <f>IF('Données projet'!$A$114&gt;35,BY17+BX18-CG17,IF(A18&lt;'Données projet'!$A$114,$BV$205^A18,IF(A18='Données projet'!$A$114,'Données projet'!$B$114,BY17+BX18-CG17)))</f>
        <v>10.162525428107084</v>
      </c>
      <c r="BZ18" s="14">
        <f>BY18*VLOOKUP('Données projet'!$B$12,Paramètres!$A$1:$I$89,3,0)*VLOOKUP('Données projet'!$B$12,Paramètres!$A$1:$I$89,5,0)</f>
        <v>4.7560619003541156</v>
      </c>
      <c r="CA18" s="14">
        <f t="shared" si="39"/>
        <v>1.8279653298016947</v>
      </c>
      <c r="CB18" s="22">
        <f t="shared" si="10"/>
        <v>11.467180759188034</v>
      </c>
      <c r="CC18" s="60">
        <f t="shared" si="11"/>
        <v>215.96393069206908</v>
      </c>
      <c r="CD18" s="60">
        <f ca="1">AVERAGE(OFFSET($CC$3,0,0,'Données projet'!$E$12+1,1))-AVERAGE(OFFSET($H$3,0,0,'Données projet'!$E$12+1,1))</f>
        <v>277.77877239988635</v>
      </c>
      <c r="CE18" s="60">
        <f t="shared" si="40"/>
        <v>164.65640238394164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137</v>
      </c>
      <c r="CR18" s="13">
        <f>VLOOKUP(A18,'Données projet'!$A$139:$I$159,9,0)</f>
        <v>10.8</v>
      </c>
      <c r="CS18" s="13">
        <f t="array" ref="CS18">INDEX(CR:CR,MIN(IF(ISNUMBER(CR18:CR214),ROW(CR18:CR214),"")))</f>
        <v>10.8</v>
      </c>
      <c r="CT18" s="13">
        <f>IF('Données projet'!$A$140&gt;35,CT17+CS18-DB17,IF(A18&lt;'Données projet'!$A$140,$CQ$205^A18,IF(A18='Données projet'!$A$140,'Données projet'!$B$140,CT17+CS18-DB17)))</f>
        <v>137</v>
      </c>
      <c r="CU18" s="18">
        <f>CT18*VLOOKUP('Données projet'!$B$13,Paramètres!$A$1:$I$89,3,0)*VLOOKUP('Données projet'!$B$13,Paramètres!$A$1:$I$89,5,0)</f>
        <v>123.9576</v>
      </c>
      <c r="CV18" s="14">
        <f t="shared" si="41"/>
        <v>32.59629414926458</v>
      </c>
      <c r="CW18" s="22">
        <f t="shared" si="13"/>
        <v>272.6646989766358</v>
      </c>
      <c r="CX18" s="60">
        <f t="shared" si="14"/>
        <v>477.16144890951682</v>
      </c>
      <c r="CY18" s="60">
        <f ca="1">AVERAGE(OFFSET($CX$3,0,0,'Données projet'!$E$13+1,1))-AVERAGE(OFFSET($H$3,0,0,'Données projet'!$E$13+1,1))</f>
        <v>334.26876877415839</v>
      </c>
      <c r="CZ18" s="60">
        <f t="shared" si="42"/>
        <v>465.65761854152913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4.7115384615384617</v>
      </c>
      <c r="DO18" s="13">
        <f>IF('Données projet'!$A$166&gt;35,DO17+DN18-DW17,IF(A18&lt;'Données projet'!$A$166,$DL$205^A18,IF(A18='Données projet'!$A$166,'Données projet'!$B$166,DO17+DN18-DW17)))</f>
        <v>30.244370686101814</v>
      </c>
      <c r="DP18" s="18">
        <f>DO18*VLOOKUP('Données projet'!$B$14,Paramètres!$A$1:$I$89,3,0)*VLOOKUP('Données projet'!$B$14,Paramètres!$A$1:$I$89,5,0)</f>
        <v>19.344299490830721</v>
      </c>
      <c r="DQ18" s="14">
        <f t="shared" si="43"/>
        <v>6.3146648034758286</v>
      </c>
      <c r="DR18" s="22">
        <f t="shared" si="16"/>
        <v>44.689362812583909</v>
      </c>
      <c r="DS18" s="60">
        <f t="shared" si="17"/>
        <v>249.18611274546495</v>
      </c>
      <c r="DT18" s="60">
        <f ca="1">AVERAGE(OFFSET($DS$3,0,0,'Données projet'!$E$14+1,1))-AVERAGE(OFFSET($H$3,0,0,'Données projet'!$E$14+1,1))</f>
        <v>285.09561428624352</v>
      </c>
      <c r="DU18" s="60">
        <f t="shared" si="44"/>
        <v>261.05678516705564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49</v>
      </c>
      <c r="EH18" s="13">
        <f>VLOOKUP(A18,'Données projet'!$A$191:$I$211,9,0)</f>
        <v>8</v>
      </c>
      <c r="EI18" s="13">
        <f t="array" ref="EI18">INDEX(EH:EH,MIN(IF(ISNUMBER(EH18:EH214),ROW(EH18:EH214),"")))</f>
        <v>8</v>
      </c>
      <c r="EJ18" s="13">
        <f>IF('Données projet'!$A$192&gt;35,EJ17+EI18-ER17,IF(A18&lt;'Données projet'!$A$192,$EG$205^A18,IF(A18='Données projet'!$A$192,'Données projet'!$B$192,EJ17+EI18-ER17)))</f>
        <v>49</v>
      </c>
      <c r="EK18" s="18">
        <f>EJ18*VLOOKUP('Données projet'!$B$15,Paramètres!$A$1:$I$89,3,0)*VLOOKUP('Données projet'!$B$15,Paramètres!$A$1:$I$89,5,0)</f>
        <v>39.748800000000003</v>
      </c>
      <c r="EL18" s="14">
        <f t="shared" si="45"/>
        <v>11.932041927023215</v>
      </c>
      <c r="EM18" s="22">
        <f t="shared" si="19"/>
        <v>90.010799689565431</v>
      </c>
      <c r="EN18" s="60">
        <f t="shared" si="20"/>
        <v>294.5075496224465</v>
      </c>
      <c r="EO18" s="60">
        <f ca="1">AVERAGE(OFFSET($EN$3,0,0,'Données projet'!$E$15+1,1))-AVERAGE(OFFSET($H$3,0,0,'Données projet'!$E$15+1,1))</f>
        <v>272.69564942740931</v>
      </c>
      <c r="EP18" s="60">
        <f t="shared" si="46"/>
        <v>316.57989180609252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248.60073026204975</v>
      </c>
      <c r="S19" s="60">
        <f ca="1">AVERAGE(OFFSET($R$3,0,0,'Données projet'!$E$9+1,1))-AVERAGE(OFFSET($H$3,0,0,'Données projet'!$E$9+1,1))</f>
        <v>469.67944008675863</v>
      </c>
      <c r="T19" s="60">
        <f t="shared" si="34"/>
        <v>266.11908070867173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253.47615920895097</v>
      </c>
      <c r="AN19" s="60">
        <f ca="1">AVERAGE(OFFSET($AM$3,0,0,'Données projet'!$E$10+1,1))-AVERAGE(OFFSET($H$3,0,0,'Données projet'!$E$10+1,1))</f>
        <v>516.30971934066179</v>
      </c>
      <c r="AO19" s="60">
        <f t="shared" si="36"/>
        <v>290.84286505723571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48.6</v>
      </c>
      <c r="BE19" s="14">
        <f>BD19*VLOOKUP('Données projet'!$B$11,Paramètres!$A$1:$I$89,3,0)*VLOOKUP('Données projet'!$B$11,Paramètres!$A$1:$I$89,5,0)</f>
        <v>35.633519999999997</v>
      </c>
      <c r="BF19" s="14">
        <f t="shared" si="37"/>
        <v>10.833640868297282</v>
      </c>
      <c r="BG19" s="22">
        <f t="shared" si="7"/>
        <v>80.930305178951087</v>
      </c>
      <c r="BH19" s="60">
        <f t="shared" si="8"/>
        <v>287.87235110106514</v>
      </c>
      <c r="BI19" s="60">
        <f ca="1">AVERAGE(OFFSET($BH$3,0,0,'Données projet'!$E$11+1,1))-AVERAGE(OFFSET($H$3,0,0,'Données projet'!$E$11+1,1))</f>
        <v>314.75847268052081</v>
      </c>
      <c r="BJ19" s="60">
        <f t="shared" si="38"/>
        <v>337.77701316755338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3.4425641025641025</v>
      </c>
      <c r="BY19" s="13">
        <f>IF('Données projet'!$A$114&gt;35,BY18+BX19-CG18,IF(A19&lt;'Données projet'!$A$114,$BV$205^A19,IF(A19='Données projet'!$A$114,'Données projet'!$B$114,BY18+BX19-CG18)))</f>
        <v>11.861376416102864</v>
      </c>
      <c r="BZ19" s="14">
        <f>BY19*VLOOKUP('Données projet'!$B$12,Paramètres!$A$1:$I$89,3,0)*VLOOKUP('Données projet'!$B$12,Paramètres!$A$1:$I$89,5,0)</f>
        <v>5.5511241627361398</v>
      </c>
      <c r="CA19" s="14">
        <f t="shared" si="39"/>
        <v>2.0954971024924585</v>
      </c>
      <c r="CB19" s="22">
        <f t="shared" si="10"/>
        <v>13.31786537027314</v>
      </c>
      <c r="CC19" s="60">
        <f t="shared" si="11"/>
        <v>220.25991129238719</v>
      </c>
      <c r="CD19" s="60">
        <f ca="1">AVERAGE(OFFSET($CC$3,0,0,'Données projet'!$E$12+1,1))-AVERAGE(OFFSET($H$3,0,0,'Données projet'!$E$12+1,1))</f>
        <v>277.77877239988635</v>
      </c>
      <c r="CE19" s="60">
        <f t="shared" si="40"/>
        <v>164.65640238394164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</v>
      </c>
      <c r="CT19" s="13">
        <f>IF('Données projet'!$A$140&gt;35,CT18+CS19-DB18,IF(A19&lt;'Données projet'!$A$140,$CQ$205^A19,IF(A19='Données projet'!$A$140,'Données projet'!$B$140,CT18+CS19-DB18)))</f>
        <v>147</v>
      </c>
      <c r="CU19" s="18">
        <f>CT19*VLOOKUP('Données projet'!$B$13,Paramètres!$A$1:$I$89,3,0)*VLOOKUP('Données projet'!$B$13,Paramètres!$A$1:$I$89,5,0)</f>
        <v>133.00559999999999</v>
      </c>
      <c r="CV19" s="14">
        <f t="shared" si="41"/>
        <v>34.689938673073549</v>
      </c>
      <c r="CW19" s="22">
        <f t="shared" si="13"/>
        <v>292.06972985560304</v>
      </c>
      <c r="CX19" s="60">
        <f t="shared" si="14"/>
        <v>499.01177577771711</v>
      </c>
      <c r="CY19" s="60">
        <f ca="1">AVERAGE(OFFSET($CX$3,0,0,'Données projet'!$E$13+1,1))-AVERAGE(OFFSET($H$3,0,0,'Données projet'!$E$13+1,1))</f>
        <v>334.26876877415839</v>
      </c>
      <c r="CZ19" s="60">
        <f t="shared" si="42"/>
        <v>465.65761854152913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4.7115384615384617</v>
      </c>
      <c r="DO19" s="13">
        <f>IF('Données projet'!$A$166&gt;35,DO18+DN19-DW18,IF(A19&lt;'Données projet'!$A$166,$DL$205^A19,IF(A19='Données projet'!$A$166,'Données projet'!$B$166,DO18+DN19-DW18)))</f>
        <v>37.962446170806281</v>
      </c>
      <c r="DP19" s="18">
        <f>DO19*VLOOKUP('Données projet'!$B$14,Paramètres!$A$1:$I$89,3,0)*VLOOKUP('Données projet'!$B$14,Paramètres!$A$1:$I$89,5,0)</f>
        <v>24.280780570847696</v>
      </c>
      <c r="DQ19" s="14">
        <f t="shared" si="43"/>
        <v>7.7191616769865101</v>
      </c>
      <c r="DR19" s="22">
        <f t="shared" si="16"/>
        <v>55.733232748311231</v>
      </c>
      <c r="DS19" s="60">
        <f t="shared" si="17"/>
        <v>262.67527867042531</v>
      </c>
      <c r="DT19" s="60">
        <f ca="1">AVERAGE(OFFSET($DS$3,0,0,'Données projet'!$E$14+1,1))-AVERAGE(OFFSET($H$3,0,0,'Données projet'!$E$14+1,1))</f>
        <v>285.09561428624352</v>
      </c>
      <c r="DU19" s="60">
        <f t="shared" si="44"/>
        <v>261.05678516705564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10</v>
      </c>
      <c r="EJ19" s="13">
        <f>IF('Données projet'!$A$192&gt;35,EJ18+EI19-ER18,IF(A19&lt;'Données projet'!$A$192,$EG$205^A19,IF(A19='Données projet'!$A$192,'Données projet'!$B$192,EJ18+EI19-ER18)))</f>
        <v>59</v>
      </c>
      <c r="EK19" s="18">
        <f>EJ19*VLOOKUP('Données projet'!$B$15,Paramètres!$A$1:$I$89,3,0)*VLOOKUP('Données projet'!$B$15,Paramètres!$A$1:$I$89,5,0)</f>
        <v>47.860800000000005</v>
      </c>
      <c r="EL19" s="14">
        <f t="shared" si="45"/>
        <v>14.059903887836867</v>
      </c>
      <c r="EM19" s="22">
        <f t="shared" si="19"/>
        <v>107.84522593798255</v>
      </c>
      <c r="EN19" s="60">
        <f t="shared" si="20"/>
        <v>314.78727186009661</v>
      </c>
      <c r="EO19" s="60">
        <f ca="1">AVERAGE(OFFSET($EN$3,0,0,'Données projet'!$E$15+1,1))-AVERAGE(OFFSET($H$3,0,0,'Données projet'!$E$15+1,1))</f>
        <v>272.69564942740931</v>
      </c>
      <c r="EP19" s="60">
        <f t="shared" si="46"/>
        <v>316.57989180609252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259.31748536328973</v>
      </c>
      <c r="S20" s="60">
        <f ca="1">AVERAGE(OFFSET($R$3,0,0,'Données projet'!$E$9+1,1))-AVERAGE(OFFSET($H$3,0,0,'Données projet'!$E$9+1,1))</f>
        <v>469.67944008675863</v>
      </c>
      <c r="T20" s="60">
        <f t="shared" si="34"/>
        <v>266.11908070867173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265.16640185982811</v>
      </c>
      <c r="AN20" s="60">
        <f ca="1">AVERAGE(OFFSET($AM$3,0,0,'Données projet'!$E$10+1,1))-AVERAGE(OFFSET($H$3,0,0,'Données projet'!$E$10+1,1))</f>
        <v>516.30971934066179</v>
      </c>
      <c r="AO20" s="60">
        <f t="shared" si="36"/>
        <v>290.84286505723571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60.2</v>
      </c>
      <c r="BE20" s="14">
        <f>BD20*VLOOKUP('Données projet'!$B$11,Paramètres!$A$1:$I$89,3,0)*VLOOKUP('Données projet'!$B$11,Paramètres!$A$1:$I$89,5,0)</f>
        <v>44.138640000000002</v>
      </c>
      <c r="BF20" s="14">
        <f t="shared" si="37"/>
        <v>13.089229634046784</v>
      </c>
      <c r="BG20" s="22">
        <f t="shared" si="7"/>
        <v>99.671872945964807</v>
      </c>
      <c r="BH20" s="60">
        <f t="shared" si="8"/>
        <v>309.03799726183752</v>
      </c>
      <c r="BI20" s="60">
        <f ca="1">AVERAGE(OFFSET($BH$3,0,0,'Données projet'!$E$11+1,1))-AVERAGE(OFFSET($H$3,0,0,'Données projet'!$E$11+1,1))</f>
        <v>314.75847268052081</v>
      </c>
      <c r="BJ20" s="60">
        <f t="shared" si="38"/>
        <v>337.77701316755338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3.4425641025641025</v>
      </c>
      <c r="BY20" s="13">
        <f>IF('Données projet'!$A$114&gt;35,BY19+BX20-CG19,IF(A20&lt;'Données projet'!$A$114,$BV$205^A20,IF(A20='Données projet'!$A$114,'Données projet'!$B$114,BY19+BX20-CG19)))</f>
        <v>13.84422124990315</v>
      </c>
      <c r="BZ20" s="14">
        <f>BY20*VLOOKUP('Données projet'!$B$12,Paramètres!$A$1:$I$89,3,0)*VLOOKUP('Données projet'!$B$12,Paramètres!$A$1:$I$89,5,0)</f>
        <v>6.4790955449546734</v>
      </c>
      <c r="CA20" s="14">
        <f t="shared" si="39"/>
        <v>2.4021834741420709</v>
      </c>
      <c r="CB20" s="22">
        <f t="shared" si="10"/>
        <v>15.468227624926827</v>
      </c>
      <c r="CC20" s="60">
        <f t="shared" si="11"/>
        <v>224.83435194079956</v>
      </c>
      <c r="CD20" s="60">
        <f ca="1">AVERAGE(OFFSET($CC$3,0,0,'Données projet'!$E$12+1,1))-AVERAGE(OFFSET($H$3,0,0,'Données projet'!$E$12+1,1))</f>
        <v>277.77877239988635</v>
      </c>
      <c r="CE20" s="60">
        <f t="shared" si="40"/>
        <v>164.65640238394164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</v>
      </c>
      <c r="CT20" s="13">
        <f>IF('Données projet'!$A$140&gt;35,CT19+CS20-DB19,IF(A20&lt;'Données projet'!$A$140,$CQ$205^A20,IF(A20='Données projet'!$A$140,'Données projet'!$B$140,CT19+CS20-DB19)))</f>
        <v>157</v>
      </c>
      <c r="CU20" s="18">
        <f>CT20*VLOOKUP('Données projet'!$B$13,Paramètres!$A$1:$I$89,3,0)*VLOOKUP('Données projet'!$B$13,Paramètres!$A$1:$I$89,5,0)</f>
        <v>142.05359999999999</v>
      </c>
      <c r="CV20" s="14">
        <f t="shared" si="41"/>
        <v>36.767056963845924</v>
      </c>
      <c r="CW20" s="22">
        <f t="shared" si="13"/>
        <v>311.445977545365</v>
      </c>
      <c r="CX20" s="60">
        <f t="shared" si="14"/>
        <v>520.81210186123769</v>
      </c>
      <c r="CY20" s="60">
        <f ca="1">AVERAGE(OFFSET($CX$3,0,0,'Données projet'!$E$13+1,1))-AVERAGE(OFFSET($H$3,0,0,'Données projet'!$E$13+1,1))</f>
        <v>334.26876877415839</v>
      </c>
      <c r="CZ20" s="60">
        <f t="shared" si="42"/>
        <v>465.65761854152913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4.7115384615384617</v>
      </c>
      <c r="DO20" s="13">
        <f>IF('Données projet'!$A$166&gt;35,DO19+DN20-DW19,IF(A20&lt;'Données projet'!$A$166,$DL$205^A20,IF(A20='Données projet'!$A$166,'Données projet'!$B$166,DO19+DN20-DW19)))</f>
        <v>47.650101046196156</v>
      </c>
      <c r="DP20" s="18">
        <f>DO20*VLOOKUP('Données projet'!$B$14,Paramètres!$A$1:$I$89,3,0)*VLOOKUP('Données projet'!$B$14,Paramètres!$A$1:$I$89,5,0)</f>
        <v>30.477004629147064</v>
      </c>
      <c r="DQ20" s="14">
        <f t="shared" si="43"/>
        <v>9.436044326954482</v>
      </c>
      <c r="DR20" s="22">
        <f t="shared" si="16"/>
        <v>69.515226931876853</v>
      </c>
      <c r="DS20" s="60">
        <f t="shared" si="17"/>
        <v>278.88135124774959</v>
      </c>
      <c r="DT20" s="60">
        <f ca="1">AVERAGE(OFFSET($DS$3,0,0,'Données projet'!$E$14+1,1))-AVERAGE(OFFSET($H$3,0,0,'Données projet'!$E$14+1,1))</f>
        <v>285.09561428624352</v>
      </c>
      <c r="DU20" s="60">
        <f t="shared" si="44"/>
        <v>261.05678516705564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10</v>
      </c>
      <c r="EJ20" s="13">
        <f>IF('Données projet'!$A$192&gt;35,EJ19+EI20-ER19,IF(A20&lt;'Données projet'!$A$192,$EG$205^A20,IF(A20='Données projet'!$A$192,'Données projet'!$B$192,EJ19+EI20-ER19)))</f>
        <v>69</v>
      </c>
      <c r="EK20" s="18">
        <f>EJ20*VLOOKUP('Données projet'!$B$15,Paramètres!$A$1:$I$89,3,0)*VLOOKUP('Données projet'!$B$15,Paramètres!$A$1:$I$89,5,0)</f>
        <v>55.972800000000007</v>
      </c>
      <c r="EL20" s="14">
        <f t="shared" si="45"/>
        <v>16.145985978099571</v>
      </c>
      <c r="EM20" s="22">
        <f t="shared" si="19"/>
        <v>125.60688557852342</v>
      </c>
      <c r="EN20" s="60">
        <f t="shared" si="20"/>
        <v>334.97300989439611</v>
      </c>
      <c r="EO20" s="60">
        <f ca="1">AVERAGE(OFFSET($EN$3,0,0,'Données projet'!$E$15+1,1))-AVERAGE(OFFSET($H$3,0,0,'Données projet'!$E$15+1,1))</f>
        <v>272.69564942740931</v>
      </c>
      <c r="EP20" s="60">
        <f t="shared" si="46"/>
        <v>316.57989180609252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271.66937392158366</v>
      </c>
      <c r="S21" s="60">
        <f ca="1">AVERAGE(OFFSET($R$3,0,0,'Données projet'!$E$9+1,1))-AVERAGE(OFFSET($H$3,0,0,'Données projet'!$E$9+1,1))</f>
        <v>469.67944008675863</v>
      </c>
      <c r="T21" s="60">
        <f t="shared" si="34"/>
        <v>266.11908070867173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278.6867268862473</v>
      </c>
      <c r="AN21" s="60">
        <f ca="1">AVERAGE(OFFSET($AM$3,0,0,'Données projet'!$E$10+1,1))-AVERAGE(OFFSET($H$3,0,0,'Données projet'!$E$10+1,1))</f>
        <v>516.30971934066179</v>
      </c>
      <c r="AO21" s="60">
        <f t="shared" si="36"/>
        <v>290.84286505723571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71.8</v>
      </c>
      <c r="BE21" s="14">
        <f>BD21*VLOOKUP('Données projet'!$B$11,Paramètres!$A$1:$I$89,3,0)*VLOOKUP('Données projet'!$B$11,Paramètres!$A$1:$I$89,5,0)</f>
        <v>52.643759999999993</v>
      </c>
      <c r="BF21" s="14">
        <f t="shared" si="37"/>
        <v>15.294461344625528</v>
      </c>
      <c r="BG21" s="22">
        <f t="shared" si="7"/>
        <v>118.32573550855612</v>
      </c>
      <c r="BH21" s="60">
        <f t="shared" si="8"/>
        <v>330.09508870055924</v>
      </c>
      <c r="BI21" s="60">
        <f ca="1">AVERAGE(OFFSET($BH$3,0,0,'Données projet'!$E$11+1,1))-AVERAGE(OFFSET($H$3,0,0,'Données projet'!$E$11+1,1))</f>
        <v>314.75847268052081</v>
      </c>
      <c r="BJ21" s="60">
        <f t="shared" si="38"/>
        <v>337.77701316755338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3.4425641025641025</v>
      </c>
      <c r="BY21" s="13">
        <f>IF('Données projet'!$A$114&gt;35,BY20+BX21-CG20,IF(A21&lt;'Données projet'!$A$114,$BV$205^A21,IF(A21='Données projet'!$A$114,'Données projet'!$B$114,BY20+BX21-CG20)))</f>
        <v>16.158534666859676</v>
      </c>
      <c r="BZ21" s="14">
        <f>BY21*VLOOKUP('Données projet'!$B$12,Paramètres!$A$1:$I$89,3,0)*VLOOKUP('Données projet'!$B$12,Paramètres!$A$1:$I$89,5,0)</f>
        <v>7.5621942240903284</v>
      </c>
      <c r="CA21" s="14">
        <f t="shared" si="39"/>
        <v>2.7537549140858508</v>
      </c>
      <c r="CB21" s="22">
        <f t="shared" si="10"/>
        <v>17.96694474899018</v>
      </c>
      <c r="CC21" s="60">
        <f t="shared" si="11"/>
        <v>229.7362979409933</v>
      </c>
      <c r="CD21" s="60">
        <f ca="1">AVERAGE(OFFSET($CC$3,0,0,'Données projet'!$E$12+1,1))-AVERAGE(OFFSET($H$3,0,0,'Données projet'!$E$12+1,1))</f>
        <v>277.77877239988635</v>
      </c>
      <c r="CE21" s="60">
        <f t="shared" si="40"/>
        <v>164.65640238394164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</v>
      </c>
      <c r="CT21" s="13">
        <f>IF('Données projet'!$A$140&gt;35,CT20+CS21-DB20,IF(A21&lt;'Données projet'!$A$140,$CQ$205^A21,IF(A21='Données projet'!$A$140,'Données projet'!$B$140,CT20+CS21-DB20)))</f>
        <v>167</v>
      </c>
      <c r="CU21" s="18">
        <f>CT21*VLOOKUP('Données projet'!$B$13,Paramètres!$A$1:$I$89,3,0)*VLOOKUP('Données projet'!$B$13,Paramètres!$A$1:$I$89,5,0)</f>
        <v>151.10159999999999</v>
      </c>
      <c r="CV21" s="14">
        <f t="shared" si="41"/>
        <v>38.82882146347977</v>
      </c>
      <c r="CW21" s="22">
        <f t="shared" si="13"/>
        <v>330.79548404889391</v>
      </c>
      <c r="CX21" s="60">
        <f t="shared" si="14"/>
        <v>542.56483724089708</v>
      </c>
      <c r="CY21" s="60">
        <f ca="1">AVERAGE(OFFSET($CX$3,0,0,'Données projet'!$E$13+1,1))-AVERAGE(OFFSET($H$3,0,0,'Données projet'!$E$13+1,1))</f>
        <v>334.26876877415839</v>
      </c>
      <c r="CZ21" s="60">
        <f t="shared" si="42"/>
        <v>465.65761854152913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4.7115384615384617</v>
      </c>
      <c r="DO21" s="13">
        <f>IF('Données projet'!$A$166&gt;35,DO20+DN21-DW20,IF(A21&lt;'Données projet'!$A$166,$DL$205^A21,IF(A21='Données projet'!$A$166,'Données projet'!$B$166,DO20+DN21-DW20)))</f>
        <v>59.80995322316133</v>
      </c>
      <c r="DP21" s="18">
        <f>DO21*VLOOKUP('Données projet'!$B$14,Paramètres!$A$1:$I$89,3,0)*VLOOKUP('Données projet'!$B$14,Paramètres!$A$1:$I$89,5,0)</f>
        <v>38.254446081533985</v>
      </c>
      <c r="DQ21" s="14">
        <f t="shared" si="43"/>
        <v>11.534793059938831</v>
      </c>
      <c r="DR21" s="22">
        <f t="shared" si="16"/>
        <v>86.716258171398479</v>
      </c>
      <c r="DS21" s="60">
        <f t="shared" si="17"/>
        <v>298.48561136340157</v>
      </c>
      <c r="DT21" s="60">
        <f ca="1">AVERAGE(OFFSET($DS$3,0,0,'Données projet'!$E$14+1,1))-AVERAGE(OFFSET($H$3,0,0,'Données projet'!$E$14+1,1))</f>
        <v>285.09561428624352</v>
      </c>
      <c r="DU21" s="60">
        <f t="shared" si="44"/>
        <v>261.05678516705564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10</v>
      </c>
      <c r="EJ21" s="13">
        <f>IF('Données projet'!$A$192&gt;35,EJ20+EI21-ER20,IF(A21&lt;'Données projet'!$A$192,$EG$205^A21,IF(A21='Données projet'!$A$192,'Données projet'!$B$192,EJ20+EI21-ER20)))</f>
        <v>79</v>
      </c>
      <c r="EK21" s="18">
        <f>EJ21*VLOOKUP('Données projet'!$B$15,Paramètres!$A$1:$I$89,3,0)*VLOOKUP('Données projet'!$B$15,Paramètres!$A$1:$I$89,5,0)</f>
        <v>64.084800000000001</v>
      </c>
      <c r="EL21" s="14">
        <f t="shared" si="45"/>
        <v>18.197042620605469</v>
      </c>
      <c r="EM21" s="22">
        <f t="shared" si="19"/>
        <v>143.30754256422119</v>
      </c>
      <c r="EN21" s="60">
        <f t="shared" si="20"/>
        <v>355.0768957562243</v>
      </c>
      <c r="EO21" s="60">
        <f ca="1">AVERAGE(OFFSET($EN$3,0,0,'Données projet'!$E$15+1,1))-AVERAGE(OFFSET($H$3,0,0,'Données projet'!$E$15+1,1))</f>
        <v>272.69564942740931</v>
      </c>
      <c r="EP21" s="60">
        <f t="shared" si="46"/>
        <v>316.57989180609252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285.98841258211485</v>
      </c>
      <c r="S22" s="60">
        <f ca="1">AVERAGE(OFFSET($R$3,0,0,'Données projet'!$E$9+1,1))-AVERAGE(OFFSET($H$3,0,0,'Données projet'!$E$9+1,1))</f>
        <v>469.67944008675863</v>
      </c>
      <c r="T22" s="60">
        <f t="shared" si="34"/>
        <v>266.11908070867173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294.40829648405634</v>
      </c>
      <c r="AN22" s="60">
        <f ca="1">AVERAGE(OFFSET($AM$3,0,0,'Données projet'!$E$10+1,1))-AVERAGE(OFFSET($H$3,0,0,'Données projet'!$E$10+1,1))</f>
        <v>516.30971934066179</v>
      </c>
      <c r="AO22" s="60">
        <f t="shared" si="36"/>
        <v>290.84286505723571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83.399999999999991</v>
      </c>
      <c r="BE22" s="14">
        <f>BD22*VLOOKUP('Données projet'!$B$11,Paramètres!$A$1:$I$89,3,0)*VLOOKUP('Données projet'!$B$11,Paramètres!$A$1:$I$89,5,0)</f>
        <v>61.148879999999991</v>
      </c>
      <c r="BF22" s="14">
        <f t="shared" si="37"/>
        <v>17.458420499151</v>
      </c>
      <c r="BG22" s="22">
        <f t="shared" si="7"/>
        <v>136.9077150360213</v>
      </c>
      <c r="BH22" s="60">
        <f t="shared" si="8"/>
        <v>351.05980927904483</v>
      </c>
      <c r="BI22" s="60">
        <f ca="1">AVERAGE(OFFSET($BH$3,0,0,'Données projet'!$E$11+1,1))-AVERAGE(OFFSET($H$3,0,0,'Données projet'!$E$11+1,1))</f>
        <v>314.75847268052081</v>
      </c>
      <c r="BJ22" s="60">
        <f t="shared" si="38"/>
        <v>337.77701316755338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3.4425641025641025</v>
      </c>
      <c r="BY22" s="13">
        <f>IF('Données projet'!$A$114&gt;35,BY21+BX22-CG21,IF(A22&lt;'Données projet'!$A$114,$BV$205^A22,IF(A22='Données projet'!$A$114,'Données projet'!$B$114,BY21+BX22-CG21)))</f>
        <v>18.859727670267663</v>
      </c>
      <c r="BZ22" s="14">
        <f>BY22*VLOOKUP('Données projet'!$B$12,Paramètres!$A$1:$I$89,3,0)*VLOOKUP('Données projet'!$B$12,Paramètres!$A$1:$I$89,5,0)</f>
        <v>8.8263525496852662</v>
      </c>
      <c r="CA22" s="14">
        <f t="shared" si="39"/>
        <v>3.1567805742066648</v>
      </c>
      <c r="CB22" s="22">
        <f t="shared" si="10"/>
        <v>20.870623524111782</v>
      </c>
      <c r="CC22" s="60">
        <f t="shared" si="11"/>
        <v>235.0227177671353</v>
      </c>
      <c r="CD22" s="60">
        <f ca="1">AVERAGE(OFFSET($CC$3,0,0,'Données projet'!$E$12+1,1))-AVERAGE(OFFSET($H$3,0,0,'Données projet'!$E$12+1,1))</f>
        <v>277.77877239988635</v>
      </c>
      <c r="CE22" s="60">
        <f t="shared" si="40"/>
        <v>164.65640238394164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</v>
      </c>
      <c r="CT22" s="13">
        <f>IF('Données projet'!$A$140&gt;35,CT21+CS22-DB21,IF(A22&lt;'Données projet'!$A$140,$CQ$205^A22,IF(A22='Données projet'!$A$140,'Données projet'!$B$140,CT21+CS22-DB21)))</f>
        <v>177</v>
      </c>
      <c r="CU22" s="18">
        <f>CT22*VLOOKUP('Données projet'!$B$13,Paramètres!$A$1:$I$89,3,0)*VLOOKUP('Données projet'!$B$13,Paramètres!$A$1:$I$89,5,0)</f>
        <v>160.14959999999999</v>
      </c>
      <c r="CV22" s="14">
        <f t="shared" si="41"/>
        <v>40.876256268741535</v>
      </c>
      <c r="CW22" s="22">
        <f t="shared" si="13"/>
        <v>350.1200330013915</v>
      </c>
      <c r="CX22" s="60">
        <f t="shared" si="14"/>
        <v>564.27212724441506</v>
      </c>
      <c r="CY22" s="60">
        <f ca="1">AVERAGE(OFFSET($CX$3,0,0,'Données projet'!$E$13+1,1))-AVERAGE(OFFSET($H$3,0,0,'Données projet'!$E$13+1,1))</f>
        <v>334.26876877415839</v>
      </c>
      <c r="CZ22" s="60">
        <f t="shared" si="42"/>
        <v>465.65761854152913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4.7115384615384617</v>
      </c>
      <c r="DO22" s="13">
        <f>IF('Données projet'!$A$166&gt;35,DO21+DN22-DW21,IF(A22&lt;'Données projet'!$A$166,$DL$205^A22,IF(A22='Données projet'!$A$166,'Données projet'!$B$166,DO21+DN22-DW21)))</f>
        <v>75.072883918728053</v>
      </c>
      <c r="DP22" s="18">
        <f>DO22*VLOOKUP('Données projet'!$B$14,Paramètres!$A$1:$I$89,3,0)*VLOOKUP('Données projet'!$B$14,Paramètres!$A$1:$I$89,5,0)</f>
        <v>48.016616554418462</v>
      </c>
      <c r="DQ22" s="14">
        <f t="shared" si="43"/>
        <v>14.100341872657989</v>
      </c>
      <c r="DR22" s="22">
        <f t="shared" si="16"/>
        <v>108.18703592715815</v>
      </c>
      <c r="DS22" s="60">
        <f t="shared" si="17"/>
        <v>322.33913017018165</v>
      </c>
      <c r="DT22" s="60">
        <f ca="1">AVERAGE(OFFSET($DS$3,0,0,'Données projet'!$E$14+1,1))-AVERAGE(OFFSET($H$3,0,0,'Données projet'!$E$14+1,1))</f>
        <v>285.09561428624352</v>
      </c>
      <c r="DU22" s="60">
        <f t="shared" si="44"/>
        <v>261.05678516705564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10</v>
      </c>
      <c r="EJ22" s="13">
        <f>IF('Données projet'!$A$192&gt;35,EJ21+EI22-ER21,IF(A22&lt;'Données projet'!$A$192,$EG$205^A22,IF(A22='Données projet'!$A$192,'Données projet'!$B$192,EJ21+EI22-ER21)))</f>
        <v>89</v>
      </c>
      <c r="EK22" s="18">
        <f>EJ22*VLOOKUP('Données projet'!$B$15,Paramètres!$A$1:$I$89,3,0)*VLOOKUP('Données projet'!$B$15,Paramètres!$A$1:$I$89,5,0)</f>
        <v>72.19680000000001</v>
      </c>
      <c r="EL22" s="14">
        <f t="shared" si="45"/>
        <v>20.218015459285922</v>
      </c>
      <c r="EM22" s="22">
        <f t="shared" si="19"/>
        <v>160.95580359158967</v>
      </c>
      <c r="EN22" s="60">
        <f t="shared" si="20"/>
        <v>375.1078978346132</v>
      </c>
      <c r="EO22" s="60">
        <f ca="1">AVERAGE(OFFSET($EN$3,0,0,'Données projet'!$E$15+1,1))-AVERAGE(OFFSET($H$3,0,0,'Données projet'!$E$15+1,1))</f>
        <v>272.69564942740931</v>
      </c>
      <c r="EP22" s="60">
        <f t="shared" si="46"/>
        <v>316.57989180609252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302.67321335741167</v>
      </c>
      <c r="S23" s="60">
        <f ca="1">AVERAGE(OFFSET($R$3,0,0,'Données projet'!$E$9+1,1))-AVERAGE(OFFSET($H$3,0,0,'Données projet'!$E$9+1,1))</f>
        <v>469.67944008675863</v>
      </c>
      <c r="T23" s="60">
        <f t="shared" si="34"/>
        <v>266.11908070867173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312.77674802649938</v>
      </c>
      <c r="AN23" s="60">
        <f ca="1">AVERAGE(OFFSET($AM$3,0,0,'Données projet'!$E$10+1,1))-AVERAGE(OFFSET($H$3,0,0,'Données projet'!$E$10+1,1))</f>
        <v>516.30971934066179</v>
      </c>
      <c r="AO23" s="60">
        <f t="shared" si="36"/>
        <v>290.84286505723571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94.999999999999986</v>
      </c>
      <c r="BE23" s="14">
        <f>BD23*VLOOKUP('Données projet'!$B$11,Paramètres!$A$1:$I$89,3,0)*VLOOKUP('Données projet'!$B$11,Paramètres!$A$1:$I$89,5,0)</f>
        <v>69.653999999999982</v>
      </c>
      <c r="BF23" s="14">
        <f t="shared" si="37"/>
        <v>19.587508813096782</v>
      </c>
      <c r="BG23" s="22">
        <f t="shared" si="7"/>
        <v>155.42896118281021</v>
      </c>
      <c r="BH23" s="60">
        <f t="shared" si="8"/>
        <v>371.94366406970596</v>
      </c>
      <c r="BI23" s="60">
        <f ca="1">AVERAGE(OFFSET($BH$3,0,0,'Données projet'!$E$11+1,1))-AVERAGE(OFFSET($H$3,0,0,'Données projet'!$E$11+1,1))</f>
        <v>314.75847268052081</v>
      </c>
      <c r="BJ23" s="60">
        <f t="shared" si="38"/>
        <v>337.77701316755338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3.4425641025641025</v>
      </c>
      <c r="BY23" s="13">
        <f>IF('Données projet'!$A$114&gt;35,BY22+BX23-CG22,IF(A23&lt;'Données projet'!$A$114,$BV$205^A23,IF(A23='Données projet'!$A$114,'Données projet'!$B$114,BY22+BX23-CG22)))</f>
        <v>22.012474220583886</v>
      </c>
      <c r="BZ23" s="14">
        <f>BY23*VLOOKUP('Données projet'!$B$12,Paramètres!$A$1:$I$89,3,0)*VLOOKUP('Données projet'!$B$12,Paramètres!$A$1:$I$89,5,0)</f>
        <v>10.301837935233259</v>
      </c>
      <c r="CA23" s="14">
        <f t="shared" si="39"/>
        <v>3.6187910342764393</v>
      </c>
      <c r="CB23" s="22">
        <f t="shared" si="10"/>
        <v>24.245095455229389</v>
      </c>
      <c r="CC23" s="60">
        <f t="shared" si="11"/>
        <v>240.75979834212512</v>
      </c>
      <c r="CD23" s="60">
        <f ca="1">AVERAGE(OFFSET($CC$3,0,0,'Données projet'!$E$12+1,1))-AVERAGE(OFFSET($H$3,0,0,'Données projet'!$E$12+1,1))</f>
        <v>277.77877239988635</v>
      </c>
      <c r="CE23" s="60">
        <f t="shared" si="40"/>
        <v>164.65640238394164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187</v>
      </c>
      <c r="CR23" s="13">
        <f>VLOOKUP(A23,'Données projet'!$A$139:$I$159,9,0)</f>
        <v>10</v>
      </c>
      <c r="CS23" s="13">
        <f t="array" ref="CS23">INDEX(CR:CR,MIN(IF(ISNUMBER(CR23:CR219),ROW(CR23:CR219),"")))</f>
        <v>10</v>
      </c>
      <c r="CT23" s="13">
        <f>IF('Données projet'!$A$140&gt;35,CT22+CS23-DB22,IF(A23&lt;'Données projet'!$A$140,$CQ$205^A23,IF(A23='Données projet'!$A$140,'Données projet'!$B$140,CT22+CS23-DB22)))</f>
        <v>187</v>
      </c>
      <c r="CU23" s="18">
        <f>CT23*VLOOKUP('Données projet'!$B$13,Paramètres!$A$1:$I$89,3,0)*VLOOKUP('Données projet'!$B$13,Paramètres!$A$1:$I$89,5,0)</f>
        <v>169.19759999999999</v>
      </c>
      <c r="CV23" s="14">
        <f t="shared" si="41"/>
        <v>42.910263223432885</v>
      </c>
      <c r="CW23" s="22">
        <f t="shared" si="13"/>
        <v>369.42119511414558</v>
      </c>
      <c r="CX23" s="60">
        <f t="shared" si="14"/>
        <v>585.93589800104132</v>
      </c>
      <c r="CY23" s="60">
        <f ca="1">AVERAGE(OFFSET($CX$3,0,0,'Données projet'!$E$13+1,1))-AVERAGE(OFFSET($H$3,0,0,'Données projet'!$E$13+1,1))</f>
        <v>334.26876877415839</v>
      </c>
      <c r="CZ23" s="60">
        <f t="shared" si="42"/>
        <v>465.65761854152913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56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94.230769230769226</v>
      </c>
      <c r="DM23" s="13">
        <f>VLOOKUP(A23,'Données projet'!$A$165:$I$185,9,0)</f>
        <v>4.7115384615384617</v>
      </c>
      <c r="DN23" s="13">
        <f t="array" ref="DN23">INDEX(DM:DM,MIN(IF(ISNUMBER(DM23:DM219),ROW(DM23:DM219),"")))</f>
        <v>4.7115384615384617</v>
      </c>
      <c r="DO23" s="13">
        <f>IF('Données projet'!$A$166&gt;35,DO22+DN23-DW22,IF(A23&lt;'Données projet'!$A$166,$DL$205^A23,IF(A23='Données projet'!$A$166,'Données projet'!$B$166,DO22+DN23-DW22)))</f>
        <v>94.230769230769226</v>
      </c>
      <c r="DP23" s="18">
        <f>DO23*VLOOKUP('Données projet'!$B$14,Paramètres!$A$1:$I$89,3,0)*VLOOKUP('Données projet'!$B$14,Paramètres!$A$1:$I$89,5,0)</f>
        <v>60.269999999999996</v>
      </c>
      <c r="DQ23" s="14">
        <f t="shared" si="43"/>
        <v>17.236515635147981</v>
      </c>
      <c r="DR23" s="22">
        <f t="shared" si="16"/>
        <v>134.99051473121605</v>
      </c>
      <c r="DS23" s="60">
        <f t="shared" si="17"/>
        <v>351.50521761811177</v>
      </c>
      <c r="DT23" s="60">
        <f ca="1">AVERAGE(OFFSET($DS$3,0,0,'Données projet'!$E$14+1,1))-AVERAGE(OFFSET($H$3,0,0,'Données projet'!$E$14+1,1))</f>
        <v>285.09561428624352</v>
      </c>
      <c r="DU23" s="60">
        <f t="shared" si="44"/>
        <v>261.05678516705564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53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99</v>
      </c>
      <c r="EH23" s="13">
        <f>VLOOKUP(A23,'Données projet'!$A$191:$I$211,9,0)</f>
        <v>10</v>
      </c>
      <c r="EI23" s="13">
        <f t="array" ref="EI23">INDEX(EH:EH,MIN(IF(ISNUMBER(EH23:EH219),ROW(EH23:EH219),"")))</f>
        <v>10</v>
      </c>
      <c r="EJ23" s="13">
        <f>IF('Données projet'!$A$192&gt;35,EJ22+EI23-ER22,IF(A23&lt;'Données projet'!$A$192,$EG$205^A23,IF(A23='Données projet'!$A$192,'Données projet'!$B$192,EJ22+EI23-ER22)))</f>
        <v>99</v>
      </c>
      <c r="EK23" s="18">
        <f>EJ23*VLOOKUP('Données projet'!$B$15,Paramètres!$A$1:$I$89,3,0)*VLOOKUP('Données projet'!$B$15,Paramètres!$A$1:$I$89,5,0)</f>
        <v>80.308800000000005</v>
      </c>
      <c r="EL23" s="14">
        <f t="shared" si="45"/>
        <v>22.212670396389218</v>
      </c>
      <c r="EM23" s="22">
        <f t="shared" si="19"/>
        <v>178.55822760704453</v>
      </c>
      <c r="EN23" s="60">
        <f t="shared" si="20"/>
        <v>395.07293049394025</v>
      </c>
      <c r="EO23" s="60">
        <f ca="1">AVERAGE(OFFSET($EN$3,0,0,'Données projet'!$E$15+1,1))-AVERAGE(OFFSET($H$3,0,0,'Données projet'!$E$15+1,1))</f>
        <v>272.69564942740931</v>
      </c>
      <c r="EP23" s="60">
        <f t="shared" si="46"/>
        <v>316.57989180609252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316.17645629884402</v>
      </c>
      <c r="S24" s="60">
        <f ca="1">AVERAGE(OFFSET($R$3,0,0,'Données projet'!$E$9+1,1))-AVERAGE(OFFSET($H$3,0,0,'Données projet'!$E$9+1,1))</f>
        <v>469.67944008675863</v>
      </c>
      <c r="T24" s="60">
        <f t="shared" si="34"/>
        <v>266.11908070867173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327.59245112039338</v>
      </c>
      <c r="AN24" s="60">
        <f ca="1">AVERAGE(OFFSET($AM$3,0,0,'Données projet'!$E$10+1,1))-AVERAGE(OFFSET($H$3,0,0,'Données projet'!$E$10+1,1))</f>
        <v>516.30971934066179</v>
      </c>
      <c r="AO24" s="60">
        <f t="shared" si="36"/>
        <v>290.84286505723571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64.59999999999998</v>
      </c>
      <c r="BE24" s="14">
        <f>BD24*VLOOKUP('Données projet'!$B$11,Paramètres!$A$1:$I$89,3,0)*VLOOKUP('Données projet'!$B$11,Paramètres!$A$1:$I$89,5,0)</f>
        <v>47.364719999999984</v>
      </c>
      <c r="BF24" s="14">
        <f t="shared" si="37"/>
        <v>13.931057351916726</v>
      </c>
      <c r="BG24" s="22">
        <f t="shared" si="7"/>
        <v>106.75681222125495</v>
      </c>
      <c r="BH24" s="60">
        <f t="shared" si="8"/>
        <v>325.61434059712934</v>
      </c>
      <c r="BI24" s="60">
        <f ca="1">AVERAGE(OFFSET($BH$3,0,0,'Données projet'!$E$11+1,1))-AVERAGE(OFFSET($H$3,0,0,'Données projet'!$E$11+1,1))</f>
        <v>314.75847268052081</v>
      </c>
      <c r="BJ24" s="60">
        <f t="shared" si="38"/>
        <v>337.77701316755338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3.4425641025641025</v>
      </c>
      <c r="BY24" s="13">
        <f>IF('Données projet'!$A$114&gt;35,BY23+BX24-CG23,IF(A24&lt;'Données projet'!$A$114,$BV$205^A24,IF(A24='Données projet'!$A$114,'Données projet'!$B$114,BY23+BX24-CG23)))</f>
        <v>25.692259707215236</v>
      </c>
      <c r="BZ24" s="14">
        <f>BY24*VLOOKUP('Données projet'!$B$12,Paramètres!$A$1:$I$89,3,0)*VLOOKUP('Données projet'!$B$12,Paramètres!$A$1:$I$89,5,0)</f>
        <v>12.023977542976729</v>
      </c>
      <c r="CA24" s="14">
        <f t="shared" si="39"/>
        <v>4.1484190116858626</v>
      </c>
      <c r="CB24" s="22">
        <f t="shared" si="10"/>
        <v>28.166923999370677</v>
      </c>
      <c r="CC24" s="60">
        <f t="shared" si="11"/>
        <v>247.02445237524506</v>
      </c>
      <c r="CD24" s="60">
        <f ca="1">AVERAGE(OFFSET($CC$3,0,0,'Données projet'!$E$12+1,1))-AVERAGE(OFFSET($H$3,0,0,'Données projet'!$E$12+1,1))</f>
        <v>277.77877239988635</v>
      </c>
      <c r="CE24" s="60">
        <f t="shared" si="40"/>
        <v>164.65640238394164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8.4</v>
      </c>
      <c r="CT24" s="13">
        <f>IF('Données projet'!$A$140&gt;35,CT23+CS24-DB23,IF(A24&lt;'Données projet'!$A$140,$CQ$205^A24,IF(A24='Données projet'!$A$140,'Données projet'!$B$140,CT23+CS24-DB23)))</f>
        <v>139.4</v>
      </c>
      <c r="CU24" s="18">
        <f>CT24*VLOOKUP('Données projet'!$B$13,Paramètres!$A$1:$I$89,3,0)*VLOOKUP('Données projet'!$B$13,Paramètres!$A$1:$I$89,5,0)</f>
        <v>126.12912000000001</v>
      </c>
      <c r="CV24" s="14">
        <f t="shared" si="41"/>
        <v>33.100345121748241</v>
      </c>
      <c r="CW24" s="22">
        <f t="shared" si="13"/>
        <v>277.32465175371152</v>
      </c>
      <c r="CX24" s="60">
        <f t="shared" si="14"/>
        <v>496.1821801295859</v>
      </c>
      <c r="CY24" s="60">
        <f ca="1">AVERAGE(OFFSET($CX$3,0,0,'Données projet'!$E$13+1,1))-AVERAGE(OFFSET($H$3,0,0,'Données projet'!$E$13+1,1))</f>
        <v>334.26876877415839</v>
      </c>
      <c r="CZ24" s="60">
        <f t="shared" si="42"/>
        <v>465.65761854152913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10.364102564102563</v>
      </c>
      <c r="DO24" s="13">
        <f>IF('Données projet'!$A$166&gt;35,DO23+DN24-DW23,IF(A24&lt;'Données projet'!$A$166,$DL$205^A24,IF(A24='Données projet'!$A$166,'Données projet'!$B$166,DO23+DN24-DW23)))</f>
        <v>51.594871794871793</v>
      </c>
      <c r="DP24" s="18">
        <f>DO24*VLOOKUP('Données projet'!$B$14,Paramètres!$A$1:$I$89,3,0)*VLOOKUP('Données projet'!$B$14,Paramètres!$A$1:$I$89,5,0)</f>
        <v>33.000079999999997</v>
      </c>
      <c r="DQ24" s="14">
        <f t="shared" si="43"/>
        <v>10.123062365496519</v>
      </c>
      <c r="DR24" s="22">
        <f t="shared" si="16"/>
        <v>75.106139619906443</v>
      </c>
      <c r="DS24" s="60">
        <f t="shared" si="17"/>
        <v>293.96366799578084</v>
      </c>
      <c r="DT24" s="60">
        <f ca="1">AVERAGE(OFFSET($DS$3,0,0,'Données projet'!$E$14+1,1))-AVERAGE(OFFSET($H$3,0,0,'Données projet'!$E$14+1,1))</f>
        <v>285.09561428624352</v>
      </c>
      <c r="DU24" s="60">
        <f t="shared" si="44"/>
        <v>261.05678516705564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8.6</v>
      </c>
      <c r="EJ24" s="13">
        <f>IF('Données projet'!$A$192&gt;35,EJ23+EI24-ER23,IF(A24&lt;'Données projet'!$A$192,$EG$205^A24,IF(A24='Données projet'!$A$192,'Données projet'!$B$192,EJ23+EI24-ER23)))</f>
        <v>67.599999999999994</v>
      </c>
      <c r="EK24" s="18">
        <f>EJ24*VLOOKUP('Données projet'!$B$15,Paramètres!$A$1:$I$89,3,0)*VLOOKUP('Données projet'!$B$15,Paramètres!$A$1:$I$89,5,0)</f>
        <v>54.837120000000006</v>
      </c>
      <c r="EL24" s="14">
        <f t="shared" si="45"/>
        <v>15.856174437579886</v>
      </c>
      <c r="EM24" s="22">
        <f t="shared" si="19"/>
        <v>123.12415447878497</v>
      </c>
      <c r="EN24" s="60">
        <f t="shared" si="20"/>
        <v>341.98168285465937</v>
      </c>
      <c r="EO24" s="60">
        <f ca="1">AVERAGE(OFFSET($EN$3,0,0,'Données projet'!$E$15+1,1))-AVERAGE(OFFSET($H$3,0,0,'Données projet'!$E$15+1,1))</f>
        <v>272.69564942740931</v>
      </c>
      <c r="EP24" s="60">
        <f t="shared" si="46"/>
        <v>316.57989180609252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329.62841581638901</v>
      </c>
      <c r="S25" s="60">
        <f ca="1">AVERAGE(OFFSET($R$3,0,0,'Données projet'!$E$9+1,1))-AVERAGE(OFFSET($H$3,0,0,'Données projet'!$E$9+1,1))</f>
        <v>469.67944008675863</v>
      </c>
      <c r="T25" s="60">
        <f t="shared" si="34"/>
        <v>266.11908070867173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342.35349780478379</v>
      </c>
      <c r="AN25" s="60">
        <f ca="1">AVERAGE(OFFSET($AM$3,0,0,'Données projet'!$E$10+1,1))-AVERAGE(OFFSET($H$3,0,0,'Données projet'!$E$10+1,1))</f>
        <v>516.30971934066179</v>
      </c>
      <c r="AO25" s="60">
        <f t="shared" si="36"/>
        <v>290.84286505723571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77.199999999999974</v>
      </c>
      <c r="BE25" s="14">
        <f>BD25*VLOOKUP('Données projet'!$B$11,Paramètres!$A$1:$I$89,3,0)*VLOOKUP('Données projet'!$B$11,Paramètres!$A$1:$I$89,5,0)</f>
        <v>56.603039999999979</v>
      </c>
      <c r="BF25" s="14">
        <f t="shared" si="37"/>
        <v>16.306519487923971</v>
      </c>
      <c r="BG25" s="22">
        <f t="shared" si="7"/>
        <v>126.98414944146755</v>
      </c>
      <c r="BH25" s="60">
        <f t="shared" si="8"/>
        <v>348.16506334493596</v>
      </c>
      <c r="BI25" s="60">
        <f ca="1">AVERAGE(OFFSET($BH$3,0,0,'Données projet'!$E$11+1,1))-AVERAGE(OFFSET($H$3,0,0,'Données projet'!$E$11+1,1))</f>
        <v>314.75847268052081</v>
      </c>
      <c r="BJ25" s="60">
        <f t="shared" si="38"/>
        <v>337.77701316755338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3.4425641025641025</v>
      </c>
      <c r="BY25" s="13">
        <f>IF('Données projet'!$A$114&gt;35,BY24+BX25-CG24,IF(A25&lt;'Données projet'!$A$114,$BV$205^A25,IF(A25='Données projet'!$A$114,'Données projet'!$B$114,BY24+BX25-CG24)))</f>
        <v>29.987188275534368</v>
      </c>
      <c r="BZ25" s="14">
        <f>BY25*VLOOKUP('Données projet'!$B$12,Paramètres!$A$1:$I$89,3,0)*VLOOKUP('Données projet'!$B$12,Paramètres!$A$1:$I$89,5,0)</f>
        <v>14.034004112950084</v>
      </c>
      <c r="CA25" s="14">
        <f t="shared" si="39"/>
        <v>4.7555606647394173</v>
      </c>
      <c r="CB25" s="22">
        <f t="shared" si="10"/>
        <v>32.725158654475884</v>
      </c>
      <c r="CC25" s="60">
        <f t="shared" si="11"/>
        <v>253.90607255794427</v>
      </c>
      <c r="CD25" s="60">
        <f ca="1">AVERAGE(OFFSET($CC$3,0,0,'Données projet'!$E$12+1,1))-AVERAGE(OFFSET($H$3,0,0,'Données projet'!$E$12+1,1))</f>
        <v>277.77877239988635</v>
      </c>
      <c r="CE25" s="60">
        <f t="shared" si="40"/>
        <v>164.65640238394164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8.4</v>
      </c>
      <c r="CT25" s="13">
        <f>IF('Données projet'!$A$140&gt;35,CT24+CS25-DB24,IF(A25&lt;'Données projet'!$A$140,$CQ$205^A25,IF(A25='Données projet'!$A$140,'Données projet'!$B$140,CT24+CS25-DB24)))</f>
        <v>147.80000000000001</v>
      </c>
      <c r="CU25" s="18">
        <f>CT25*VLOOKUP('Données projet'!$B$13,Paramètres!$A$1:$I$89,3,0)*VLOOKUP('Données projet'!$B$13,Paramètres!$A$1:$I$89,5,0)</f>
        <v>133.72944000000001</v>
      </c>
      <c r="CV25" s="14">
        <f t="shared" si="41"/>
        <v>34.856699711744326</v>
      </c>
      <c r="CW25" s="22">
        <f t="shared" si="13"/>
        <v>293.62085999795471</v>
      </c>
      <c r="CX25" s="60">
        <f t="shared" si="14"/>
        <v>514.80177390142308</v>
      </c>
      <c r="CY25" s="60">
        <f ca="1">AVERAGE(OFFSET($CX$3,0,0,'Données projet'!$E$13+1,1))-AVERAGE(OFFSET($H$3,0,0,'Données projet'!$E$13+1,1))</f>
        <v>334.26876877415839</v>
      </c>
      <c r="CZ25" s="60">
        <f t="shared" si="42"/>
        <v>465.65761854152913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10.364102564102563</v>
      </c>
      <c r="DO25" s="13">
        <f>IF('Données projet'!$A$166&gt;35,DO24+DN25-DW24,IF(A25&lt;'Données projet'!$A$166,$DL$205^A25,IF(A25='Données projet'!$A$166,'Données projet'!$B$166,DO24+DN25-DW24)))</f>
        <v>61.958974358974359</v>
      </c>
      <c r="DP25" s="18">
        <f>DO25*VLOOKUP('Données projet'!$B$14,Paramètres!$A$1:$I$89,3,0)*VLOOKUP('Données projet'!$B$14,Paramètres!$A$1:$I$89,5,0)</f>
        <v>39.628959999999999</v>
      </c>
      <c r="DQ25" s="14">
        <f t="shared" si="43"/>
        <v>11.900249437233896</v>
      </c>
      <c r="DR25" s="22">
        <f t="shared" si="16"/>
        <v>89.746706436515694</v>
      </c>
      <c r="DS25" s="60">
        <f t="shared" si="17"/>
        <v>310.92762033998406</v>
      </c>
      <c r="DT25" s="60">
        <f ca="1">AVERAGE(OFFSET($DS$3,0,0,'Données projet'!$E$14+1,1))-AVERAGE(OFFSET($H$3,0,0,'Données projet'!$E$14+1,1))</f>
        <v>285.09561428624352</v>
      </c>
      <c r="DU25" s="60">
        <f t="shared" si="44"/>
        <v>261.05678516705564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8.6</v>
      </c>
      <c r="EJ25" s="13">
        <f>IF('Données projet'!$A$192&gt;35,EJ24+EI25-ER24,IF(A25&lt;'Données projet'!$A$192,$EG$205^A25,IF(A25='Données projet'!$A$192,'Données projet'!$B$192,EJ24+EI25-ER24)))</f>
        <v>76.199999999999989</v>
      </c>
      <c r="EK25" s="18">
        <f>EJ25*VLOOKUP('Données projet'!$B$15,Paramètres!$A$1:$I$89,3,0)*VLOOKUP('Données projet'!$B$15,Paramètres!$A$1:$I$89,5,0)</f>
        <v>61.813439999999993</v>
      </c>
      <c r="EL25" s="14">
        <f t="shared" si="45"/>
        <v>17.625965961121132</v>
      </c>
      <c r="EM25" s="22">
        <f t="shared" si="19"/>
        <v>138.35696538228595</v>
      </c>
      <c r="EN25" s="60">
        <f t="shared" si="20"/>
        <v>359.53787928575434</v>
      </c>
      <c r="EO25" s="60">
        <f ca="1">AVERAGE(OFFSET($EN$3,0,0,'Données projet'!$E$15+1,1))-AVERAGE(OFFSET($H$3,0,0,'Données projet'!$E$15+1,1))</f>
        <v>272.69564942740931</v>
      </c>
      <c r="EP25" s="60">
        <f t="shared" si="46"/>
        <v>316.57989180609252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343.03316299510493</v>
      </c>
      <c r="S26" s="60">
        <f ca="1">AVERAGE(OFFSET($R$3,0,0,'Données projet'!$E$9+1,1))-AVERAGE(OFFSET($H$3,0,0,'Données projet'!$E$9+1,1))</f>
        <v>469.67944008675863</v>
      </c>
      <c r="T26" s="60">
        <f t="shared" si="34"/>
        <v>266.11908070867173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357.06435466839378</v>
      </c>
      <c r="AN26" s="60">
        <f ca="1">AVERAGE(OFFSET($AM$3,0,0,'Données projet'!$E$10+1,1))-AVERAGE(OFFSET($H$3,0,0,'Données projet'!$E$10+1,1))</f>
        <v>516.30971934066179</v>
      </c>
      <c r="AO26" s="60">
        <f t="shared" si="36"/>
        <v>290.84286505723571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89.799999999999969</v>
      </c>
      <c r="BE26" s="14">
        <f>BD26*VLOOKUP('Données projet'!$B$11,Paramètres!$A$1:$I$89,3,0)*VLOOKUP('Données projet'!$B$11,Paramètres!$A$1:$I$89,5,0)</f>
        <v>65.84135999999998</v>
      </c>
      <c r="BF26" s="14">
        <f t="shared" si="37"/>
        <v>18.637068365902625</v>
      </c>
      <c r="BG26" s="22">
        <f t="shared" si="7"/>
        <v>147.13326273728035</v>
      </c>
      <c r="BH26" s="60">
        <f t="shared" si="8"/>
        <v>370.61845944682682</v>
      </c>
      <c r="BI26" s="60">
        <f ca="1">AVERAGE(OFFSET($BH$3,0,0,'Données projet'!$E$11+1,1))-AVERAGE(OFFSET($H$3,0,0,'Données projet'!$E$11+1,1))</f>
        <v>314.75847268052081</v>
      </c>
      <c r="BJ26" s="60">
        <f t="shared" si="38"/>
        <v>337.77701316755338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3.4425641025641025</v>
      </c>
      <c r="BY26" s="13">
        <f>IF('Données projet'!$A$114&gt;35,BY25+BX26-CG25,IF(A26&lt;'Données projet'!$A$114,$BV$205^A26,IF(A26='Données projet'!$A$114,'Données projet'!$B$114,BY25+BX26-CG25)))</f>
        <v>35.000092281482424</v>
      </c>
      <c r="BZ26" s="14">
        <f>BY26*VLOOKUP('Données projet'!$B$12,Paramètres!$A$1:$I$89,3,0)*VLOOKUP('Données projet'!$B$12,Paramètres!$A$1:$I$89,5,0)</f>
        <v>16.380043187733772</v>
      </c>
      <c r="CA26" s="14">
        <f t="shared" si="39"/>
        <v>5.4515605034859353</v>
      </c>
      <c r="CB26" s="22">
        <f t="shared" si="10"/>
        <v>38.023376428874322</v>
      </c>
      <c r="CC26" s="60">
        <f t="shared" si="11"/>
        <v>261.50857313842084</v>
      </c>
      <c r="CD26" s="60">
        <f ca="1">AVERAGE(OFFSET($CC$3,0,0,'Données projet'!$E$12+1,1))-AVERAGE(OFFSET($H$3,0,0,'Données projet'!$E$12+1,1))</f>
        <v>277.77877239988635</v>
      </c>
      <c r="CE26" s="60">
        <f t="shared" si="40"/>
        <v>164.65640238394164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8.4</v>
      </c>
      <c r="CT26" s="13">
        <f>IF('Données projet'!$A$140&gt;35,CT25+CS26-DB25,IF(A26&lt;'Données projet'!$A$140,$CQ$205^A26,IF(A26='Données projet'!$A$140,'Données projet'!$B$140,CT25+CS26-DB25)))</f>
        <v>156.20000000000002</v>
      </c>
      <c r="CU26" s="18">
        <f>CT26*VLOOKUP('Données projet'!$B$13,Paramètres!$A$1:$I$89,3,0)*VLOOKUP('Données projet'!$B$13,Paramètres!$A$1:$I$89,5,0)</f>
        <v>141.32976000000002</v>
      </c>
      <c r="CV26" s="14">
        <f t="shared" si="41"/>
        <v>36.601467030988793</v>
      </c>
      <c r="CW26" s="22">
        <f t="shared" si="13"/>
        <v>309.89688707897216</v>
      </c>
      <c r="CX26" s="60">
        <f t="shared" si="14"/>
        <v>533.38208378851868</v>
      </c>
      <c r="CY26" s="60">
        <f ca="1">AVERAGE(OFFSET($CX$3,0,0,'Données projet'!$E$13+1,1))-AVERAGE(OFFSET($H$3,0,0,'Données projet'!$E$13+1,1))</f>
        <v>334.26876877415839</v>
      </c>
      <c r="CZ26" s="60">
        <f t="shared" si="42"/>
        <v>465.65761854152913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10.364102564102563</v>
      </c>
      <c r="DO26" s="13">
        <f>IF('Données projet'!$A$166&gt;35,DO25+DN26-DW25,IF(A26&lt;'Données projet'!$A$166,$DL$205^A26,IF(A26='Données projet'!$A$166,'Données projet'!$B$166,DO25+DN26-DW25)))</f>
        <v>72.323076923076925</v>
      </c>
      <c r="DP26" s="18">
        <f>DO26*VLOOKUP('Données projet'!$B$14,Paramètres!$A$1:$I$89,3,0)*VLOOKUP('Données projet'!$B$14,Paramètres!$A$1:$I$89,5,0)</f>
        <v>46.257840000000002</v>
      </c>
      <c r="DQ26" s="14">
        <f t="shared" si="43"/>
        <v>13.642998764215235</v>
      </c>
      <c r="DR26" s="22">
        <f t="shared" si="16"/>
        <v>104.3272941810082</v>
      </c>
      <c r="DS26" s="60">
        <f t="shared" si="17"/>
        <v>327.81249089055473</v>
      </c>
      <c r="DT26" s="60">
        <f ca="1">AVERAGE(OFFSET($DS$3,0,0,'Données projet'!$E$14+1,1))-AVERAGE(OFFSET($H$3,0,0,'Données projet'!$E$14+1,1))</f>
        <v>285.09561428624352</v>
      </c>
      <c r="DU26" s="60">
        <f t="shared" si="44"/>
        <v>261.05678516705564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8.6</v>
      </c>
      <c r="EJ26" s="13">
        <f>IF('Données projet'!$A$192&gt;35,EJ25+EI26-ER25,IF(A26&lt;'Données projet'!$A$192,$EG$205^A26,IF(A26='Données projet'!$A$192,'Données projet'!$B$192,EJ25+EI26-ER25)))</f>
        <v>84.799999999999983</v>
      </c>
      <c r="EK26" s="18">
        <f>EJ26*VLOOKUP('Données projet'!$B$15,Paramètres!$A$1:$I$89,3,0)*VLOOKUP('Données projet'!$B$15,Paramètres!$A$1:$I$89,5,0)</f>
        <v>68.789759999999987</v>
      </c>
      <c r="EL26" s="14">
        <f t="shared" si="45"/>
        <v>19.372607944380292</v>
      </c>
      <c r="EM26" s="22">
        <f t="shared" si="19"/>
        <v>153.54945750312899</v>
      </c>
      <c r="EN26" s="60">
        <f t="shared" si="20"/>
        <v>377.03465421267549</v>
      </c>
      <c r="EO26" s="60">
        <f ca="1">AVERAGE(OFFSET($EN$3,0,0,'Données projet'!$E$15+1,1))-AVERAGE(OFFSET($H$3,0,0,'Données projet'!$E$15+1,1))</f>
        <v>272.69564942740931</v>
      </c>
      <c r="EP26" s="60">
        <f t="shared" si="46"/>
        <v>316.57989180609252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356.39401090659169</v>
      </c>
      <c r="S27" s="60">
        <f ca="1">AVERAGE(OFFSET($R$3,0,0,'Données projet'!$E$9+1,1))-AVERAGE(OFFSET($H$3,0,0,'Données projet'!$E$9+1,1))</f>
        <v>469.67944008675863</v>
      </c>
      <c r="T27" s="60">
        <f t="shared" si="34"/>
        <v>266.11908070867173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371.72865061439427</v>
      </c>
      <c r="AN27" s="60">
        <f ca="1">AVERAGE(OFFSET($AM$3,0,0,'Données projet'!$E$10+1,1))-AVERAGE(OFFSET($H$3,0,0,'Données projet'!$E$10+1,1))</f>
        <v>516.30971934066179</v>
      </c>
      <c r="AO27" s="60">
        <f t="shared" si="36"/>
        <v>290.84286505723571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75.079679999999968</v>
      </c>
      <c r="BF27" s="14">
        <f t="shared" si="37"/>
        <v>20.929732076759169</v>
      </c>
      <c r="BG27" s="22">
        <f t="shared" si="7"/>
        <v>167.21639270035547</v>
      </c>
      <c r="BH27" s="60">
        <f t="shared" si="8"/>
        <v>392.98710088397524</v>
      </c>
      <c r="BI27" s="60">
        <f ca="1">AVERAGE(OFFSET($BH$3,0,0,'Données projet'!$E$11+1,1))-AVERAGE(OFFSET($H$3,0,0,'Données projet'!$E$11+1,1))</f>
        <v>314.75847268052081</v>
      </c>
      <c r="BJ27" s="60">
        <f t="shared" si="38"/>
        <v>337.77701316755338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3.4425641025641025</v>
      </c>
      <c r="BY27" s="13">
        <f>IF('Données projet'!$A$114&gt;35,BY26+BX27-CG26,IF(A27&lt;'Données projet'!$A$114,$BV$205^A27,IF(A27='Données projet'!$A$114,'Données projet'!$B$114,BY26+BX27-CG26)))</f>
        <v>40.850994379880916</v>
      </c>
      <c r="BZ27" s="14">
        <f>BY27*VLOOKUP('Données projet'!$B$12,Paramètres!$A$1:$I$89,3,0)*VLOOKUP('Données projet'!$B$12,Paramètres!$A$1:$I$89,5,0)</f>
        <v>19.118265369784268</v>
      </c>
      <c r="CA27" s="14">
        <f t="shared" si="39"/>
        <v>6.2494233631643379</v>
      </c>
      <c r="CB27" s="22">
        <f t="shared" si="10"/>
        <v>44.182057876552157</v>
      </c>
      <c r="CC27" s="60">
        <f t="shared" si="11"/>
        <v>269.95276606017194</v>
      </c>
      <c r="CD27" s="60">
        <f ca="1">AVERAGE(OFFSET($CC$3,0,0,'Données projet'!$E$12+1,1))-AVERAGE(OFFSET($H$3,0,0,'Données projet'!$E$12+1,1))</f>
        <v>277.77877239988635</v>
      </c>
      <c r="CE27" s="60">
        <f t="shared" si="40"/>
        <v>164.65640238394164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8.4</v>
      </c>
      <c r="CT27" s="13">
        <f>IF('Données projet'!$A$140&gt;35,CT26+CS27-DB26,IF(A27&lt;'Données projet'!$A$140,$CQ$205^A27,IF(A27='Données projet'!$A$140,'Données projet'!$B$140,CT26+CS27-DB26)))</f>
        <v>164.60000000000002</v>
      </c>
      <c r="CU27" s="18">
        <f>CT27*VLOOKUP('Données projet'!$B$13,Paramètres!$A$1:$I$89,3,0)*VLOOKUP('Données projet'!$B$13,Paramètres!$A$1:$I$89,5,0)</f>
        <v>148.93008</v>
      </c>
      <c r="CV27" s="14">
        <f t="shared" si="41"/>
        <v>38.335341256889777</v>
      </c>
      <c r="CW27" s="22">
        <f t="shared" si="13"/>
        <v>326.1539420224164</v>
      </c>
      <c r="CX27" s="60">
        <f t="shared" si="14"/>
        <v>551.92465020603618</v>
      </c>
      <c r="CY27" s="60">
        <f ca="1">AVERAGE(OFFSET($CX$3,0,0,'Données projet'!$E$13+1,1))-AVERAGE(OFFSET($H$3,0,0,'Données projet'!$E$13+1,1))</f>
        <v>334.26876877415839</v>
      </c>
      <c r="CZ27" s="60">
        <f t="shared" si="42"/>
        <v>465.65761854152913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10.364102564102563</v>
      </c>
      <c r="DO27" s="13">
        <f>IF('Données projet'!$A$166&gt;35,DO26+DN27-DW26,IF(A27&lt;'Données projet'!$A$166,$DL$205^A27,IF(A27='Données projet'!$A$166,'Données projet'!$B$166,DO26+DN27-DW26)))</f>
        <v>82.687179487179492</v>
      </c>
      <c r="DP27" s="18">
        <f>DO27*VLOOKUP('Données projet'!$B$14,Paramètres!$A$1:$I$89,3,0)*VLOOKUP('Données projet'!$B$14,Paramètres!$A$1:$I$89,5,0)</f>
        <v>52.886719999999997</v>
      </c>
      <c r="DQ27" s="14">
        <f t="shared" si="43"/>
        <v>15.356814911684387</v>
      </c>
      <c r="DR27" s="22">
        <f t="shared" si="16"/>
        <v>118.85748997118363</v>
      </c>
      <c r="DS27" s="60">
        <f t="shared" si="17"/>
        <v>344.62819815480344</v>
      </c>
      <c r="DT27" s="60">
        <f ca="1">AVERAGE(OFFSET($DS$3,0,0,'Données projet'!$E$14+1,1))-AVERAGE(OFFSET($H$3,0,0,'Données projet'!$E$14+1,1))</f>
        <v>285.09561428624352</v>
      </c>
      <c r="DU27" s="60">
        <f t="shared" si="44"/>
        <v>261.05678516705564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8.6</v>
      </c>
      <c r="EJ27" s="13">
        <f>IF('Données projet'!$A$192&gt;35,EJ26+EI27-ER26,IF(A27&lt;'Données projet'!$A$192,$EG$205^A27,IF(A27='Données projet'!$A$192,'Données projet'!$B$192,EJ26+EI27-ER26)))</f>
        <v>93.399999999999977</v>
      </c>
      <c r="EK27" s="18">
        <f>EJ27*VLOOKUP('Données projet'!$B$15,Paramètres!$A$1:$I$89,3,0)*VLOOKUP('Données projet'!$B$15,Paramètres!$A$1:$I$89,5,0)</f>
        <v>75.766079999999988</v>
      </c>
      <c r="EL27" s="14">
        <f t="shared" si="45"/>
        <v>21.09871541273251</v>
      </c>
      <c r="EM27" s="22">
        <f t="shared" si="19"/>
        <v>168.70618534384241</v>
      </c>
      <c r="EN27" s="60">
        <f t="shared" si="20"/>
        <v>394.47689352746221</v>
      </c>
      <c r="EO27" s="60">
        <f ca="1">AVERAGE(OFFSET($EN$3,0,0,'Données projet'!$E$15+1,1))-AVERAGE(OFFSET($H$3,0,0,'Données projet'!$E$15+1,1))</f>
        <v>272.69564942740931</v>
      </c>
      <c r="EP27" s="60">
        <f t="shared" si="46"/>
        <v>316.57989180609252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369.71371867296341</v>
      </c>
      <c r="S28" s="60">
        <f ca="1">AVERAGE(OFFSET($R$3,0,0,'Données projet'!$E$9+1,1))-AVERAGE(OFFSET($H$3,0,0,'Données projet'!$E$9+1,1))</f>
        <v>469.67944008675863</v>
      </c>
      <c r="T28" s="60">
        <f t="shared" si="34"/>
        <v>266.11908070867173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386.34940252889123</v>
      </c>
      <c r="AN28" s="60">
        <f ca="1">AVERAGE(OFFSET($AM$3,0,0,'Données projet'!$E$10+1,1))-AVERAGE(OFFSET($H$3,0,0,'Données projet'!$E$10+1,1))</f>
        <v>516.30971934066179</v>
      </c>
      <c r="AO28" s="60">
        <f t="shared" si="36"/>
        <v>290.84286505723571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114.99999999999996</v>
      </c>
      <c r="BE28" s="14">
        <f>BD28*VLOOKUP('Données projet'!$B$11,Paramètres!$A$1:$I$89,3,0)*VLOOKUP('Données projet'!$B$11,Paramètres!$A$1:$I$89,5,0)</f>
        <v>84.317999999999969</v>
      </c>
      <c r="BF28" s="14">
        <f t="shared" si="37"/>
        <v>23.189705803157239</v>
      </c>
      <c r="BG28" s="22">
        <f t="shared" si="7"/>
        <v>187.24258760716546</v>
      </c>
      <c r="BH28" s="60">
        <f t="shared" si="8"/>
        <v>415.28036157349754</v>
      </c>
      <c r="BI28" s="60">
        <f ca="1">AVERAGE(OFFSET($BH$3,0,0,'Données projet'!$E$11+1,1))-AVERAGE(OFFSET($H$3,0,0,'Données projet'!$E$11+1,1))</f>
        <v>314.75847268052081</v>
      </c>
      <c r="BJ28" s="60">
        <f t="shared" si="38"/>
        <v>337.77701316755338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3.4425641025641025</v>
      </c>
      <c r="BY28" s="13">
        <f>IF('Données projet'!$A$114&gt;35,BY27+BX28-CG27,IF(A28&lt;'Données projet'!$A$114,$BV$205^A28,IF(A28='Données projet'!$A$114,'Données projet'!$B$114,BY27+BX28-CG27)))</f>
        <v>47.679981195591871</v>
      </c>
      <c r="BZ28" s="14">
        <f>BY28*VLOOKUP('Données projet'!$B$12,Paramètres!$A$1:$I$89,3,0)*VLOOKUP('Données projet'!$B$12,Paramètres!$A$1:$I$89,5,0)</f>
        <v>22.314231199536998</v>
      </c>
      <c r="CA28" s="14">
        <f t="shared" si="39"/>
        <v>7.1640574010122027</v>
      </c>
      <c r="CB28" s="22">
        <f t="shared" si="10"/>
        <v>51.341352645956526</v>
      </c>
      <c r="CC28" s="60">
        <f t="shared" si="11"/>
        <v>279.37912661228864</v>
      </c>
      <c r="CD28" s="60">
        <f ca="1">AVERAGE(OFFSET($CC$3,0,0,'Données projet'!$E$12+1,1))-AVERAGE(OFFSET($H$3,0,0,'Données projet'!$E$12+1,1))</f>
        <v>277.77877239988635</v>
      </c>
      <c r="CE28" s="60">
        <f t="shared" si="40"/>
        <v>164.65640238394164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173</v>
      </c>
      <c r="CR28" s="13">
        <f>VLOOKUP(A28,'Données projet'!$A$139:$I$159,9,0)</f>
        <v>8.4</v>
      </c>
      <c r="CS28" s="13">
        <f t="array" ref="CS28">INDEX(CR:CR,MIN(IF(ISNUMBER(CR28:CR224),ROW(CR28:CR224),"")))</f>
        <v>8.4</v>
      </c>
      <c r="CT28" s="13">
        <f>IF('Données projet'!$A$140&gt;35,CT27+CS28-DB27,IF(A28&lt;'Données projet'!$A$140,$CQ$205^A28,IF(A28='Données projet'!$A$140,'Données projet'!$B$140,CT27+CS28-DB27)))</f>
        <v>173.00000000000003</v>
      </c>
      <c r="CU28" s="18">
        <f>CT28*VLOOKUP('Données projet'!$B$13,Paramètres!$A$1:$I$89,3,0)*VLOOKUP('Données projet'!$B$13,Paramètres!$A$1:$I$89,5,0)</f>
        <v>156.53040000000001</v>
      </c>
      <c r="CV28" s="14">
        <f t="shared" si="41"/>
        <v>40.058941713182037</v>
      </c>
      <c r="CW28" s="22">
        <f t="shared" si="13"/>
        <v>342.39310348379212</v>
      </c>
      <c r="CX28" s="60">
        <f t="shared" si="14"/>
        <v>570.43087745012417</v>
      </c>
      <c r="CY28" s="60">
        <f ca="1">AVERAGE(OFFSET($CX$3,0,0,'Données projet'!$E$13+1,1))-AVERAGE(OFFSET($H$3,0,0,'Données projet'!$E$13+1,1))</f>
        <v>334.26876877415839</v>
      </c>
      <c r="CZ28" s="60">
        <f t="shared" si="42"/>
        <v>465.65761854152913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10.364102564102563</v>
      </c>
      <c r="DO28" s="13">
        <f>IF('Données projet'!$A$166&gt;35,DO27+DN28-DW27,IF(A28&lt;'Données projet'!$A$166,$DL$205^A28,IF(A28='Données projet'!$A$166,'Données projet'!$B$166,DO27+DN28-DW27)))</f>
        <v>93.051282051282058</v>
      </c>
      <c r="DP28" s="18">
        <f>DO28*VLOOKUP('Données projet'!$B$14,Paramètres!$A$1:$I$89,3,0)*VLOOKUP('Données projet'!$B$14,Paramètres!$A$1:$I$89,5,0)</f>
        <v>59.515599999999999</v>
      </c>
      <c r="DQ28" s="14">
        <f t="shared" si="43"/>
        <v>17.045739775375299</v>
      </c>
      <c r="DR28" s="22">
        <f t="shared" si="16"/>
        <v>133.34433344211197</v>
      </c>
      <c r="DS28" s="60">
        <f t="shared" si="17"/>
        <v>361.38210740844409</v>
      </c>
      <c r="DT28" s="60">
        <f ca="1">AVERAGE(OFFSET($DS$3,0,0,'Données projet'!$E$14+1,1))-AVERAGE(OFFSET($H$3,0,0,'Données projet'!$E$14+1,1))</f>
        <v>285.09561428624352</v>
      </c>
      <c r="DU28" s="60">
        <f t="shared" si="44"/>
        <v>261.05678516705564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102</v>
      </c>
      <c r="EH28" s="13">
        <f>VLOOKUP(A28,'Données projet'!$A$191:$I$211,9,0)</f>
        <v>8.6</v>
      </c>
      <c r="EI28" s="13">
        <f t="array" ref="EI28">INDEX(EH:EH,MIN(IF(ISNUMBER(EH28:EH224),ROW(EH28:EH224),"")))</f>
        <v>8.6</v>
      </c>
      <c r="EJ28" s="13">
        <f>IF('Données projet'!$A$192&gt;35,EJ27+EI28-ER27,IF(A28&lt;'Données projet'!$A$192,$EG$205^A28,IF(A28='Données projet'!$A$192,'Données projet'!$B$192,EJ27+EI28-ER27)))</f>
        <v>101.99999999999997</v>
      </c>
      <c r="EK28" s="18">
        <f>EJ28*VLOOKUP('Données projet'!$B$15,Paramètres!$A$1:$I$89,3,0)*VLOOKUP('Données projet'!$B$15,Paramètres!$A$1:$I$89,5,0)</f>
        <v>82.742399999999975</v>
      </c>
      <c r="EL28" s="14">
        <f t="shared" si="45"/>
        <v>22.806394174303183</v>
      </c>
      <c r="EM28" s="22">
        <f t="shared" si="19"/>
        <v>183.83081652024464</v>
      </c>
      <c r="EN28" s="60">
        <f t="shared" si="20"/>
        <v>411.86859048657675</v>
      </c>
      <c r="EO28" s="60">
        <f ca="1">AVERAGE(OFFSET($EN$3,0,0,'Données projet'!$E$15+1,1))-AVERAGE(OFFSET($H$3,0,0,'Données projet'!$E$15+1,1))</f>
        <v>272.69564942740931</v>
      </c>
      <c r="EP28" s="60">
        <f t="shared" si="46"/>
        <v>316.57989180609252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0">
        <f t="shared" si="0"/>
        <v>385.74959630537921</v>
      </c>
      <c r="S29" s="60">
        <f ca="1">AVERAGE(OFFSET($R$3,0,0,'Données projet'!$E$9+1,1))-AVERAGE(OFFSET($H$3,0,0,'Données projet'!$E$9+1,1))</f>
        <v>469.67944008675863</v>
      </c>
      <c r="T29" s="60">
        <f t="shared" si="34"/>
        <v>266.11908070867173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0">
        <f t="shared" si="5"/>
        <v>404.00852785880011</v>
      </c>
      <c r="AN29" s="60">
        <f ca="1">AVERAGE(OFFSET($AM$3,0,0,'Données projet'!$E$10+1,1))-AVERAGE(OFFSET($H$3,0,0,'Données projet'!$E$10+1,1))</f>
        <v>516.30971934066179</v>
      </c>
      <c r="AO29" s="60">
        <f t="shared" si="36"/>
        <v>290.84286505723571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126.99999999999996</v>
      </c>
      <c r="BE29" s="14">
        <f>BD29*VLOOKUP('Données projet'!$B$11,Paramètres!$A$1:$I$89,3,0)*VLOOKUP('Données projet'!$B$11,Paramètres!$A$1:$I$89,5,0)</f>
        <v>93.11639999999997</v>
      </c>
      <c r="BF29" s="14">
        <f t="shared" si="37"/>
        <v>25.315330119156503</v>
      </c>
      <c r="BG29" s="22">
        <f t="shared" si="7"/>
        <v>206.2685966241975</v>
      </c>
      <c r="BH29" s="60">
        <f t="shared" si="8"/>
        <v>436.55531067338768</v>
      </c>
      <c r="BI29" s="60">
        <f ca="1">AVERAGE(OFFSET($BH$3,0,0,'Données projet'!$E$11+1,1))-AVERAGE(OFFSET($H$3,0,0,'Données projet'!$E$11+1,1))</f>
        <v>314.75847268052081</v>
      </c>
      <c r="BJ29" s="60">
        <f t="shared" si="38"/>
        <v>337.77701316755338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3.4425641025641025</v>
      </c>
      <c r="BY29" s="13">
        <f>IF('Données projet'!$A$114&gt;35,BY28+BX29-CG28,IF(A29&lt;'Données projet'!$A$114,$BV$205^A29,IF(A29='Données projet'!$A$114,'Données projet'!$B$114,BY28+BX29-CG28)))</f>
        <v>55.650557381086244</v>
      </c>
      <c r="BZ29" s="14">
        <f>BY29*VLOOKUP('Données projet'!$B$12,Paramètres!$A$1:$I$89,3,0)*VLOOKUP('Données projet'!$B$12,Paramètres!$A$1:$I$89,5,0)</f>
        <v>26.044460854348362</v>
      </c>
      <c r="CA29" s="14">
        <f t="shared" si="39"/>
        <v>8.2125526568599181</v>
      </c>
      <c r="CB29" s="22">
        <f t="shared" si="10"/>
        <v>59.664298532021071</v>
      </c>
      <c r="CC29" s="60">
        <f t="shared" si="11"/>
        <v>289.95101258121127</v>
      </c>
      <c r="CD29" s="60">
        <f ca="1">AVERAGE(OFFSET($CC$3,0,0,'Données projet'!$E$12+1,1))-AVERAGE(OFFSET($H$3,0,0,'Données projet'!$E$12+1,1))</f>
        <v>277.77877239988635</v>
      </c>
      <c r="CE29" s="60">
        <f t="shared" si="40"/>
        <v>164.65640238394164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180.00000000000003</v>
      </c>
      <c r="CU29" s="18">
        <f>CT29*VLOOKUP('Données projet'!$B$13,Paramètres!$A$1:$I$89,3,0)*VLOOKUP('Données projet'!$B$13,Paramètres!$A$1:$I$89,5,0)</f>
        <v>162.864</v>
      </c>
      <c r="CV29" s="14">
        <f t="shared" si="41"/>
        <v>41.487830069509123</v>
      </c>
      <c r="CW29" s="22">
        <f t="shared" si="13"/>
        <v>355.91277070439509</v>
      </c>
      <c r="CX29" s="60">
        <f t="shared" si="14"/>
        <v>586.19948475358524</v>
      </c>
      <c r="CY29" s="60">
        <f ca="1">AVERAGE(OFFSET($CX$3,0,0,'Données projet'!$E$13+1,1))-AVERAGE(OFFSET($H$3,0,0,'Données projet'!$E$13+1,1))</f>
        <v>334.26876877415839</v>
      </c>
      <c r="CZ29" s="60">
        <f t="shared" si="42"/>
        <v>465.65761854152913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10.364102564102563</v>
      </c>
      <c r="DO29" s="13">
        <f>IF('Données projet'!$A$166&gt;35,DO28+DN29-DW28,IF(A29&lt;'Données projet'!$A$166,$DL$205^A29,IF(A29='Données projet'!$A$166,'Données projet'!$B$166,DO28+DN29-DW28)))</f>
        <v>103.41538461538462</v>
      </c>
      <c r="DP29" s="18">
        <f>DO29*VLOOKUP('Données projet'!$B$14,Paramètres!$A$1:$I$89,3,0)*VLOOKUP('Données projet'!$B$14,Paramètres!$A$1:$I$89,5,0)</f>
        <v>66.144480000000001</v>
      </c>
      <c r="DQ29" s="14">
        <f t="shared" si="43"/>
        <v>18.712862033539796</v>
      </c>
      <c r="DR29" s="22">
        <f t="shared" si="16"/>
        <v>147.79320404174845</v>
      </c>
      <c r="DS29" s="60">
        <f t="shared" si="17"/>
        <v>378.07991809093863</v>
      </c>
      <c r="DT29" s="60">
        <f ca="1">AVERAGE(OFFSET($DS$3,0,0,'Données projet'!$E$14+1,1))-AVERAGE(OFFSET($H$3,0,0,'Données projet'!$E$14+1,1))</f>
        <v>285.09561428624352</v>
      </c>
      <c r="DU29" s="60">
        <f t="shared" si="44"/>
        <v>261.05678516705564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8.8000000000000007</v>
      </c>
      <c r="EJ29" s="13">
        <f>IF('Données projet'!$A$192&gt;35,EJ28+EI29-ER28,IF(A29&lt;'Données projet'!$A$192,$EG$205^A29,IF(A29='Données projet'!$A$192,'Données projet'!$B$192,EJ28+EI29-ER28)))</f>
        <v>110.79999999999997</v>
      </c>
      <c r="EK29" s="18">
        <f>EJ29*VLOOKUP('Données projet'!$B$15,Paramètres!$A$1:$I$89,3,0)*VLOOKUP('Données projet'!$B$15,Paramètres!$A$1:$I$89,5,0)</f>
        <v>89.880959999999973</v>
      </c>
      <c r="EL29" s="14">
        <f t="shared" si="45"/>
        <v>24.536513201257339</v>
      </c>
      <c r="EM29" s="22">
        <f t="shared" si="19"/>
        <v>199.27709915885649</v>
      </c>
      <c r="EN29" s="60">
        <f t="shared" si="20"/>
        <v>429.56381320804667</v>
      </c>
      <c r="EO29" s="60">
        <f ca="1">AVERAGE(OFFSET($EN$3,0,0,'Données projet'!$E$15+1,1))-AVERAGE(OFFSET($H$3,0,0,'Données projet'!$E$15+1,1))</f>
        <v>272.69564942740931</v>
      </c>
      <c r="EP29" s="60">
        <f t="shared" si="46"/>
        <v>316.57989180609252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0">
        <f t="shared" si="0"/>
        <v>401.738611608631</v>
      </c>
      <c r="S30" s="60">
        <f ca="1">AVERAGE(OFFSET($R$3,0,0,'Données projet'!$E$9+1,1))-AVERAGE(OFFSET($H$3,0,0,'Données projet'!$E$9+1,1))</f>
        <v>469.67944008675863</v>
      </c>
      <c r="T30" s="60">
        <f t="shared" si="34"/>
        <v>266.11908070867173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0">
        <f t="shared" si="5"/>
        <v>421.6177136552318</v>
      </c>
      <c r="AN30" s="60">
        <f ca="1">AVERAGE(OFFSET($AM$3,0,0,'Données projet'!$E$10+1,1))-AVERAGE(OFFSET($H$3,0,0,'Données projet'!$E$10+1,1))</f>
        <v>516.30971934066179</v>
      </c>
      <c r="AO30" s="60">
        <f t="shared" si="36"/>
        <v>290.84286505723571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138.99999999999994</v>
      </c>
      <c r="BE30" s="14">
        <f>BD30*VLOOKUP('Données projet'!$B$11,Paramètres!$A$1:$I$89,3,0)*VLOOKUP('Données projet'!$B$11,Paramètres!$A$1:$I$89,5,0)</f>
        <v>101.91479999999996</v>
      </c>
      <c r="BF30" s="14">
        <f t="shared" si="37"/>
        <v>27.417667462779292</v>
      </c>
      <c r="BG30" s="22">
        <f t="shared" si="7"/>
        <v>225.25404749767384</v>
      </c>
      <c r="BH30" s="60">
        <f t="shared" si="8"/>
        <v>457.77189037023732</v>
      </c>
      <c r="BI30" s="60">
        <f ca="1">AVERAGE(OFFSET($BH$3,0,0,'Données projet'!$E$11+1,1))-AVERAGE(OFFSET($H$3,0,0,'Données projet'!$E$11+1,1))</f>
        <v>314.75847268052081</v>
      </c>
      <c r="BJ30" s="60">
        <f t="shared" si="38"/>
        <v>337.77701316755338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3.4425641025641025</v>
      </c>
      <c r="BY30" s="13">
        <f>IF('Données projet'!$A$114&gt;35,BY29+BX30-CG29,IF(A30&lt;'Données projet'!$A$114,$BV$205^A30,IF(A30='Données projet'!$A$114,'Données projet'!$B$114,BY29+BX30-CG29)))</f>
        <v>64.953560365747308</v>
      </c>
      <c r="BZ30" s="14">
        <f>BY30*VLOOKUP('Données projet'!$B$12,Paramètres!$A$1:$I$89,3,0)*VLOOKUP('Données projet'!$B$12,Paramètres!$A$1:$I$89,5,0)</f>
        <v>30.398266251169741</v>
      </c>
      <c r="CA30" s="14">
        <f t="shared" si="39"/>
        <v>9.4145003824463398</v>
      </c>
      <c r="CB30" s="22">
        <f t="shared" si="10"/>
        <v>69.340568553547996</v>
      </c>
      <c r="CC30" s="60">
        <f t="shared" si="11"/>
        <v>301.8584114261115</v>
      </c>
      <c r="CD30" s="60">
        <f ca="1">AVERAGE(OFFSET($CC$3,0,0,'Données projet'!$E$12+1,1))-AVERAGE(OFFSET($H$3,0,0,'Données projet'!$E$12+1,1))</f>
        <v>277.77877239988635</v>
      </c>
      <c r="CE30" s="60">
        <f t="shared" si="40"/>
        <v>164.65640238394164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187.00000000000003</v>
      </c>
      <c r="CU30" s="18">
        <f>CT30*VLOOKUP('Données projet'!$B$13,Paramètres!$A$1:$I$89,3,0)*VLOOKUP('Données projet'!$B$13,Paramètres!$A$1:$I$89,5,0)</f>
        <v>169.19760000000002</v>
      </c>
      <c r="CV30" s="14">
        <f t="shared" si="41"/>
        <v>42.910263223432885</v>
      </c>
      <c r="CW30" s="22">
        <f t="shared" si="13"/>
        <v>369.42119511414558</v>
      </c>
      <c r="CX30" s="60">
        <f t="shared" si="14"/>
        <v>601.93903798670908</v>
      </c>
      <c r="CY30" s="60">
        <f ca="1">AVERAGE(OFFSET($CX$3,0,0,'Données projet'!$E$13+1,1))-AVERAGE(OFFSET($H$3,0,0,'Données projet'!$E$13+1,1))</f>
        <v>334.26876877415839</v>
      </c>
      <c r="CZ30" s="60">
        <f t="shared" si="42"/>
        <v>465.65761854152913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10.364102564102563</v>
      </c>
      <c r="DO30" s="13">
        <f>IF('Données projet'!$A$166&gt;35,DO29+DN30-DW29,IF(A30&lt;'Données projet'!$A$166,$DL$205^A30,IF(A30='Données projet'!$A$166,'Données projet'!$B$166,DO29+DN30-DW29)))</f>
        <v>113.77948717948719</v>
      </c>
      <c r="DP30" s="18">
        <f>DO30*VLOOKUP('Données projet'!$B$14,Paramètres!$A$1:$I$89,3,0)*VLOOKUP('Données projet'!$B$14,Paramètres!$A$1:$I$89,5,0)</f>
        <v>72.773359999999997</v>
      </c>
      <c r="DQ30" s="14">
        <f t="shared" si="43"/>
        <v>20.360615447700589</v>
      </c>
      <c r="DR30" s="22">
        <f t="shared" si="16"/>
        <v>162.20834057141184</v>
      </c>
      <c r="DS30" s="60">
        <f t="shared" si="17"/>
        <v>394.72618344397534</v>
      </c>
      <c r="DT30" s="60">
        <f ca="1">AVERAGE(OFFSET($DS$3,0,0,'Données projet'!$E$14+1,1))-AVERAGE(OFFSET($H$3,0,0,'Données projet'!$E$14+1,1))</f>
        <v>285.09561428624352</v>
      </c>
      <c r="DU30" s="60">
        <f t="shared" si="44"/>
        <v>261.05678516705564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8.8000000000000007</v>
      </c>
      <c r="EJ30" s="13">
        <f>IF('Données projet'!$A$192&gt;35,EJ29+EI30-ER29,IF(A30&lt;'Données projet'!$A$192,$EG$205^A30,IF(A30='Données projet'!$A$192,'Données projet'!$B$192,EJ29+EI30-ER29)))</f>
        <v>119.59999999999997</v>
      </c>
      <c r="EK30" s="18">
        <f>EJ30*VLOOKUP('Données projet'!$B$15,Paramètres!$A$1:$I$89,3,0)*VLOOKUP('Données projet'!$B$15,Paramètres!$A$1:$I$89,5,0)</f>
        <v>97.019519999999986</v>
      </c>
      <c r="EL30" s="14">
        <f t="shared" si="45"/>
        <v>26.250693712468323</v>
      </c>
      <c r="EM30" s="22">
        <f t="shared" si="19"/>
        <v>214.69562221588228</v>
      </c>
      <c r="EN30" s="60">
        <f t="shared" si="20"/>
        <v>447.21346508844579</v>
      </c>
      <c r="EO30" s="60">
        <f ca="1">AVERAGE(OFFSET($EN$3,0,0,'Données projet'!$E$15+1,1))-AVERAGE(OFFSET($H$3,0,0,'Données projet'!$E$15+1,1))</f>
        <v>272.69564942740931</v>
      </c>
      <c r="EP30" s="60">
        <f t="shared" si="46"/>
        <v>316.57989180609252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0">
        <f t="shared" si="0"/>
        <v>417.68376972810944</v>
      </c>
      <c r="S31" s="60">
        <f ca="1">AVERAGE(OFFSET($R$3,0,0,'Données projet'!$E$9+1,1))-AVERAGE(OFFSET($H$3,0,0,'Données projet'!$E$9+1,1))</f>
        <v>469.67944008675863</v>
      </c>
      <c r="T31" s="60">
        <f t="shared" si="34"/>
        <v>266.11908070867173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0">
        <f t="shared" si="5"/>
        <v>439.18025065150329</v>
      </c>
      <c r="AN31" s="60">
        <f ca="1">AVERAGE(OFFSET($AM$3,0,0,'Données projet'!$E$10+1,1))-AVERAGE(OFFSET($H$3,0,0,'Données projet'!$E$10+1,1))</f>
        <v>516.30971934066179</v>
      </c>
      <c r="AO31" s="60">
        <f t="shared" si="36"/>
        <v>290.84286505723571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150.99999999999994</v>
      </c>
      <c r="BE31" s="14">
        <f>BD31*VLOOKUP('Données projet'!$B$11,Paramètres!$A$1:$I$89,3,0)*VLOOKUP('Données projet'!$B$11,Paramètres!$A$1:$I$89,5,0)</f>
        <v>110.71319999999996</v>
      </c>
      <c r="BF31" s="14">
        <f t="shared" si="37"/>
        <v>29.498956799987518</v>
      </c>
      <c r="BG31" s="22">
        <f t="shared" si="7"/>
        <v>244.20283975997816</v>
      </c>
      <c r="BH31" s="60">
        <f t="shared" si="8"/>
        <v>478.93430918196225</v>
      </c>
      <c r="BI31" s="60">
        <f ca="1">AVERAGE(OFFSET($BH$3,0,0,'Données projet'!$E$11+1,1))-AVERAGE(OFFSET($H$3,0,0,'Données projet'!$E$11+1,1))</f>
        <v>314.75847268052081</v>
      </c>
      <c r="BJ31" s="60">
        <f t="shared" si="38"/>
        <v>337.77701316755338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3.4425641025641025</v>
      </c>
      <c r="BY31" s="13">
        <f>IF('Données projet'!$A$114&gt;35,BY30+BX31-CG30,IF(A31&lt;'Données projet'!$A$114,$BV$205^A31,IF(A31='Données projet'!$A$114,'Données projet'!$B$114,BY30+BX31-CG30)))</f>
        <v>75.81172952673181</v>
      </c>
      <c r="BZ31" s="14">
        <f>BY31*VLOOKUP('Données projet'!$B$12,Paramètres!$A$1:$I$89,3,0)*VLOOKUP('Données projet'!$B$12,Paramètres!$A$1:$I$89,5,0)</f>
        <v>35.479889418510488</v>
      </c>
      <c r="CA31" s="14">
        <f t="shared" si="39"/>
        <v>10.7923591061602</v>
      </c>
      <c r="CB31" s="22">
        <f t="shared" si="10"/>
        <v>80.590832847134777</v>
      </c>
      <c r="CC31" s="60">
        <f t="shared" si="11"/>
        <v>315.32230226911884</v>
      </c>
      <c r="CD31" s="60">
        <f ca="1">AVERAGE(OFFSET($CC$3,0,0,'Données projet'!$E$12+1,1))-AVERAGE(OFFSET($H$3,0,0,'Données projet'!$E$12+1,1))</f>
        <v>277.77877239988635</v>
      </c>
      <c r="CE31" s="60">
        <f t="shared" si="40"/>
        <v>164.65640238394164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194.00000000000003</v>
      </c>
      <c r="CU31" s="18">
        <f>CT31*VLOOKUP('Données projet'!$B$13,Paramètres!$A$1:$I$89,3,0)*VLOOKUP('Données projet'!$B$13,Paramètres!$A$1:$I$89,5,0)</f>
        <v>175.53120000000001</v>
      </c>
      <c r="CV31" s="14">
        <f t="shared" si="41"/>
        <v>44.326510481422488</v>
      </c>
      <c r="CW31" s="22">
        <f t="shared" si="13"/>
        <v>382.9188457551441</v>
      </c>
      <c r="CX31" s="60">
        <f t="shared" si="14"/>
        <v>617.65031517712816</v>
      </c>
      <c r="CY31" s="60">
        <f ca="1">AVERAGE(OFFSET($CX$3,0,0,'Données projet'!$E$13+1,1))-AVERAGE(OFFSET($H$3,0,0,'Données projet'!$E$13+1,1))</f>
        <v>334.26876877415839</v>
      </c>
      <c r="CZ31" s="60">
        <f t="shared" si="42"/>
        <v>465.65761854152913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10.364102564102563</v>
      </c>
      <c r="DO31" s="13">
        <f>IF('Données projet'!$A$166&gt;35,DO30+DN31-DW30,IF(A31&lt;'Données projet'!$A$166,$DL$205^A31,IF(A31='Données projet'!$A$166,'Données projet'!$B$166,DO30+DN31-DW30)))</f>
        <v>124.14358974358976</v>
      </c>
      <c r="DP31" s="18">
        <f>DO31*VLOOKUP('Données projet'!$B$14,Paramètres!$A$1:$I$89,3,0)*VLOOKUP('Données projet'!$B$14,Paramètres!$A$1:$I$89,5,0)</f>
        <v>79.402240000000006</v>
      </c>
      <c r="DQ31" s="14">
        <f t="shared" si="43"/>
        <v>21.990964964984617</v>
      </c>
      <c r="DR31" s="22">
        <f t="shared" si="16"/>
        <v>176.59316531401487</v>
      </c>
      <c r="DS31" s="60">
        <f t="shared" si="17"/>
        <v>411.32463473599898</v>
      </c>
      <c r="DT31" s="60">
        <f ca="1">AVERAGE(OFFSET($DS$3,0,0,'Données projet'!$E$14+1,1))-AVERAGE(OFFSET($H$3,0,0,'Données projet'!$E$14+1,1))</f>
        <v>285.09561428624352</v>
      </c>
      <c r="DU31" s="60">
        <f t="shared" si="44"/>
        <v>261.05678516705564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8.8000000000000007</v>
      </c>
      <c r="EJ31" s="13">
        <f>IF('Données projet'!$A$192&gt;35,EJ30+EI31-ER30,IF(A31&lt;'Données projet'!$A$192,$EG$205^A31,IF(A31='Données projet'!$A$192,'Données projet'!$B$192,EJ30+EI31-ER30)))</f>
        <v>128.39999999999998</v>
      </c>
      <c r="EK31" s="18">
        <f>EJ31*VLOOKUP('Données projet'!$B$15,Paramètres!$A$1:$I$89,3,0)*VLOOKUP('Données projet'!$B$15,Paramètres!$A$1:$I$89,5,0)</f>
        <v>104.15807999999998</v>
      </c>
      <c r="EL31" s="14">
        <f t="shared" si="45"/>
        <v>27.950241801489337</v>
      </c>
      <c r="EM31" s="22">
        <f t="shared" si="19"/>
        <v>230.08866047092724</v>
      </c>
      <c r="EN31" s="60">
        <f t="shared" si="20"/>
        <v>464.82012989291132</v>
      </c>
      <c r="EO31" s="60">
        <f ca="1">AVERAGE(OFFSET($EN$3,0,0,'Données projet'!$E$15+1,1))-AVERAGE(OFFSET($H$3,0,0,'Données projet'!$E$15+1,1))</f>
        <v>272.69564942740931</v>
      </c>
      <c r="EP31" s="60">
        <f t="shared" si="46"/>
        <v>316.57989180609252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0">
        <f t="shared" si="0"/>
        <v>433.58763209221468</v>
      </c>
      <c r="S32" s="60">
        <f ca="1">AVERAGE(OFFSET($R$3,0,0,'Données projet'!$E$9+1,1))-AVERAGE(OFFSET($H$3,0,0,'Données projet'!$E$9+1,1))</f>
        <v>469.67944008675863</v>
      </c>
      <c r="T32" s="60">
        <f t="shared" si="34"/>
        <v>266.11908070867173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0">
        <f t="shared" si="5"/>
        <v>456.69893943145496</v>
      </c>
      <c r="AN32" s="60">
        <f ca="1">AVERAGE(OFFSET($AM$3,0,0,'Données projet'!$E$10+1,1))-AVERAGE(OFFSET($H$3,0,0,'Données projet'!$E$10+1,1))</f>
        <v>516.30971934066179</v>
      </c>
      <c r="AO32" s="60">
        <f t="shared" si="36"/>
        <v>290.84286505723571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162.99999999999994</v>
      </c>
      <c r="BE32" s="14">
        <f>BD32*VLOOKUP('Données projet'!$B$11,Paramètres!$A$1:$I$89,3,0)*VLOOKUP('Données projet'!$B$11,Paramètres!$A$1:$I$89,5,0)</f>
        <v>119.51159999999996</v>
      </c>
      <c r="BF32" s="14">
        <f t="shared" si="37"/>
        <v>31.561060990985474</v>
      </c>
      <c r="BG32" s="22">
        <f t="shared" si="7"/>
        <v>263.11821789263291</v>
      </c>
      <c r="BH32" s="60">
        <f t="shared" si="8"/>
        <v>500.04611521540875</v>
      </c>
      <c r="BI32" s="60">
        <f ca="1">AVERAGE(OFFSET($BH$3,0,0,'Données projet'!$E$11+1,1))-AVERAGE(OFFSET($H$3,0,0,'Données projet'!$E$11+1,1))</f>
        <v>314.75847268052081</v>
      </c>
      <c r="BJ32" s="60">
        <f t="shared" si="38"/>
        <v>337.77701316755338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3.4425641025641025</v>
      </c>
      <c r="BY32" s="13">
        <f>IF('Données projet'!$A$114&gt;35,BY31+BX32-CG31,IF(A32&lt;'Données projet'!$A$114,$BV$205^A32,IF(A32='Données projet'!$A$114,'Données projet'!$B$114,BY31+BX32-CG31)))</f>
        <v>88.485039179856727</v>
      </c>
      <c r="BZ32" s="14">
        <f>BY32*VLOOKUP('Données projet'!$B$12,Paramètres!$A$1:$I$89,3,0)*VLOOKUP('Données projet'!$B$12,Paramètres!$A$1:$I$89,5,0)</f>
        <v>41.410998336172952</v>
      </c>
      <c r="CA32" s="14">
        <f t="shared" si="39"/>
        <v>12.371874273168087</v>
      </c>
      <c r="CB32" s="22">
        <f t="shared" si="10"/>
        <v>93.671836461268967</v>
      </c>
      <c r="CC32" s="60">
        <f t="shared" si="11"/>
        <v>330.59973378404482</v>
      </c>
      <c r="CD32" s="60">
        <f ca="1">AVERAGE(OFFSET($CC$3,0,0,'Données projet'!$E$12+1,1))-AVERAGE(OFFSET($H$3,0,0,'Données projet'!$E$12+1,1))</f>
        <v>277.77877239988635</v>
      </c>
      <c r="CE32" s="60">
        <f t="shared" si="40"/>
        <v>164.65640238394164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201.00000000000003</v>
      </c>
      <c r="CU32" s="18">
        <f>CT32*VLOOKUP('Données projet'!$B$13,Paramètres!$A$1:$I$89,3,0)*VLOOKUP('Données projet'!$B$13,Paramètres!$A$1:$I$89,5,0)</f>
        <v>181.86480000000003</v>
      </c>
      <c r="CV32" s="14">
        <f t="shared" si="41"/>
        <v>45.73682061391029</v>
      </c>
      <c r="CW32" s="22">
        <f t="shared" si="13"/>
        <v>396.40615590256044</v>
      </c>
      <c r="CX32" s="60">
        <f t="shared" si="14"/>
        <v>633.33405322533622</v>
      </c>
      <c r="CY32" s="60">
        <f ca="1">AVERAGE(OFFSET($CX$3,0,0,'Données projet'!$E$13+1,1))-AVERAGE(OFFSET($H$3,0,0,'Données projet'!$E$13+1,1))</f>
        <v>334.26876877415839</v>
      </c>
      <c r="CZ32" s="60">
        <f t="shared" si="42"/>
        <v>465.65761854152913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10.364102564102563</v>
      </c>
      <c r="DO32" s="13">
        <f>IF('Données projet'!$A$166&gt;35,DO31+DN32-DW31,IF(A32&lt;'Données projet'!$A$166,$DL$205^A32,IF(A32='Données projet'!$A$166,'Données projet'!$B$166,DO31+DN32-DW31)))</f>
        <v>134.50769230769231</v>
      </c>
      <c r="DP32" s="18">
        <f>DO32*VLOOKUP('Données projet'!$B$14,Paramètres!$A$1:$I$89,3,0)*VLOOKUP('Données projet'!$B$14,Paramètres!$A$1:$I$89,5,0)</f>
        <v>86.031120000000001</v>
      </c>
      <c r="DQ32" s="14">
        <f t="shared" si="43"/>
        <v>23.605528735299998</v>
      </c>
      <c r="DR32" s="22">
        <f t="shared" si="16"/>
        <v>190.95049654731417</v>
      </c>
      <c r="DS32" s="60">
        <f t="shared" si="17"/>
        <v>427.87839387009001</v>
      </c>
      <c r="DT32" s="60">
        <f ca="1">AVERAGE(OFFSET($DS$3,0,0,'Données projet'!$E$14+1,1))-AVERAGE(OFFSET($H$3,0,0,'Données projet'!$E$14+1,1))</f>
        <v>285.09561428624352</v>
      </c>
      <c r="DU32" s="60">
        <f t="shared" si="44"/>
        <v>261.05678516705564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8.8000000000000007</v>
      </c>
      <c r="EJ32" s="13">
        <f>IF('Données projet'!$A$192&gt;35,EJ31+EI32-ER31,IF(A32&lt;'Données projet'!$A$192,$EG$205^A32,IF(A32='Données projet'!$A$192,'Données projet'!$B$192,EJ31+EI32-ER31)))</f>
        <v>137.19999999999999</v>
      </c>
      <c r="EK32" s="18">
        <f>EJ32*VLOOKUP('Données projet'!$B$15,Paramètres!$A$1:$I$89,3,0)*VLOOKUP('Données projet'!$B$15,Paramètres!$A$1:$I$89,5,0)</f>
        <v>111.29664</v>
      </c>
      <c r="EL32" s="14">
        <f t="shared" si="45"/>
        <v>29.636274399319777</v>
      </c>
      <c r="EM32" s="22">
        <f t="shared" si="19"/>
        <v>245.45815924548194</v>
      </c>
      <c r="EN32" s="60">
        <f t="shared" si="20"/>
        <v>482.3860565682578</v>
      </c>
      <c r="EO32" s="60">
        <f ca="1">AVERAGE(OFFSET($EN$3,0,0,'Données projet'!$E$15+1,1))-AVERAGE(OFFSET($H$3,0,0,'Données projet'!$E$15+1,1))</f>
        <v>272.69564942740931</v>
      </c>
      <c r="EP32" s="60">
        <f t="shared" si="46"/>
        <v>316.57989180609252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0">
        <f t="shared" si="0"/>
        <v>449.45241404200505</v>
      </c>
      <c r="S33" s="60">
        <f ca="1">AVERAGE(OFFSET($R$3,0,0,'Données projet'!$E$9+1,1))-AVERAGE(OFFSET($H$3,0,0,'Données projet'!$E$9+1,1))</f>
        <v>469.67944008675863</v>
      </c>
      <c r="T33" s="60">
        <f t="shared" si="34"/>
        <v>266.11908070867173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0">
        <f t="shared" si="5"/>
        <v>474.17619839056903</v>
      </c>
      <c r="AN33" s="60">
        <f ca="1">AVERAGE(OFFSET($AM$3,0,0,'Données projet'!$E$10+1,1))-AVERAGE(OFFSET($H$3,0,0,'Données projet'!$E$10+1,1))</f>
        <v>516.30971934066179</v>
      </c>
      <c r="AO33" s="60">
        <f t="shared" si="36"/>
        <v>290.84286505723571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174.99999999999994</v>
      </c>
      <c r="BE33" s="14">
        <f>BD33*VLOOKUP('Données projet'!$B$11,Paramètres!$A$1:$I$89,3,0)*VLOOKUP('Données projet'!$B$11,Paramètres!$A$1:$I$89,5,0)</f>
        <v>128.30999999999997</v>
      </c>
      <c r="BF33" s="14">
        <f t="shared" si="37"/>
        <v>33.605553053308043</v>
      </c>
      <c r="BG33" s="22">
        <f t="shared" si="7"/>
        <v>282.00292156784479</v>
      </c>
      <c r="BH33" s="60">
        <f t="shared" si="8"/>
        <v>521.11034650088675</v>
      </c>
      <c r="BI33" s="60">
        <f ca="1">AVERAGE(OFFSET($BH$3,0,0,'Données projet'!$E$11+1,1))-AVERAGE(OFFSET($H$3,0,0,'Données projet'!$E$11+1,1))</f>
        <v>314.75847268052081</v>
      </c>
      <c r="BJ33" s="60">
        <f t="shared" si="38"/>
        <v>337.77701316755338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103.27692307692307</v>
      </c>
      <c r="BW33" s="13">
        <f>VLOOKUP(A33,'Données projet'!$A$113:$I$133,9,0)</f>
        <v>3.4425641025641025</v>
      </c>
      <c r="BX33" s="13">
        <f t="array" ref="BX33">INDEX(BW:BW,MIN(IF(ISNUMBER(BW33:BW229),ROW(BW33:BW229),"")))</f>
        <v>3.4425641025641025</v>
      </c>
      <c r="BY33" s="13">
        <f>IF('Données projet'!$A$114&gt;35,BY32+BX33-CG32,IF(A33&lt;'Données projet'!$A$114,$BV$205^A33,IF(A33='Données projet'!$A$114,'Données projet'!$B$114,BY32+BX33-CG32)))</f>
        <v>103.27692307692307</v>
      </c>
      <c r="BZ33" s="14">
        <f>BY33*VLOOKUP('Données projet'!$B$12,Paramètres!$A$1:$I$89,3,0)*VLOOKUP('Données projet'!$B$12,Paramètres!$A$1:$I$89,5,0)</f>
        <v>48.333599999999997</v>
      </c>
      <c r="CA33" s="14">
        <f t="shared" si="39"/>
        <v>14.182559301951969</v>
      </c>
      <c r="CB33" s="22">
        <f t="shared" si="10"/>
        <v>108.88231078423301</v>
      </c>
      <c r="CC33" s="60">
        <f t="shared" si="11"/>
        <v>347.98973571727498</v>
      </c>
      <c r="CD33" s="60">
        <f ca="1">AVERAGE(OFFSET($CC$3,0,0,'Données projet'!$E$12+1,1))-AVERAGE(OFFSET($H$3,0,0,'Données projet'!$E$12+1,1))</f>
        <v>277.77877239988635</v>
      </c>
      <c r="CE33" s="60">
        <f t="shared" si="40"/>
        <v>164.65640238394164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208.00000000000003</v>
      </c>
      <c r="CU33" s="18">
        <f>CT33*VLOOKUP('Données projet'!$B$13,Paramètres!$A$1:$I$89,3,0)*VLOOKUP('Données projet'!$B$13,Paramètres!$A$1:$I$89,5,0)</f>
        <v>188.19840000000002</v>
      </c>
      <c r="CV33" s="14">
        <f t="shared" si="41"/>
        <v>47.141424081428013</v>
      </c>
      <c r="CW33" s="22">
        <f t="shared" si="13"/>
        <v>409.88352694182049</v>
      </c>
      <c r="CX33" s="60">
        <f t="shared" si="14"/>
        <v>648.9909518748625</v>
      </c>
      <c r="CY33" s="60">
        <f ca="1">AVERAGE(OFFSET($CX$3,0,0,'Données projet'!$E$13+1,1))-AVERAGE(OFFSET($H$3,0,0,'Données projet'!$E$13+1,1))</f>
        <v>334.26876877415839</v>
      </c>
      <c r="CZ33" s="60">
        <f t="shared" si="42"/>
        <v>465.65761854152913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144.87179487179486</v>
      </c>
      <c r="DM33" s="13">
        <f>VLOOKUP(A33,'Données projet'!$A$165:$I$185,9,0)</f>
        <v>10.364102564102563</v>
      </c>
      <c r="DN33" s="13">
        <f t="array" ref="DN33">INDEX(DM:DM,MIN(IF(ISNUMBER(DM33:DM229),ROW(DM33:DM229),"")))</f>
        <v>10.364102564102563</v>
      </c>
      <c r="DO33" s="13">
        <f>IF('Données projet'!$A$166&gt;35,DO32+DN33-DW32,IF(A33&lt;'Données projet'!$A$166,$DL$205^A33,IF(A33='Données projet'!$A$166,'Données projet'!$B$166,DO32+DN33-DW32)))</f>
        <v>144.87179487179486</v>
      </c>
      <c r="DP33" s="18">
        <f>DO33*VLOOKUP('Données projet'!$B$14,Paramètres!$A$1:$I$89,3,0)*VLOOKUP('Données projet'!$B$14,Paramètres!$A$1:$I$89,5,0)</f>
        <v>92.66</v>
      </c>
      <c r="DQ33" s="14">
        <f t="shared" si="43"/>
        <v>25.205661378381041</v>
      </c>
      <c r="DR33" s="22">
        <f t="shared" si="16"/>
        <v>205.28269356734697</v>
      </c>
      <c r="DS33" s="60">
        <f t="shared" si="17"/>
        <v>444.39011850038895</v>
      </c>
      <c r="DT33" s="60">
        <f ca="1">AVERAGE(OFFSET($DS$3,0,0,'Données projet'!$E$14+1,1))-AVERAGE(OFFSET($H$3,0,0,'Données projet'!$E$14+1,1))</f>
        <v>285.09561428624352</v>
      </c>
      <c r="DU33" s="60">
        <f t="shared" si="44"/>
        <v>261.05678516705564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146</v>
      </c>
      <c r="EH33" s="13">
        <f>VLOOKUP(A33,'Données projet'!$A$191:$I$211,9,0)</f>
        <v>8.8000000000000007</v>
      </c>
      <c r="EI33" s="13">
        <f t="array" ref="EI33">INDEX(EH:EH,MIN(IF(ISNUMBER(EH33:EH229),ROW(EH33:EH229),"")))</f>
        <v>8.8000000000000007</v>
      </c>
      <c r="EJ33" s="13">
        <f>IF('Données projet'!$A$192&gt;35,EJ32+EI33-ER32,IF(A33&lt;'Données projet'!$A$192,$EG$205^A33,IF(A33='Données projet'!$A$192,'Données projet'!$B$192,EJ32+EI33-ER32)))</f>
        <v>146</v>
      </c>
      <c r="EK33" s="18">
        <f>EJ33*VLOOKUP('Données projet'!$B$15,Paramètres!$A$1:$I$89,3,0)*VLOOKUP('Données projet'!$B$15,Paramètres!$A$1:$I$89,5,0)</f>
        <v>118.43520000000001</v>
      </c>
      <c r="EL33" s="14">
        <f t="shared" si="45"/>
        <v>31.309757056296963</v>
      </c>
      <c r="EM33" s="22">
        <f t="shared" si="19"/>
        <v>260.80580020638394</v>
      </c>
      <c r="EN33" s="60">
        <f t="shared" si="20"/>
        <v>499.91322513942589</v>
      </c>
      <c r="EO33" s="60">
        <f ca="1">AVERAGE(OFFSET($EN$3,0,0,'Données projet'!$E$15+1,1))-AVERAGE(OFFSET($H$3,0,0,'Données projet'!$E$15+1,1))</f>
        <v>272.69564942740931</v>
      </c>
      <c r="EP33" s="60">
        <f t="shared" si="46"/>
        <v>316.57989180609252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0">
        <f t="shared" si="0"/>
        <v>409.26889194888503</v>
      </c>
      <c r="S34" s="60">
        <f ca="1">AVERAGE(OFFSET($R$3,0,0,'Données projet'!$E$9+1,1))-AVERAGE(OFFSET($H$3,0,0,'Données projet'!$E$9+1,1))</f>
        <v>469.67944008675863</v>
      </c>
      <c r="T34" s="60">
        <f t="shared" si="34"/>
        <v>266.11908070867173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0">
        <f t="shared" si="5"/>
        <v>429.14799399548588</v>
      </c>
      <c r="AN34" s="60">
        <f ca="1">AVERAGE(OFFSET($AM$3,0,0,'Données projet'!$E$10+1,1))-AVERAGE(OFFSET($H$3,0,0,'Données projet'!$E$10+1,1))</f>
        <v>516.30971934066179</v>
      </c>
      <c r="AO34" s="60">
        <f t="shared" si="36"/>
        <v>290.84286505723571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129.59999999999994</v>
      </c>
      <c r="BE34" s="14">
        <f>BD34*VLOOKUP('Données projet'!$B$11,Paramètres!$A$1:$I$89,3,0)*VLOOKUP('Données projet'!$B$11,Paramètres!$A$1:$I$89,5,0)</f>
        <v>95.022719999999964</v>
      </c>
      <c r="BF34" s="14">
        <f t="shared" si="37"/>
        <v>25.772728965975034</v>
      </c>
      <c r="BG34" s="22">
        <f t="shared" si="7"/>
        <v>210.38540694907314</v>
      </c>
      <c r="BH34" s="60">
        <f t="shared" si="8"/>
        <v>450.4335301618907</v>
      </c>
      <c r="BI34" s="60">
        <f ca="1">AVERAGE(OFFSET($BH$3,0,0,'Données projet'!$E$11+1,1))-AVERAGE(OFFSET($H$3,0,0,'Données projet'!$E$11+1,1))</f>
        <v>314.75847268052081</v>
      </c>
      <c r="BJ34" s="60">
        <f t="shared" si="38"/>
        <v>337.77701316755338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8.9230769230769198</v>
      </c>
      <c r="BY34" s="13">
        <f>IF('Données projet'!$A$114&gt;35,BY33+BX34-CG33,IF(A34&lt;'Données projet'!$A$114,$BV$205^A34,IF(A34='Données projet'!$A$114,'Données projet'!$B$114,BY33+BX34-CG33)))</f>
        <v>112.19999999999999</v>
      </c>
      <c r="BZ34" s="14">
        <f>BY34*VLOOKUP('Données projet'!$B$12,Paramètres!$A$1:$I$89,3,0)*VLOOKUP('Données projet'!$B$12,Paramètres!$A$1:$I$89,5,0)</f>
        <v>52.509599999999999</v>
      </c>
      <c r="CA34" s="14">
        <f t="shared" si="39"/>
        <v>15.260016001659478</v>
      </c>
      <c r="CB34" s="22">
        <f t="shared" si="10"/>
        <v>118.03208120289025</v>
      </c>
      <c r="CC34" s="60">
        <f t="shared" si="11"/>
        <v>358.08020441570784</v>
      </c>
      <c r="CD34" s="60">
        <f ca="1">AVERAGE(OFFSET($CC$3,0,0,'Données projet'!$E$12+1,1))-AVERAGE(OFFSET($H$3,0,0,'Données projet'!$E$12+1,1))</f>
        <v>277.77877239988635</v>
      </c>
      <c r="CE34" s="60">
        <f t="shared" si="40"/>
        <v>164.65640238394164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5.6</v>
      </c>
      <c r="CT34" s="13">
        <f>IF('Données projet'!$A$140&gt;35,CT33+CS34-DB33,IF(A34&lt;'Données projet'!$A$140,$CQ$205^A34,IF(A34='Données projet'!$A$140,'Données projet'!$B$140,CT33+CS34-DB33)))</f>
        <v>193.60000000000002</v>
      </c>
      <c r="CU34" s="18">
        <f>CT34*VLOOKUP('Données projet'!$B$13,Paramètres!$A$1:$I$89,3,0)*VLOOKUP('Données projet'!$B$13,Paramètres!$A$1:$I$89,5,0)</f>
        <v>175.16928000000001</v>
      </c>
      <c r="CV34" s="14">
        <f t="shared" si="41"/>
        <v>44.245744278741803</v>
      </c>
      <c r="CW34" s="22">
        <f t="shared" si="13"/>
        <v>382.14783395214198</v>
      </c>
      <c r="CX34" s="60">
        <f t="shared" si="14"/>
        <v>622.19595716495951</v>
      </c>
      <c r="CY34" s="60">
        <f ca="1">AVERAGE(OFFSET($CX$3,0,0,'Données projet'!$E$13+1,1))-AVERAGE(OFFSET($H$3,0,0,'Données projet'!$E$13+1,1))</f>
        <v>334.26876877415839</v>
      </c>
      <c r="CZ34" s="60">
        <f t="shared" si="42"/>
        <v>465.65761854152913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7.9487179487179507</v>
      </c>
      <c r="DO34" s="13">
        <f>IF('Données projet'!$A$166&gt;35,DO33+DN34-DW33,IF(A34&lt;'Données projet'!$A$166,$DL$205^A34,IF(A34='Données projet'!$A$166,'Données projet'!$B$166,DO33+DN34-DW33)))</f>
        <v>152.82051282051282</v>
      </c>
      <c r="DP34" s="18">
        <f>DO34*VLOOKUP('Données projet'!$B$14,Paramètres!$A$1:$I$89,3,0)*VLOOKUP('Données projet'!$B$14,Paramètres!$A$1:$I$89,5,0)</f>
        <v>97.744</v>
      </c>
      <c r="DQ34" s="14">
        <f t="shared" si="43"/>
        <v>26.423824979823074</v>
      </c>
      <c r="DR34" s="22">
        <f t="shared" si="16"/>
        <v>216.25896183985853</v>
      </c>
      <c r="DS34" s="60">
        <f t="shared" si="17"/>
        <v>456.30708505267609</v>
      </c>
      <c r="DT34" s="60">
        <f ca="1">AVERAGE(OFFSET($DS$3,0,0,'Données projet'!$E$14+1,1))-AVERAGE(OFFSET($H$3,0,0,'Données projet'!$E$14+1,1))</f>
        <v>285.09561428624352</v>
      </c>
      <c r="DU34" s="60">
        <f t="shared" si="44"/>
        <v>261.05678516705564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8.8000000000000007</v>
      </c>
      <c r="EJ34" s="13">
        <f>IF('Données projet'!$A$192&gt;35,EJ33+EI34-ER33,IF(A34&lt;'Données projet'!$A$192,$EG$205^A34,IF(A34='Données projet'!$A$192,'Données projet'!$B$192,EJ33+EI34-ER33)))</f>
        <v>154.80000000000001</v>
      </c>
      <c r="EK34" s="18">
        <f>EJ34*VLOOKUP('Données projet'!$B$15,Paramètres!$A$1:$I$89,3,0)*VLOOKUP('Données projet'!$B$15,Paramètres!$A$1:$I$89,5,0)</f>
        <v>125.57376000000002</v>
      </c>
      <c r="EL34" s="14">
        <f t="shared" si="45"/>
        <v>32.97153235129214</v>
      </c>
      <c r="EM34" s="22">
        <f t="shared" si="19"/>
        <v>276.13305084516719</v>
      </c>
      <c r="EN34" s="60">
        <f t="shared" si="20"/>
        <v>516.18117405798478</v>
      </c>
      <c r="EO34" s="60">
        <f ca="1">AVERAGE(OFFSET($EN$3,0,0,'Données projet'!$E$15+1,1))-AVERAGE(OFFSET($H$3,0,0,'Données projet'!$E$15+1,1))</f>
        <v>272.69564942740931</v>
      </c>
      <c r="EP34" s="60">
        <f t="shared" si="46"/>
        <v>316.57989180609252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0">
        <f t="shared" si="0"/>
        <v>425.88443501855801</v>
      </c>
      <c r="S35" s="60">
        <f ca="1">AVERAGE(OFFSET($R$3,0,0,'Données projet'!$E$9+1,1))-AVERAGE(OFFSET($H$3,0,0,'Données projet'!$E$9+1,1))</f>
        <v>469.67944008675863</v>
      </c>
      <c r="T35" s="60">
        <f t="shared" si="34"/>
        <v>266.11908070867173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0">
        <f t="shared" si="5"/>
        <v>447.61175661610503</v>
      </c>
      <c r="AN35" s="60">
        <f ca="1">AVERAGE(OFFSET($AM$3,0,0,'Données projet'!$E$10+1,1))-AVERAGE(OFFSET($H$3,0,0,'Données projet'!$E$10+1,1))</f>
        <v>516.30971934066179</v>
      </c>
      <c r="AO35" s="60">
        <f t="shared" si="36"/>
        <v>290.84286505723571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140.19999999999993</v>
      </c>
      <c r="BE35" s="14">
        <f>BD35*VLOOKUP('Données projet'!$B$11,Paramètres!$A$1:$I$89,3,0)*VLOOKUP('Données projet'!$B$11,Paramètres!$A$1:$I$89,5,0)</f>
        <v>102.79463999999994</v>
      </c>
      <c r="BF35" s="14">
        <f t="shared" si="37"/>
        <v>27.62671020390955</v>
      </c>
      <c r="BG35" s="22">
        <f t="shared" si="7"/>
        <v>227.15051827180903</v>
      </c>
      <c r="BH35" s="60">
        <f t="shared" si="8"/>
        <v>468.12302075233436</v>
      </c>
      <c r="BI35" s="60">
        <f ca="1">AVERAGE(OFFSET($BH$3,0,0,'Données projet'!$E$11+1,1))-AVERAGE(OFFSET($H$3,0,0,'Données projet'!$E$11+1,1))</f>
        <v>314.75847268052081</v>
      </c>
      <c r="BJ35" s="60">
        <f t="shared" si="38"/>
        <v>337.77701316755338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8.9230769230769198</v>
      </c>
      <c r="BY35" s="13">
        <f>IF('Données projet'!$A$114&gt;35,BY34+BX35-CG34,IF(A35&lt;'Données projet'!$A$114,$BV$205^A35,IF(A35='Données projet'!$A$114,'Données projet'!$B$114,BY34+BX35-CG34)))</f>
        <v>121.12307692307691</v>
      </c>
      <c r="BZ35" s="14">
        <f>BY35*VLOOKUP('Données projet'!$B$12,Paramètres!$A$1:$I$89,3,0)*VLOOKUP('Données projet'!$B$12,Paramètres!$A$1:$I$89,5,0)</f>
        <v>56.685599999999994</v>
      </c>
      <c r="CA35" s="14">
        <f t="shared" si="39"/>
        <v>16.327533552386551</v>
      </c>
      <c r="CB35" s="22">
        <f t="shared" si="10"/>
        <v>127.16454093707324</v>
      </c>
      <c r="CC35" s="60">
        <f t="shared" si="11"/>
        <v>368.13704341759853</v>
      </c>
      <c r="CD35" s="60">
        <f ca="1">AVERAGE(OFFSET($CC$3,0,0,'Données projet'!$E$12+1,1))-AVERAGE(OFFSET($H$3,0,0,'Données projet'!$E$12+1,1))</f>
        <v>277.77877239988635</v>
      </c>
      <c r="CE35" s="60">
        <f t="shared" si="40"/>
        <v>164.65640238394164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5.6</v>
      </c>
      <c r="CT35" s="13">
        <f>IF('Données projet'!$A$140&gt;35,CT34+CS35-DB34,IF(A35&lt;'Données projet'!$A$140,$CQ$205^A35,IF(A35='Données projet'!$A$140,'Données projet'!$B$140,CT34+CS35-DB34)))</f>
        <v>199.20000000000002</v>
      </c>
      <c r="CU35" s="18">
        <f>CT35*VLOOKUP('Données projet'!$B$13,Paramètres!$A$1:$I$89,3,0)*VLOOKUP('Données projet'!$B$13,Paramètres!$A$1:$I$89,5,0)</f>
        <v>180.23616000000001</v>
      </c>
      <c r="CV35" s="14">
        <f t="shared" si="41"/>
        <v>45.374723405565916</v>
      </c>
      <c r="CW35" s="22">
        <f t="shared" si="13"/>
        <v>392.93895526469396</v>
      </c>
      <c r="CX35" s="60">
        <f t="shared" si="14"/>
        <v>633.91145774521931</v>
      </c>
      <c r="CY35" s="60">
        <f ca="1">AVERAGE(OFFSET($CX$3,0,0,'Données projet'!$E$13+1,1))-AVERAGE(OFFSET($H$3,0,0,'Données projet'!$E$13+1,1))</f>
        <v>334.26876877415839</v>
      </c>
      <c r="CZ35" s="60">
        <f t="shared" si="42"/>
        <v>465.65761854152913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7.9487179487179507</v>
      </c>
      <c r="DO35" s="13">
        <f>IF('Données projet'!$A$166&gt;35,DO34+DN35-DW34,IF(A35&lt;'Données projet'!$A$166,$DL$205^A35,IF(A35='Données projet'!$A$166,'Données projet'!$B$166,DO34+DN35-DW34)))</f>
        <v>160.76923076923077</v>
      </c>
      <c r="DP35" s="18">
        <f>DO35*VLOOKUP('Données projet'!$B$14,Paramètres!$A$1:$I$89,3,0)*VLOOKUP('Données projet'!$B$14,Paramètres!$A$1:$I$89,5,0)</f>
        <v>102.82799999999999</v>
      </c>
      <c r="DQ35" s="14">
        <f t="shared" si="43"/>
        <v>27.634632156690234</v>
      </c>
      <c r="DR35" s="22">
        <f t="shared" si="16"/>
        <v>227.22241767290214</v>
      </c>
      <c r="DS35" s="60">
        <f t="shared" si="17"/>
        <v>468.19492015342746</v>
      </c>
      <c r="DT35" s="60">
        <f ca="1">AVERAGE(OFFSET($DS$3,0,0,'Données projet'!$E$14+1,1))-AVERAGE(OFFSET($H$3,0,0,'Données projet'!$E$14+1,1))</f>
        <v>285.09561428624352</v>
      </c>
      <c r="DU35" s="60">
        <f t="shared" si="44"/>
        <v>261.05678516705564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8.8000000000000007</v>
      </c>
      <c r="EJ35" s="13">
        <f>IF('Données projet'!$A$192&gt;35,EJ34+EI35-ER34,IF(A35&lt;'Données projet'!$A$192,$EG$205^A35,IF(A35='Données projet'!$A$192,'Données projet'!$B$192,EJ34+EI35-ER34)))</f>
        <v>163.60000000000002</v>
      </c>
      <c r="EK35" s="18">
        <f>EJ35*VLOOKUP('Données projet'!$B$15,Paramètres!$A$1:$I$89,3,0)*VLOOKUP('Données projet'!$B$15,Paramètres!$A$1:$I$89,5,0)</f>
        <v>132.71232000000003</v>
      </c>
      <c r="EL35" s="14">
        <f t="shared" si="45"/>
        <v>34.622341655285041</v>
      </c>
      <c r="EM35" s="22">
        <f t="shared" si="19"/>
        <v>291.44120238295483</v>
      </c>
      <c r="EN35" s="60">
        <f t="shared" si="20"/>
        <v>532.41370486348012</v>
      </c>
      <c r="EO35" s="60">
        <f ca="1">AVERAGE(OFFSET($EN$3,0,0,'Données projet'!$E$15+1,1))-AVERAGE(OFFSET($H$3,0,0,'Données projet'!$E$15+1,1))</f>
        <v>272.69564942740931</v>
      </c>
      <c r="EP35" s="60">
        <f t="shared" si="46"/>
        <v>316.57989180609252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0">
        <f t="shared" si="0"/>
        <v>442.45283997482329</v>
      </c>
      <c r="S36" s="60">
        <f ca="1">AVERAGE(OFFSET($R$3,0,0,'Données projet'!$E$9+1,1))-AVERAGE(OFFSET($H$3,0,0,'Données projet'!$E$9+1,1))</f>
        <v>469.67944008675863</v>
      </c>
      <c r="T36" s="60">
        <f t="shared" si="34"/>
        <v>266.11908070867173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0">
        <f t="shared" si="5"/>
        <v>466.02508665518945</v>
      </c>
      <c r="AN36" s="60">
        <f ca="1">AVERAGE(OFFSET($AM$3,0,0,'Données projet'!$E$10+1,1))-AVERAGE(OFFSET($H$3,0,0,'Données projet'!$E$10+1,1))</f>
        <v>516.30971934066179</v>
      </c>
      <c r="AO36" s="60">
        <f t="shared" si="36"/>
        <v>290.84286505723571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150.79999999999993</v>
      </c>
      <c r="BE36" s="14">
        <f>BD36*VLOOKUP('Données projet'!$B$11,Paramètres!$A$1:$I$89,3,0)*VLOOKUP('Données projet'!$B$11,Paramètres!$A$1:$I$89,5,0)</f>
        <v>110.56655999999994</v>
      </c>
      <c r="BF36" s="14">
        <f t="shared" si="37"/>
        <v>29.464430590067003</v>
      </c>
      <c r="BG36" s="22">
        <f t="shared" si="7"/>
        <v>243.88730861103326</v>
      </c>
      <c r="BH36" s="60">
        <f t="shared" si="8"/>
        <v>485.768154445574</v>
      </c>
      <c r="BI36" s="60">
        <f ca="1">AVERAGE(OFFSET($BH$3,0,0,'Données projet'!$E$11+1,1))-AVERAGE(OFFSET($H$3,0,0,'Données projet'!$E$11+1,1))</f>
        <v>314.75847268052081</v>
      </c>
      <c r="BJ36" s="60">
        <f t="shared" si="38"/>
        <v>337.77701316755338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8.9230769230769198</v>
      </c>
      <c r="BY36" s="13">
        <f>IF('Données projet'!$A$114&gt;35,BY35+BX36-CG35,IF(A36&lt;'Données projet'!$A$114,$BV$205^A36,IF(A36='Données projet'!$A$114,'Données projet'!$B$114,BY35+BX36-CG35)))</f>
        <v>130.04615384615383</v>
      </c>
      <c r="BZ36" s="14">
        <f>BY36*VLOOKUP('Données projet'!$B$12,Paramètres!$A$1:$I$89,3,0)*VLOOKUP('Données projet'!$B$12,Paramètres!$A$1:$I$89,5,0)</f>
        <v>60.861599999999989</v>
      </c>
      <c r="CA36" s="14">
        <f t="shared" si="39"/>
        <v>17.385927430951966</v>
      </c>
      <c r="CB36" s="22">
        <f t="shared" si="10"/>
        <v>136.28111027557466</v>
      </c>
      <c r="CC36" s="60">
        <f t="shared" si="11"/>
        <v>378.1619561101154</v>
      </c>
      <c r="CD36" s="60">
        <f ca="1">AVERAGE(OFFSET($CC$3,0,0,'Données projet'!$E$12+1,1))-AVERAGE(OFFSET($H$3,0,0,'Données projet'!$E$12+1,1))</f>
        <v>277.77877239988635</v>
      </c>
      <c r="CE36" s="60">
        <f t="shared" si="40"/>
        <v>164.65640238394164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5.6</v>
      </c>
      <c r="CT36" s="13">
        <f>IF('Données projet'!$A$140&gt;35,CT35+CS36-DB35,IF(A36&lt;'Données projet'!$A$140,$CQ$205^A36,IF(A36='Données projet'!$A$140,'Données projet'!$B$140,CT35+CS36-DB35)))</f>
        <v>204.8</v>
      </c>
      <c r="CU36" s="18">
        <f>CT36*VLOOKUP('Données projet'!$B$13,Paramètres!$A$1:$I$89,3,0)*VLOOKUP('Données projet'!$B$13,Paramètres!$A$1:$I$89,5,0)</f>
        <v>185.30303999999998</v>
      </c>
      <c r="CV36" s="14">
        <f t="shared" si="41"/>
        <v>46.500013710710547</v>
      </c>
      <c r="CW36" s="22">
        <f t="shared" si="13"/>
        <v>403.72365187948748</v>
      </c>
      <c r="CX36" s="60">
        <f t="shared" si="14"/>
        <v>645.60449771402818</v>
      </c>
      <c r="CY36" s="60">
        <f ca="1">AVERAGE(OFFSET($CX$3,0,0,'Données projet'!$E$13+1,1))-AVERAGE(OFFSET($H$3,0,0,'Données projet'!$E$13+1,1))</f>
        <v>334.26876877415839</v>
      </c>
      <c r="CZ36" s="60">
        <f t="shared" si="42"/>
        <v>465.65761854152913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7.9487179487179507</v>
      </c>
      <c r="DO36" s="13">
        <f>IF('Données projet'!$A$166&gt;35,DO35+DN36-DW35,IF(A36&lt;'Données projet'!$A$166,$DL$205^A36,IF(A36='Données projet'!$A$166,'Données projet'!$B$166,DO35+DN36-DW35)))</f>
        <v>168.71794871794873</v>
      </c>
      <c r="DP36" s="18">
        <f>DO36*VLOOKUP('Données projet'!$B$14,Paramètres!$A$1:$I$89,3,0)*VLOOKUP('Données projet'!$B$14,Paramètres!$A$1:$I$89,5,0)</f>
        <v>107.91200000000002</v>
      </c>
      <c r="DQ36" s="14">
        <f t="shared" si="43"/>
        <v>28.838488132021631</v>
      </c>
      <c r="DR36" s="22">
        <f t="shared" si="16"/>
        <v>238.17376682993768</v>
      </c>
      <c r="DS36" s="60">
        <f t="shared" si="17"/>
        <v>480.05461266447844</v>
      </c>
      <c r="DT36" s="60">
        <f ca="1">AVERAGE(OFFSET($DS$3,0,0,'Données projet'!$E$14+1,1))-AVERAGE(OFFSET($H$3,0,0,'Données projet'!$E$14+1,1))</f>
        <v>285.09561428624352</v>
      </c>
      <c r="DU36" s="60">
        <f t="shared" si="44"/>
        <v>261.05678516705564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8.8000000000000007</v>
      </c>
      <c r="EJ36" s="13">
        <f>IF('Données projet'!$A$192&gt;35,EJ35+EI36-ER35,IF(A36&lt;'Données projet'!$A$192,$EG$205^A36,IF(A36='Données projet'!$A$192,'Données projet'!$B$192,EJ35+EI36-ER35)))</f>
        <v>172.40000000000003</v>
      </c>
      <c r="EK36" s="18">
        <f>EJ36*VLOOKUP('Données projet'!$B$15,Paramètres!$A$1:$I$89,3,0)*VLOOKUP('Données projet'!$B$15,Paramètres!$A$1:$I$89,5,0)</f>
        <v>139.85088000000005</v>
      </c>
      <c r="EL36" s="14">
        <f t="shared" si="45"/>
        <v>36.262842078476233</v>
      </c>
      <c r="EM36" s="22">
        <f t="shared" si="19"/>
        <v>306.7313992866795</v>
      </c>
      <c r="EN36" s="60">
        <f t="shared" si="20"/>
        <v>548.61224512122021</v>
      </c>
      <c r="EO36" s="60">
        <f ca="1">AVERAGE(OFFSET($EN$3,0,0,'Données projet'!$E$15+1,1))-AVERAGE(OFFSET($H$3,0,0,'Données projet'!$E$15+1,1))</f>
        <v>272.69564942740931</v>
      </c>
      <c r="EP36" s="60">
        <f t="shared" si="46"/>
        <v>316.57989180609252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0">
        <f t="shared" si="0"/>
        <v>458.97715606387533</v>
      </c>
      <c r="S37" s="60">
        <f ca="1">AVERAGE(OFFSET($R$3,0,0,'Données projet'!$E$9+1,1))-AVERAGE(OFFSET($H$3,0,0,'Données projet'!$E$9+1,1))</f>
        <v>469.67944008675863</v>
      </c>
      <c r="T37" s="60">
        <f t="shared" si="34"/>
        <v>266.11908070867173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0">
        <f t="shared" si="5"/>
        <v>484.39132688046732</v>
      </c>
      <c r="AN37" s="60">
        <f ca="1">AVERAGE(OFFSET($AM$3,0,0,'Données projet'!$E$10+1,1))-AVERAGE(OFFSET($H$3,0,0,'Données projet'!$E$10+1,1))</f>
        <v>516.30971934066179</v>
      </c>
      <c r="AO37" s="60">
        <f t="shared" si="36"/>
        <v>290.84286505723571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161.39999999999992</v>
      </c>
      <c r="BE37" s="14">
        <f>BD37*VLOOKUP('Données projet'!$B$11,Paramètres!$A$1:$I$89,3,0)*VLOOKUP('Données projet'!$B$11,Paramètres!$A$1:$I$89,5,0)</f>
        <v>118.33847999999995</v>
      </c>
      <c r="BF37" s="14">
        <f t="shared" si="37"/>
        <v>31.287163138599794</v>
      </c>
      <c r="BG37" s="22">
        <f t="shared" si="7"/>
        <v>260.59799513306115</v>
      </c>
      <c r="BH37" s="60">
        <f t="shared" si="8"/>
        <v>503.37142659517673</v>
      </c>
      <c r="BI37" s="60">
        <f ca="1">AVERAGE(OFFSET($BH$3,0,0,'Données projet'!$E$11+1,1))-AVERAGE(OFFSET($H$3,0,0,'Données projet'!$E$11+1,1))</f>
        <v>314.75847268052081</v>
      </c>
      <c r="BJ37" s="60">
        <f t="shared" si="38"/>
        <v>337.77701316755338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8.9230769230769198</v>
      </c>
      <c r="BY37" s="13">
        <f>IF('Données projet'!$A$114&gt;35,BY36+BX37-CG36,IF(A37&lt;'Données projet'!$A$114,$BV$205^A37,IF(A37='Données projet'!$A$114,'Données projet'!$B$114,BY36+BX37-CG36)))</f>
        <v>138.96923076923076</v>
      </c>
      <c r="BZ37" s="14">
        <f>BY37*VLOOKUP('Données projet'!$B$12,Paramètres!$A$1:$I$89,3,0)*VLOOKUP('Données projet'!$B$12,Paramètres!$A$1:$I$89,5,0)</f>
        <v>65.037599999999998</v>
      </c>
      <c r="CA37" s="14">
        <f t="shared" si="39"/>
        <v>18.435894871955274</v>
      </c>
      <c r="CB37" s="22">
        <f t="shared" si="10"/>
        <v>145.38300356865543</v>
      </c>
      <c r="CC37" s="60">
        <f t="shared" si="11"/>
        <v>388.15643503077104</v>
      </c>
      <c r="CD37" s="60">
        <f ca="1">AVERAGE(OFFSET($CC$3,0,0,'Données projet'!$E$12+1,1))-AVERAGE(OFFSET($H$3,0,0,'Données projet'!$E$12+1,1))</f>
        <v>277.77877239988635</v>
      </c>
      <c r="CE37" s="60">
        <f t="shared" si="40"/>
        <v>164.65640238394164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5.6</v>
      </c>
      <c r="CT37" s="13">
        <f>IF('Données projet'!$A$140&gt;35,CT36+CS37-DB36,IF(A37&lt;'Données projet'!$A$140,$CQ$205^A37,IF(A37='Données projet'!$A$140,'Données projet'!$B$140,CT36+CS37-DB36)))</f>
        <v>210.4</v>
      </c>
      <c r="CU37" s="18">
        <f>CT37*VLOOKUP('Données projet'!$B$13,Paramètres!$A$1:$I$89,3,0)*VLOOKUP('Données projet'!$B$13,Paramètres!$A$1:$I$89,5,0)</f>
        <v>190.36992000000001</v>
      </c>
      <c r="CV37" s="14">
        <f t="shared" si="41"/>
        <v>47.621727650589136</v>
      </c>
      <c r="CW37" s="22">
        <f t="shared" si="13"/>
        <v>414.50211965810939</v>
      </c>
      <c r="CX37" s="60">
        <f t="shared" si="14"/>
        <v>657.27555112022492</v>
      </c>
      <c r="CY37" s="60">
        <f ca="1">AVERAGE(OFFSET($CX$3,0,0,'Données projet'!$E$13+1,1))-AVERAGE(OFFSET($H$3,0,0,'Données projet'!$E$13+1,1))</f>
        <v>334.26876877415839</v>
      </c>
      <c r="CZ37" s="60">
        <f t="shared" si="42"/>
        <v>465.65761854152913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7.9487179487179507</v>
      </c>
      <c r="DO37" s="13">
        <f>IF('Données projet'!$A$166&gt;35,DO36+DN37-DW36,IF(A37&lt;'Données projet'!$A$166,$DL$205^A37,IF(A37='Données projet'!$A$166,'Données projet'!$B$166,DO36+DN37-DW36)))</f>
        <v>176.66666666666669</v>
      </c>
      <c r="DP37" s="18">
        <f>DO37*VLOOKUP('Données projet'!$B$14,Paramètres!$A$1:$I$89,3,0)*VLOOKUP('Données projet'!$B$14,Paramètres!$A$1:$I$89,5,0)</f>
        <v>112.99600000000001</v>
      </c>
      <c r="DQ37" s="14">
        <f t="shared" si="43"/>
        <v>30.035757789076975</v>
      </c>
      <c r="DR37" s="22">
        <f t="shared" si="16"/>
        <v>249.11364481597573</v>
      </c>
      <c r="DS37" s="60">
        <f t="shared" si="17"/>
        <v>491.88707627809129</v>
      </c>
      <c r="DT37" s="60">
        <f ca="1">AVERAGE(OFFSET($DS$3,0,0,'Données projet'!$E$14+1,1))-AVERAGE(OFFSET($H$3,0,0,'Données projet'!$E$14+1,1))</f>
        <v>285.09561428624352</v>
      </c>
      <c r="DU37" s="60">
        <f t="shared" si="44"/>
        <v>261.05678516705564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8.8000000000000007</v>
      </c>
      <c r="EJ37" s="13">
        <f>IF('Données projet'!$A$192&gt;35,EJ36+EI37-ER36,IF(A37&lt;'Données projet'!$A$192,$EG$205^A37,IF(A37='Données projet'!$A$192,'Données projet'!$B$192,EJ36+EI37-ER36)))</f>
        <v>181.20000000000005</v>
      </c>
      <c r="EK37" s="18">
        <f>EJ37*VLOOKUP('Données projet'!$B$15,Paramètres!$A$1:$I$89,3,0)*VLOOKUP('Données projet'!$B$15,Paramètres!$A$1:$I$89,5,0)</f>
        <v>146.98944000000006</v>
      </c>
      <c r="EL37" s="14">
        <f t="shared" si="45"/>
        <v>37.893619858723746</v>
      </c>
      <c r="EM37" s="22">
        <f t="shared" si="19"/>
        <v>322.00466258727732</v>
      </c>
      <c r="EN37" s="60">
        <f t="shared" si="20"/>
        <v>564.77809404939285</v>
      </c>
      <c r="EO37" s="60">
        <f ca="1">AVERAGE(OFFSET($EN$3,0,0,'Données projet'!$E$15+1,1))-AVERAGE(OFFSET($H$3,0,0,'Données projet'!$E$15+1,1))</f>
        <v>272.69564942740931</v>
      </c>
      <c r="EP37" s="60">
        <f t="shared" si="46"/>
        <v>316.57989180609252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475.45999389040423</v>
      </c>
      <c r="S38" s="60">
        <f ca="1">AVERAGE(OFFSET($R$3,0,0,'Données projet'!$E$9+1,1))-AVERAGE(OFFSET($H$3,0,0,'Données projet'!$E$9+1,1))</f>
        <v>469.67944008675863</v>
      </c>
      <c r="T38" s="60">
        <f t="shared" si="34"/>
        <v>266.11908070867173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0">
        <f t="shared" si="5"/>
        <v>502.71333546669905</v>
      </c>
      <c r="AN38" s="60">
        <f ca="1">AVERAGE(OFFSET($AM$3,0,0,'Données projet'!$E$10+1,1))-AVERAGE(OFFSET($H$3,0,0,'Données projet'!$E$10+1,1))</f>
        <v>516.30971934066179</v>
      </c>
      <c r="AO38" s="60">
        <f t="shared" si="36"/>
        <v>290.84286505723571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171.99999999999991</v>
      </c>
      <c r="BE38" s="14">
        <f>BD38*VLOOKUP('Données projet'!$B$11,Paramètres!$A$1:$I$89,3,0)*VLOOKUP('Données projet'!$B$11,Paramètres!$A$1:$I$89,5,0)</f>
        <v>126.11039999999994</v>
      </c>
      <c r="BF38" s="14">
        <f t="shared" si="37"/>
        <v>33.096004194977844</v>
      </c>
      <c r="BG38" s="22">
        <f t="shared" si="7"/>
        <v>277.28448730625297</v>
      </c>
      <c r="BH38" s="60">
        <f t="shared" si="8"/>
        <v>520.93502003082745</v>
      </c>
      <c r="BI38" s="60">
        <f ca="1">AVERAGE(OFFSET($BH$3,0,0,'Données projet'!$E$11+1,1))-AVERAGE(OFFSET($H$3,0,0,'Données projet'!$E$11+1,1))</f>
        <v>314.75847268052081</v>
      </c>
      <c r="BJ38" s="60">
        <f t="shared" si="38"/>
        <v>337.77701316755338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147.89230769230767</v>
      </c>
      <c r="BW38" s="13">
        <f>VLOOKUP(A38,'Données projet'!$A$113:$I$133,9,0)</f>
        <v>8.9230769230769198</v>
      </c>
      <c r="BX38" s="13">
        <f t="array" ref="BX38">INDEX(BW:BW,MIN(IF(ISNUMBER(BW38:BW234),ROW(BW38:BW234),"")))</f>
        <v>8.9230769230769198</v>
      </c>
      <c r="BY38" s="13">
        <f>IF('Données projet'!$A$114&gt;35,BY37+BX38-CG37,IF(A38&lt;'Données projet'!$A$114,$BV$205^A38,IF(A38='Données projet'!$A$114,'Données projet'!$B$114,BY37+BX38-CG37)))</f>
        <v>147.89230769230767</v>
      </c>
      <c r="BZ38" s="14">
        <f>BY38*VLOOKUP('Données projet'!$B$12,Paramètres!$A$1:$I$89,3,0)*VLOOKUP('Données projet'!$B$12,Paramètres!$A$1:$I$89,5,0)</f>
        <v>69.213599999999985</v>
      </c>
      <c r="CA38" s="14">
        <f t="shared" si="39"/>
        <v>19.478038510077166</v>
      </c>
      <c r="CB38" s="22">
        <f t="shared" si="10"/>
        <v>154.47127040505103</v>
      </c>
      <c r="CC38" s="60">
        <f t="shared" si="11"/>
        <v>398.1218031296255</v>
      </c>
      <c r="CD38" s="60">
        <f ca="1">AVERAGE(OFFSET($CC$3,0,0,'Données projet'!$E$12+1,1))-AVERAGE(OFFSET($H$3,0,0,'Données projet'!$E$12+1,1))</f>
        <v>277.77877239988635</v>
      </c>
      <c r="CE38" s="60">
        <f t="shared" si="40"/>
        <v>164.65640238394164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216</v>
      </c>
      <c r="CR38" s="13">
        <f>VLOOKUP(A38,'Données projet'!$A$139:$I$159,9,0)</f>
        <v>5.6</v>
      </c>
      <c r="CS38" s="13">
        <f t="array" ref="CS38">INDEX(CR:CR,MIN(IF(ISNUMBER(CR38:CR234),ROW(CR38:CR234),"")))</f>
        <v>5.6</v>
      </c>
      <c r="CT38" s="13">
        <f>IF('Données projet'!$A$140&gt;35,CT37+CS38-DB37,IF(A38&lt;'Données projet'!$A$140,$CQ$205^A38,IF(A38='Données projet'!$A$140,'Données projet'!$B$140,CT37+CS38-DB37)))</f>
        <v>216</v>
      </c>
      <c r="CU38" s="18">
        <f>CT38*VLOOKUP('Données projet'!$B$13,Paramètres!$A$1:$I$89,3,0)*VLOOKUP('Données projet'!$B$13,Paramètres!$A$1:$I$89,5,0)</f>
        <v>195.43679999999998</v>
      </c>
      <c r="CV38" s="14">
        <f t="shared" si="41"/>
        <v>48.739971354487849</v>
      </c>
      <c r="CW38" s="22">
        <f t="shared" si="13"/>
        <v>425.27454344239959</v>
      </c>
      <c r="CX38" s="60">
        <f t="shared" si="14"/>
        <v>668.92507616697412</v>
      </c>
      <c r="CY38" s="60">
        <f ca="1">AVERAGE(OFFSET($CX$3,0,0,'Données projet'!$E$13+1,1))-AVERAGE(OFFSET($H$3,0,0,'Données projet'!$E$13+1,1))</f>
        <v>334.26876877415839</v>
      </c>
      <c r="CZ38" s="60">
        <f t="shared" si="42"/>
        <v>465.65761854152913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7.9487179487179507</v>
      </c>
      <c r="DO38" s="13">
        <f>IF('Données projet'!$A$166&gt;35,DO37+DN38-DW37,IF(A38&lt;'Données projet'!$A$166,$DL$205^A38,IF(A38='Données projet'!$A$166,'Données projet'!$B$166,DO37+DN38-DW37)))</f>
        <v>184.61538461538464</v>
      </c>
      <c r="DP38" s="18">
        <f>DO38*VLOOKUP('Données projet'!$B$14,Paramètres!$A$1:$I$89,3,0)*VLOOKUP('Données projet'!$B$14,Paramètres!$A$1:$I$89,5,0)</f>
        <v>118.08000000000001</v>
      </c>
      <c r="DQ38" s="14">
        <f t="shared" si="43"/>
        <v>31.226771320755134</v>
      </c>
      <c r="DR38" s="22">
        <f t="shared" si="16"/>
        <v>260.04262671698189</v>
      </c>
      <c r="DS38" s="60">
        <f t="shared" si="17"/>
        <v>503.69315944155642</v>
      </c>
      <c r="DT38" s="60">
        <f ca="1">AVERAGE(OFFSET($DS$3,0,0,'Données projet'!$E$14+1,1))-AVERAGE(OFFSET($H$3,0,0,'Données projet'!$E$14+1,1))</f>
        <v>285.09561428624352</v>
      </c>
      <c r="DU38" s="60">
        <f t="shared" si="44"/>
        <v>261.05678516705564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190</v>
      </c>
      <c r="EH38" s="13">
        <f>VLOOKUP(A38,'Données projet'!$A$191:$I$211,9,0)</f>
        <v>8.8000000000000007</v>
      </c>
      <c r="EI38" s="13">
        <f t="array" ref="EI38">INDEX(EH:EH,MIN(IF(ISNUMBER(EH38:EH234),ROW(EH38:EH234),"")))</f>
        <v>8.8000000000000007</v>
      </c>
      <c r="EJ38" s="13">
        <f>IF('Données projet'!$A$192&gt;35,EJ37+EI38-ER37,IF(A38&lt;'Données projet'!$A$192,$EG$205^A38,IF(A38='Données projet'!$A$192,'Données projet'!$B$192,EJ37+EI38-ER37)))</f>
        <v>190.00000000000006</v>
      </c>
      <c r="EK38" s="18">
        <f>EJ38*VLOOKUP('Données projet'!$B$15,Paramètres!$A$1:$I$89,3,0)*VLOOKUP('Données projet'!$B$15,Paramètres!$A$1:$I$89,5,0)</f>
        <v>154.12800000000007</v>
      </c>
      <c r="EL38" s="14">
        <f t="shared" si="45"/>
        <v>39.51520107536119</v>
      </c>
      <c r="EM38" s="22">
        <f t="shared" si="19"/>
        <v>337.26190853958752</v>
      </c>
      <c r="EN38" s="60">
        <f t="shared" si="20"/>
        <v>580.912441264162</v>
      </c>
      <c r="EO38" s="60">
        <f ca="1">AVERAGE(OFFSET($EN$3,0,0,'Données projet'!$E$15+1,1))-AVERAGE(OFFSET($H$3,0,0,'Données projet'!$E$15+1,1))</f>
        <v>272.69564942740931</v>
      </c>
      <c r="EP38" s="60">
        <f t="shared" si="46"/>
        <v>316.57989180609252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76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0">
        <f t="shared" si="0"/>
        <v>492.6821076688293</v>
      </c>
      <c r="S39" s="60">
        <f ca="1">AVERAGE(OFFSET($R$3,0,0,'Données projet'!$E$9+1,1))-AVERAGE(OFFSET($H$3,0,0,'Données projet'!$E$9+1,1))</f>
        <v>469.67944008675863</v>
      </c>
      <c r="T39" s="60">
        <f t="shared" si="34"/>
        <v>266.11908070867173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0">
        <f t="shared" si="5"/>
        <v>521.86384622048729</v>
      </c>
      <c r="AN39" s="60">
        <f ca="1">AVERAGE(OFFSET($AM$3,0,0,'Données projet'!$E$10+1,1))-AVERAGE(OFFSET($H$3,0,0,'Données projet'!$E$10+1,1))</f>
        <v>516.30971934066179</v>
      </c>
      <c r="AO39" s="60">
        <f t="shared" si="36"/>
        <v>290.84286505723571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181.59999999999991</v>
      </c>
      <c r="BE39" s="14">
        <f>BD39*VLOOKUP('Données projet'!$B$11,Paramètres!$A$1:$I$89,3,0)*VLOOKUP('Données projet'!$B$11,Paramètres!$A$1:$I$89,5,0)</f>
        <v>133.14911999999993</v>
      </c>
      <c r="BF39" s="14">
        <f t="shared" si="37"/>
        <v>34.723011740352263</v>
      </c>
      <c r="BG39" s="22">
        <f t="shared" si="7"/>
        <v>292.37729611444672</v>
      </c>
      <c r="BH39" s="60">
        <f t="shared" si="8"/>
        <v>536.88971435548115</v>
      </c>
      <c r="BI39" s="60">
        <f ca="1">AVERAGE(OFFSET($BH$3,0,0,'Données projet'!$E$11+1,1))-AVERAGE(OFFSET($H$3,0,0,'Données projet'!$E$11+1,1))</f>
        <v>314.75847268052081</v>
      </c>
      <c r="BJ39" s="60">
        <f t="shared" si="38"/>
        <v>337.77701316755338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9.981538461538463</v>
      </c>
      <c r="BY39" s="13">
        <f>IF('Données projet'!$A$114&gt;35,BY38+BX39-CG38,IF(A39&lt;'Données projet'!$A$114,$BV$205^A39,IF(A39='Données projet'!$A$114,'Données projet'!$B$114,BY38+BX39-CG38)))</f>
        <v>157.87384615384613</v>
      </c>
      <c r="BZ39" s="14">
        <f>BY39*VLOOKUP('Données projet'!$B$12,Paramètres!$A$1:$I$89,3,0)*VLOOKUP('Données projet'!$B$12,Paramètres!$A$1:$I$89,5,0)</f>
        <v>73.884959999999992</v>
      </c>
      <c r="CA39" s="14">
        <f t="shared" si="39"/>
        <v>20.635176317181511</v>
      </c>
      <c r="CB39" s="22">
        <f t="shared" si="10"/>
        <v>164.62257075242445</v>
      </c>
      <c r="CC39" s="60">
        <f t="shared" si="11"/>
        <v>409.13498899345888</v>
      </c>
      <c r="CD39" s="60">
        <f ca="1">AVERAGE(OFFSET($CC$3,0,0,'Données projet'!$E$12+1,1))-AVERAGE(OFFSET($H$3,0,0,'Données projet'!$E$12+1,1))</f>
        <v>277.77877239988635</v>
      </c>
      <c r="CE39" s="60">
        <f t="shared" si="40"/>
        <v>164.65640238394164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</v>
      </c>
      <c r="CT39" s="13">
        <f>IF('Données projet'!$A$140&gt;35,CT38+CS39-DB38,IF(A39&lt;'Données projet'!$A$140,$CQ$205^A39,IF(A39='Données projet'!$A$140,'Données projet'!$B$140,CT38+CS39-DB38)))</f>
        <v>221</v>
      </c>
      <c r="CU39" s="18">
        <f>CT39*VLOOKUP('Données projet'!$B$13,Paramètres!$A$1:$I$89,3,0)*VLOOKUP('Données projet'!$B$13,Paramètres!$A$1:$I$89,5,0)</f>
        <v>199.96079999999998</v>
      </c>
      <c r="CV39" s="14">
        <f t="shared" si="41"/>
        <v>49.735552653569222</v>
      </c>
      <c r="CW39" s="22">
        <f t="shared" si="13"/>
        <v>434.88781420496633</v>
      </c>
      <c r="CX39" s="60">
        <f t="shared" si="14"/>
        <v>679.4002324460007</v>
      </c>
      <c r="CY39" s="60">
        <f ca="1">AVERAGE(OFFSET($CX$3,0,0,'Données projet'!$E$13+1,1))-AVERAGE(OFFSET($H$3,0,0,'Données projet'!$E$13+1,1))</f>
        <v>334.26876877415839</v>
      </c>
      <c r="CZ39" s="60">
        <f t="shared" si="42"/>
        <v>465.65761854152913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7.9487179487179507</v>
      </c>
      <c r="DO39" s="13">
        <f>IF('Données projet'!$A$166&gt;35,DO38+DN39-DW38,IF(A39&lt;'Données projet'!$A$166,$DL$205^A39,IF(A39='Données projet'!$A$166,'Données projet'!$B$166,DO38+DN39-DW38)))</f>
        <v>192.5641025641026</v>
      </c>
      <c r="DP39" s="18">
        <f>DO39*VLOOKUP('Données projet'!$B$14,Paramètres!$A$1:$I$89,3,0)*VLOOKUP('Données projet'!$B$14,Paramètres!$A$1:$I$89,5,0)</f>
        <v>123.16400000000003</v>
      </c>
      <c r="DQ39" s="14">
        <f t="shared" si="43"/>
        <v>32.411828878612589</v>
      </c>
      <c r="DR39" s="22">
        <f t="shared" si="16"/>
        <v>270.96123529691698</v>
      </c>
      <c r="DS39" s="60">
        <f t="shared" si="17"/>
        <v>515.47365353795135</v>
      </c>
      <c r="DT39" s="60">
        <f ca="1">AVERAGE(OFFSET($DS$3,0,0,'Données projet'!$E$14+1,1))-AVERAGE(OFFSET($H$3,0,0,'Données projet'!$E$14+1,1))</f>
        <v>285.09561428624352</v>
      </c>
      <c r="DU39" s="60">
        <f t="shared" si="44"/>
        <v>261.05678516705564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7.6</v>
      </c>
      <c r="EJ39" s="13">
        <f>IF('Données projet'!$A$192&gt;35,EJ38+EI39-ER38,IF(A39&lt;'Données projet'!$A$192,$EG$205^A39,IF(A39='Données projet'!$A$192,'Données projet'!$B$192,EJ38+EI39-ER38)))</f>
        <v>121.60000000000005</v>
      </c>
      <c r="EK39" s="18">
        <f>EJ39*VLOOKUP('Données projet'!$B$15,Paramètres!$A$1:$I$89,3,0)*VLOOKUP('Données projet'!$B$15,Paramètres!$A$1:$I$89,5,0)</f>
        <v>98.641920000000042</v>
      </c>
      <c r="EL39" s="14">
        <f t="shared" si="45"/>
        <v>26.638196684151392</v>
      </c>
      <c r="EM39" s="22">
        <f t="shared" si="19"/>
        <v>218.19620322489709</v>
      </c>
      <c r="EN39" s="60">
        <f t="shared" si="20"/>
        <v>462.70862146593151</v>
      </c>
      <c r="EO39" s="60">
        <f ca="1">AVERAGE(OFFSET($EN$3,0,0,'Données projet'!$E$15+1,1))-AVERAGE(OFFSET($H$3,0,0,'Données projet'!$E$15+1,1))</f>
        <v>272.69564942740931</v>
      </c>
      <c r="EP39" s="60">
        <f t="shared" si="46"/>
        <v>316.57989180609252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0">
        <f t="shared" si="0"/>
        <v>509.86480003984718</v>
      </c>
      <c r="S40" s="60">
        <f ca="1">AVERAGE(OFFSET($R$3,0,0,'Données projet'!$E$9+1,1))-AVERAGE(OFFSET($H$3,0,0,'Données projet'!$E$9+1,1))</f>
        <v>469.67944008675863</v>
      </c>
      <c r="T40" s="60">
        <f t="shared" si="34"/>
        <v>266.11908070867173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0">
        <f t="shared" si="5"/>
        <v>540.97234364778126</v>
      </c>
      <c r="AN40" s="60">
        <f ca="1">AVERAGE(OFFSET($AM$3,0,0,'Données projet'!$E$10+1,1))-AVERAGE(OFFSET($H$3,0,0,'Données projet'!$E$10+1,1))</f>
        <v>516.30971934066179</v>
      </c>
      <c r="AO40" s="60">
        <f t="shared" si="36"/>
        <v>290.84286505723571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191.1999999999999</v>
      </c>
      <c r="BE40" s="14">
        <f>BD40*VLOOKUP('Données projet'!$B$11,Paramètres!$A$1:$I$89,3,0)*VLOOKUP('Données projet'!$B$11,Paramètres!$A$1:$I$89,5,0)</f>
        <v>140.18783999999991</v>
      </c>
      <c r="BF40" s="14">
        <f t="shared" si="37"/>
        <v>36.340033642714133</v>
      </c>
      <c r="BG40" s="22">
        <f t="shared" si="7"/>
        <v>307.4527132610603</v>
      </c>
      <c r="BH40" s="60">
        <f t="shared" si="8"/>
        <v>552.81206523173137</v>
      </c>
      <c r="BI40" s="60">
        <f ca="1">AVERAGE(OFFSET($BH$3,0,0,'Données projet'!$E$11+1,1))-AVERAGE(OFFSET($H$3,0,0,'Données projet'!$E$11+1,1))</f>
        <v>314.75847268052081</v>
      </c>
      <c r="BJ40" s="60">
        <f t="shared" si="38"/>
        <v>337.77701316755338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9.981538461538463</v>
      </c>
      <c r="BY40" s="13">
        <f>IF('Données projet'!$A$114&gt;35,BY39+BX40-CG39,IF(A40&lt;'Données projet'!$A$114,$BV$205^A40,IF(A40='Données projet'!$A$114,'Données projet'!$B$114,BY39+BX40-CG39)))</f>
        <v>167.85538461538459</v>
      </c>
      <c r="BZ40" s="14">
        <f>BY40*VLOOKUP('Données projet'!$B$12,Paramètres!$A$1:$I$89,3,0)*VLOOKUP('Données projet'!$B$12,Paramètres!$A$1:$I$89,5,0)</f>
        <v>78.556319999999985</v>
      </c>
      <c r="CA40" s="14">
        <f t="shared" si="39"/>
        <v>21.783823615207403</v>
      </c>
      <c r="CB40" s="22">
        <f t="shared" si="10"/>
        <v>174.75908346315285</v>
      </c>
      <c r="CC40" s="60">
        <f t="shared" si="11"/>
        <v>420.11843543382395</v>
      </c>
      <c r="CD40" s="60">
        <f ca="1">AVERAGE(OFFSET($CC$3,0,0,'Données projet'!$E$12+1,1))-AVERAGE(OFFSET($H$3,0,0,'Données projet'!$E$12+1,1))</f>
        <v>277.77877239988635</v>
      </c>
      <c r="CE40" s="60">
        <f t="shared" si="40"/>
        <v>164.65640238394164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</v>
      </c>
      <c r="CT40" s="13">
        <f>IF('Données projet'!$A$140&gt;35,CT39+CS40-DB39,IF(A40&lt;'Données projet'!$A$140,$CQ$205^A40,IF(A40='Données projet'!$A$140,'Données projet'!$B$140,CT39+CS40-DB39)))</f>
        <v>226</v>
      </c>
      <c r="CU40" s="18">
        <f>CT40*VLOOKUP('Données projet'!$B$13,Paramètres!$A$1:$I$89,3,0)*VLOOKUP('Données projet'!$B$13,Paramètres!$A$1:$I$89,5,0)</f>
        <v>204.48479999999998</v>
      </c>
      <c r="CV40" s="14">
        <f t="shared" si="41"/>
        <v>50.728515318217369</v>
      </c>
      <c r="CW40" s="22">
        <f t="shared" si="13"/>
        <v>444.49652417922852</v>
      </c>
      <c r="CX40" s="60">
        <f t="shared" si="14"/>
        <v>689.85587614989959</v>
      </c>
      <c r="CY40" s="60">
        <f ca="1">AVERAGE(OFFSET($CX$3,0,0,'Données projet'!$E$13+1,1))-AVERAGE(OFFSET($H$3,0,0,'Données projet'!$E$13+1,1))</f>
        <v>334.26876877415839</v>
      </c>
      <c r="CZ40" s="60">
        <f t="shared" si="42"/>
        <v>465.65761854152913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7.9487179487179507</v>
      </c>
      <c r="DO40" s="13">
        <f>IF('Données projet'!$A$166&gt;35,DO39+DN40-DW39,IF(A40&lt;'Données projet'!$A$166,$DL$205^A40,IF(A40='Données projet'!$A$166,'Données projet'!$B$166,DO39+DN40-DW39)))</f>
        <v>200.51282051282055</v>
      </c>
      <c r="DP40" s="18">
        <f>DO40*VLOOKUP('Données projet'!$B$14,Paramètres!$A$1:$I$89,3,0)*VLOOKUP('Données projet'!$B$14,Paramètres!$A$1:$I$89,5,0)</f>
        <v>128.24800000000002</v>
      </c>
      <c r="DQ40" s="14">
        <f t="shared" si="43"/>
        <v>33.591204432643657</v>
      </c>
      <c r="DR40" s="22">
        <f t="shared" si="16"/>
        <v>281.86994772018772</v>
      </c>
      <c r="DS40" s="60">
        <f t="shared" si="17"/>
        <v>527.22929969085885</v>
      </c>
      <c r="DT40" s="60">
        <f ca="1">AVERAGE(OFFSET($DS$3,0,0,'Données projet'!$E$14+1,1))-AVERAGE(OFFSET($H$3,0,0,'Données projet'!$E$14+1,1))</f>
        <v>285.09561428624352</v>
      </c>
      <c r="DU40" s="60">
        <f t="shared" si="44"/>
        <v>261.05678516705564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7.6</v>
      </c>
      <c r="EJ40" s="13">
        <f>IF('Données projet'!$A$192&gt;35,EJ39+EI40-ER39,IF(A40&lt;'Données projet'!$A$192,$EG$205^A40,IF(A40='Données projet'!$A$192,'Données projet'!$B$192,EJ39+EI40-ER39)))</f>
        <v>129.20000000000005</v>
      </c>
      <c r="EK40" s="18">
        <f>EJ40*VLOOKUP('Données projet'!$B$15,Paramètres!$A$1:$I$89,3,0)*VLOOKUP('Données projet'!$B$15,Paramètres!$A$1:$I$89,5,0)</f>
        <v>104.80704000000004</v>
      </c>
      <c r="EL40" s="14">
        <f t="shared" si="45"/>
        <v>28.104060486002457</v>
      </c>
      <c r="EM40" s="22">
        <f t="shared" si="19"/>
        <v>231.48683334645435</v>
      </c>
      <c r="EN40" s="60">
        <f t="shared" si="20"/>
        <v>476.84618531712545</v>
      </c>
      <c r="EO40" s="60">
        <f ca="1">AVERAGE(OFFSET($EN$3,0,0,'Données projet'!$E$15+1,1))-AVERAGE(OFFSET($H$3,0,0,'Données projet'!$E$15+1,1))</f>
        <v>272.69564942740931</v>
      </c>
      <c r="EP40" s="60">
        <f t="shared" si="46"/>
        <v>316.57989180609252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0">
        <f t="shared" si="0"/>
        <v>527.01005434747481</v>
      </c>
      <c r="S41" s="60">
        <f ca="1">AVERAGE(OFFSET($R$3,0,0,'Données projet'!$E$9+1,1))-AVERAGE(OFFSET($H$3,0,0,'Données projet'!$E$9+1,1))</f>
        <v>469.67944008675863</v>
      </c>
      <c r="T41" s="60">
        <f t="shared" si="34"/>
        <v>266.11908070867173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0">
        <f t="shared" si="5"/>
        <v>560.04099370168376</v>
      </c>
      <c r="AN41" s="60">
        <f ca="1">AVERAGE(OFFSET($AM$3,0,0,'Données projet'!$E$10+1,1))-AVERAGE(OFFSET($H$3,0,0,'Données projet'!$E$10+1,1))</f>
        <v>516.30971934066179</v>
      </c>
      <c r="AO41" s="60">
        <f t="shared" si="36"/>
        <v>290.84286505723571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200.7999999999999</v>
      </c>
      <c r="BE41" s="14">
        <f>BD41*VLOOKUP('Données projet'!$B$11,Paramètres!$A$1:$I$89,3,0)*VLOOKUP('Données projet'!$B$11,Paramètres!$A$1:$I$89,5,0)</f>
        <v>147.22655999999992</v>
      </c>
      <c r="BF41" s="14">
        <f t="shared" si="37"/>
        <v>37.947628481165793</v>
      </c>
      <c r="BG41" s="22">
        <f t="shared" si="7"/>
        <v>322.51171160469693</v>
      </c>
      <c r="BH41" s="60">
        <f t="shared" si="8"/>
        <v>568.70330489825562</v>
      </c>
      <c r="BI41" s="60">
        <f ca="1">AVERAGE(OFFSET($BH$3,0,0,'Données projet'!$E$11+1,1))-AVERAGE(OFFSET($H$3,0,0,'Données projet'!$E$11+1,1))</f>
        <v>314.75847268052081</v>
      </c>
      <c r="BJ41" s="60">
        <f t="shared" si="38"/>
        <v>337.77701316755338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9.981538461538463</v>
      </c>
      <c r="BY41" s="13">
        <f>IF('Données projet'!$A$114&gt;35,BY40+BX41-CG40,IF(A41&lt;'Données projet'!$A$114,$BV$205^A41,IF(A41='Données projet'!$A$114,'Données projet'!$B$114,BY40+BX41-CG40)))</f>
        <v>177.83692307692306</v>
      </c>
      <c r="BZ41" s="14">
        <f>BY41*VLOOKUP('Données projet'!$B$12,Paramètres!$A$1:$I$89,3,0)*VLOOKUP('Données projet'!$B$12,Paramètres!$A$1:$I$89,5,0)</f>
        <v>83.227679999999978</v>
      </c>
      <c r="CA41" s="14">
        <f t="shared" si="39"/>
        <v>22.924542798244513</v>
      </c>
      <c r="CB41" s="22">
        <f t="shared" si="10"/>
        <v>184.88178804027584</v>
      </c>
      <c r="CC41" s="60">
        <f t="shared" si="11"/>
        <v>431.07338133383456</v>
      </c>
      <c r="CD41" s="60">
        <f ca="1">AVERAGE(OFFSET($CC$3,0,0,'Données projet'!$E$12+1,1))-AVERAGE(OFFSET($H$3,0,0,'Données projet'!$E$12+1,1))</f>
        <v>277.77877239988635</v>
      </c>
      <c r="CE41" s="60">
        <f t="shared" si="40"/>
        <v>164.65640238394164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</v>
      </c>
      <c r="CT41" s="13">
        <f>IF('Données projet'!$A$140&gt;35,CT40+CS41-DB40,IF(A41&lt;'Données projet'!$A$140,$CQ$205^A41,IF(A41='Données projet'!$A$140,'Données projet'!$B$140,CT40+CS41-DB40)))</f>
        <v>231</v>
      </c>
      <c r="CU41" s="18">
        <f>CT41*VLOOKUP('Données projet'!$B$13,Paramètres!$A$1:$I$89,3,0)*VLOOKUP('Données projet'!$B$13,Paramètres!$A$1:$I$89,5,0)</f>
        <v>209.00879999999998</v>
      </c>
      <c r="CV41" s="14">
        <f t="shared" si="41"/>
        <v>51.718923953824202</v>
      </c>
      <c r="CW41" s="22">
        <f t="shared" si="13"/>
        <v>454.10078588624373</v>
      </c>
      <c r="CX41" s="60">
        <f t="shared" si="14"/>
        <v>700.29237917980242</v>
      </c>
      <c r="CY41" s="60">
        <f ca="1">AVERAGE(OFFSET($CX$3,0,0,'Données projet'!$E$13+1,1))-AVERAGE(OFFSET($H$3,0,0,'Données projet'!$E$13+1,1))</f>
        <v>334.26876877415839</v>
      </c>
      <c r="CZ41" s="60">
        <f t="shared" si="42"/>
        <v>465.65761854152913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7.9487179487179507</v>
      </c>
      <c r="DO41" s="13">
        <f>IF('Données projet'!$A$166&gt;35,DO40+DN41-DW40,IF(A41&lt;'Données projet'!$A$166,$DL$205^A41,IF(A41='Données projet'!$A$166,'Données projet'!$B$166,DO40+DN41-DW40)))</f>
        <v>208.46153846153851</v>
      </c>
      <c r="DP41" s="18">
        <f>DO41*VLOOKUP('Données projet'!$B$14,Paramètres!$A$1:$I$89,3,0)*VLOOKUP('Données projet'!$B$14,Paramètres!$A$1:$I$89,5,0)</f>
        <v>133.33200000000005</v>
      </c>
      <c r="DQ41" s="14">
        <f t="shared" si="43"/>
        <v>34.765149001798996</v>
      </c>
      <c r="DR41" s="22">
        <f t="shared" si="16"/>
        <v>292.7692011781333</v>
      </c>
      <c r="DS41" s="60">
        <f t="shared" si="17"/>
        <v>538.960794471692</v>
      </c>
      <c r="DT41" s="60">
        <f ca="1">AVERAGE(OFFSET($DS$3,0,0,'Données projet'!$E$14+1,1))-AVERAGE(OFFSET($H$3,0,0,'Données projet'!$E$14+1,1))</f>
        <v>285.09561428624352</v>
      </c>
      <c r="DU41" s="60">
        <f t="shared" si="44"/>
        <v>261.05678516705564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7.6</v>
      </c>
      <c r="EJ41" s="13">
        <f>IF('Données projet'!$A$192&gt;35,EJ40+EI41-ER40,IF(A41&lt;'Données projet'!$A$192,$EG$205^A41,IF(A41='Données projet'!$A$192,'Données projet'!$B$192,EJ40+EI41-ER40)))</f>
        <v>136.80000000000004</v>
      </c>
      <c r="EK41" s="18">
        <f>EJ41*VLOOKUP('Données projet'!$B$15,Paramètres!$A$1:$I$89,3,0)*VLOOKUP('Données projet'!$B$15,Paramètres!$A$1:$I$89,5,0)</f>
        <v>110.97216000000004</v>
      </c>
      <c r="EL41" s="14">
        <f t="shared" si="45"/>
        <v>29.559915623187329</v>
      </c>
      <c r="EM41" s="22">
        <f t="shared" si="19"/>
        <v>244.76003171038471</v>
      </c>
      <c r="EN41" s="60">
        <f t="shared" si="20"/>
        <v>490.95162500394343</v>
      </c>
      <c r="EO41" s="60">
        <f ca="1">AVERAGE(OFFSET($EN$3,0,0,'Données projet'!$E$15+1,1))-AVERAGE(OFFSET($H$3,0,0,'Données projet'!$E$15+1,1))</f>
        <v>272.69564942740931</v>
      </c>
      <c r="EP41" s="60">
        <f t="shared" si="46"/>
        <v>316.57989180609252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0">
        <f t="shared" si="0"/>
        <v>544.11963273047024</v>
      </c>
      <c r="S42" s="60">
        <f ca="1">AVERAGE(OFFSET($R$3,0,0,'Données projet'!$E$9+1,1))-AVERAGE(OFFSET($H$3,0,0,'Données projet'!$E$9+1,1))</f>
        <v>469.67944008675863</v>
      </c>
      <c r="T42" s="60">
        <f t="shared" si="34"/>
        <v>266.11908070867173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0">
        <f t="shared" si="5"/>
        <v>579.0717181757243</v>
      </c>
      <c r="AN42" s="60">
        <f ca="1">AVERAGE(OFFSET($AM$3,0,0,'Données projet'!$E$10+1,1))-AVERAGE(OFFSET($H$3,0,0,'Données projet'!$E$10+1,1))</f>
        <v>516.30971934066179</v>
      </c>
      <c r="AO42" s="60">
        <f t="shared" si="36"/>
        <v>290.84286505723571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210.39999999999989</v>
      </c>
      <c r="BE42" s="14">
        <f>BD42*VLOOKUP('Données projet'!$B$11,Paramètres!$A$1:$I$89,3,0)*VLOOKUP('Données projet'!$B$11,Paramètres!$A$1:$I$89,5,0)</f>
        <v>154.26527999999993</v>
      </c>
      <c r="BF42" s="14">
        <f t="shared" si="37"/>
        <v>39.546298406974444</v>
      </c>
      <c r="BG42" s="22">
        <f t="shared" si="7"/>
        <v>337.55516572548032</v>
      </c>
      <c r="BH42" s="60">
        <f t="shared" si="8"/>
        <v>584.56456281558746</v>
      </c>
      <c r="BI42" s="60">
        <f ca="1">AVERAGE(OFFSET($BH$3,0,0,'Données projet'!$E$11+1,1))-AVERAGE(OFFSET($H$3,0,0,'Données projet'!$E$11+1,1))</f>
        <v>314.75847268052081</v>
      </c>
      <c r="BJ42" s="60">
        <f t="shared" si="38"/>
        <v>337.77701316755338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9.981538461538463</v>
      </c>
      <c r="BY42" s="13">
        <f>IF('Données projet'!$A$114&gt;35,BY41+BX42-CG41,IF(A42&lt;'Données projet'!$A$114,$BV$205^A42,IF(A42='Données projet'!$A$114,'Données projet'!$B$114,BY41+BX42-CG41)))</f>
        <v>187.81846153846152</v>
      </c>
      <c r="BZ42" s="14">
        <f>BY42*VLOOKUP('Données projet'!$B$12,Paramètres!$A$1:$I$89,3,0)*VLOOKUP('Données projet'!$B$12,Paramètres!$A$1:$I$89,5,0)</f>
        <v>87.899039999999985</v>
      </c>
      <c r="CA42" s="14">
        <f t="shared" si="39"/>
        <v>24.05782956318463</v>
      </c>
      <c r="CB42" s="22">
        <f t="shared" si="10"/>
        <v>194.99154782254652</v>
      </c>
      <c r="CC42" s="60">
        <f t="shared" si="11"/>
        <v>442.00094491265361</v>
      </c>
      <c r="CD42" s="60">
        <f ca="1">AVERAGE(OFFSET($CC$3,0,0,'Données projet'!$E$12+1,1))-AVERAGE(OFFSET($H$3,0,0,'Données projet'!$E$12+1,1))</f>
        <v>277.77877239988635</v>
      </c>
      <c r="CE42" s="60">
        <f t="shared" si="40"/>
        <v>164.65640238394164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</v>
      </c>
      <c r="CT42" s="13">
        <f>IF('Données projet'!$A$140&gt;35,CT41+CS42-DB41,IF(A42&lt;'Données projet'!$A$140,$CQ$205^A42,IF(A42='Données projet'!$A$140,'Données projet'!$B$140,CT41+CS42-DB41)))</f>
        <v>236</v>
      </c>
      <c r="CU42" s="18">
        <f>CT42*VLOOKUP('Données projet'!$B$13,Paramètres!$A$1:$I$89,3,0)*VLOOKUP('Données projet'!$B$13,Paramètres!$A$1:$I$89,5,0)</f>
        <v>213.53280000000001</v>
      </c>
      <c r="CV42" s="14">
        <f t="shared" si="41"/>
        <v>52.706840209271235</v>
      </c>
      <c r="CW42" s="22">
        <f t="shared" si="13"/>
        <v>463.70070669781398</v>
      </c>
      <c r="CX42" s="60">
        <f t="shared" si="14"/>
        <v>710.71010378792107</v>
      </c>
      <c r="CY42" s="60">
        <f ca="1">AVERAGE(OFFSET($CX$3,0,0,'Données projet'!$E$13+1,1))-AVERAGE(OFFSET($H$3,0,0,'Données projet'!$E$13+1,1))</f>
        <v>334.26876877415839</v>
      </c>
      <c r="CZ42" s="60">
        <f t="shared" si="42"/>
        <v>465.65761854152913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7.9487179487179507</v>
      </c>
      <c r="DO42" s="13">
        <f>IF('Données projet'!$A$166&gt;35,DO41+DN42-DW41,IF(A42&lt;'Données projet'!$A$166,$DL$205^A42,IF(A42='Données projet'!$A$166,'Données projet'!$B$166,DO41+DN42-DW41)))</f>
        <v>216.41025641025647</v>
      </c>
      <c r="DP42" s="18">
        <f>DO42*VLOOKUP('Données projet'!$B$14,Paramètres!$A$1:$I$89,3,0)*VLOOKUP('Données projet'!$B$14,Paramètres!$A$1:$I$89,5,0)</f>
        <v>138.41600000000003</v>
      </c>
      <c r="DQ42" s="14">
        <f t="shared" si="43"/>
        <v>35.933893377923624</v>
      </c>
      <c r="DR42" s="22">
        <f t="shared" si="16"/>
        <v>303.659397633217</v>
      </c>
      <c r="DS42" s="60">
        <f t="shared" si="17"/>
        <v>550.66879472332414</v>
      </c>
      <c r="DT42" s="60">
        <f ca="1">AVERAGE(OFFSET($DS$3,0,0,'Données projet'!$E$14+1,1))-AVERAGE(OFFSET($H$3,0,0,'Données projet'!$E$14+1,1))</f>
        <v>285.09561428624352</v>
      </c>
      <c r="DU42" s="60">
        <f t="shared" si="44"/>
        <v>261.05678516705564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7.6</v>
      </c>
      <c r="EJ42" s="13">
        <f>IF('Données projet'!$A$192&gt;35,EJ41+EI42-ER41,IF(A42&lt;'Données projet'!$A$192,$EG$205^A42,IF(A42='Données projet'!$A$192,'Données projet'!$B$192,EJ41+EI42-ER41)))</f>
        <v>144.40000000000003</v>
      </c>
      <c r="EK42" s="18">
        <f>EJ42*VLOOKUP('Données projet'!$B$15,Paramètres!$A$1:$I$89,3,0)*VLOOKUP('Données projet'!$B$15,Paramètres!$A$1:$I$89,5,0)</f>
        <v>117.13728000000003</v>
      </c>
      <c r="EL42" s="14">
        <f t="shared" si="45"/>
        <v>31.006381507018595</v>
      </c>
      <c r="EM42" s="22">
        <f t="shared" si="19"/>
        <v>258.01687712472409</v>
      </c>
      <c r="EN42" s="60">
        <f t="shared" si="20"/>
        <v>505.02627421483123</v>
      </c>
      <c r="EO42" s="60">
        <f ca="1">AVERAGE(OFFSET($EN$3,0,0,'Données projet'!$E$15+1,1))-AVERAGE(OFFSET($H$3,0,0,'Données projet'!$E$15+1,1))</f>
        <v>272.69564942740931</v>
      </c>
      <c r="EP42" s="60">
        <f t="shared" si="46"/>
        <v>316.57989180609252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0">
        <f t="shared" si="0"/>
        <v>561.19511408161725</v>
      </c>
      <c r="S43" s="60">
        <f ca="1">AVERAGE(OFFSET($R$3,0,0,'Données projet'!$E$9+1,1))-AVERAGE(OFFSET($H$3,0,0,'Données projet'!$E$9+1,1))</f>
        <v>469.67944008675863</v>
      </c>
      <c r="T43" s="60">
        <f t="shared" si="34"/>
        <v>266.11908070867173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0">
        <f t="shared" si="5"/>
        <v>598.0662366756726</v>
      </c>
      <c r="AN43" s="60">
        <f ca="1">AVERAGE(OFFSET($AM$3,0,0,'Données projet'!$E$10+1,1))-AVERAGE(OFFSET($H$3,0,0,'Données projet'!$E$10+1,1))</f>
        <v>516.30971934066179</v>
      </c>
      <c r="AO43" s="60">
        <f t="shared" si="36"/>
        <v>290.84286505723571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220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219.99999999999989</v>
      </c>
      <c r="BE43" s="14">
        <f>BD43*VLOOKUP('Données projet'!$B$11,Paramètres!$A$1:$I$89,3,0)*VLOOKUP('Données projet'!$B$11,Paramètres!$A$1:$I$89,5,0)</f>
        <v>161.30399999999992</v>
      </c>
      <c r="BF43" s="14">
        <f t="shared" si="37"/>
        <v>41.136497157560363</v>
      </c>
      <c r="BG43" s="22">
        <f t="shared" si="7"/>
        <v>352.58386588275084</v>
      </c>
      <c r="BH43" s="60">
        <f t="shared" si="8"/>
        <v>600.39687970187163</v>
      </c>
      <c r="BI43" s="60">
        <f ca="1">AVERAGE(OFFSET($BH$3,0,0,'Données projet'!$E$11+1,1))-AVERAGE(OFFSET($H$3,0,0,'Données projet'!$E$11+1,1))</f>
        <v>314.75847268052081</v>
      </c>
      <c r="BJ43" s="60">
        <f t="shared" si="38"/>
        <v>337.77701316755338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197.79999999999998</v>
      </c>
      <c r="BW43" s="13">
        <f>VLOOKUP(A43,'Données projet'!$A$113:$I$133,9,0)</f>
        <v>9.981538461538463</v>
      </c>
      <c r="BX43" s="13">
        <f t="array" ref="BX43">INDEX(BW:BW,MIN(IF(ISNUMBER(BW43:BW239),ROW(BW43:BW239),"")))</f>
        <v>9.981538461538463</v>
      </c>
      <c r="BY43" s="13">
        <f>IF('Données projet'!$A$114&gt;35,BY42+BX43-CG42,IF(A43&lt;'Données projet'!$A$114,$BV$205^A43,IF(A43='Données projet'!$A$114,'Données projet'!$B$114,BY42+BX43-CG42)))</f>
        <v>197.79999999999998</v>
      </c>
      <c r="BZ43" s="14">
        <f>BY43*VLOOKUP('Données projet'!$B$12,Paramètres!$A$1:$I$89,3,0)*VLOOKUP('Données projet'!$B$12,Paramètres!$A$1:$I$89,5,0)</f>
        <v>92.570399999999978</v>
      </c>
      <c r="CA43" s="14">
        <f t="shared" si="39"/>
        <v>25.184123943972491</v>
      </c>
      <c r="CB43" s="22">
        <f t="shared" si="10"/>
        <v>205.08912920241869</v>
      </c>
      <c r="CC43" s="60">
        <f t="shared" si="11"/>
        <v>452.90214302153947</v>
      </c>
      <c r="CD43" s="60">
        <f ca="1">AVERAGE(OFFSET($CC$3,0,0,'Données projet'!$E$12+1,1))-AVERAGE(OFFSET($H$3,0,0,'Données projet'!$E$12+1,1))</f>
        <v>277.77877239988635</v>
      </c>
      <c r="CE43" s="60">
        <f t="shared" si="40"/>
        <v>164.65640238394164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241</v>
      </c>
      <c r="CR43" s="13">
        <f>VLOOKUP(A43,'Données projet'!$A$139:$I$159,9,0)</f>
        <v>5</v>
      </c>
      <c r="CS43" s="13">
        <f t="array" ref="CS43">INDEX(CR:CR,MIN(IF(ISNUMBER(CR43:CR239),ROW(CR43:CR239),"")))</f>
        <v>5</v>
      </c>
      <c r="CT43" s="13">
        <f>IF('Données projet'!$A$140&gt;35,CT42+CS43-DB42,IF(A43&lt;'Données projet'!$A$140,$CQ$205^A43,IF(A43='Données projet'!$A$140,'Données projet'!$B$140,CT42+CS43-DB42)))</f>
        <v>241</v>
      </c>
      <c r="CU43" s="18">
        <f>CT43*VLOOKUP('Données projet'!$B$13,Paramètres!$A$1:$I$89,3,0)*VLOOKUP('Données projet'!$B$13,Paramètres!$A$1:$I$89,5,0)</f>
        <v>218.05680000000001</v>
      </c>
      <c r="CV43" s="14">
        <f t="shared" si="41"/>
        <v>53.69232297195181</v>
      </c>
      <c r="CW43" s="22">
        <f t="shared" si="13"/>
        <v>473.29638917614938</v>
      </c>
      <c r="CX43" s="60">
        <f t="shared" si="14"/>
        <v>721.10940299527022</v>
      </c>
      <c r="CY43" s="60">
        <f ca="1">AVERAGE(OFFSET($CX$3,0,0,'Données projet'!$E$13+1,1))-AVERAGE(OFFSET($H$3,0,0,'Données projet'!$E$13+1,1))</f>
        <v>334.26876877415839</v>
      </c>
      <c r="CZ43" s="60">
        <f t="shared" si="42"/>
        <v>465.65761854152913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224.35897435897436</v>
      </c>
      <c r="DM43" s="13">
        <f>VLOOKUP(A43,'Données projet'!$A$165:$I$185,9,0)</f>
        <v>7.9487179487179507</v>
      </c>
      <c r="DN43" s="13">
        <f t="array" ref="DN43">INDEX(DM:DM,MIN(IF(ISNUMBER(DM43:DM239),ROW(DM43:DM239),"")))</f>
        <v>7.9487179487179507</v>
      </c>
      <c r="DO43" s="13">
        <f>IF('Données projet'!$A$166&gt;35,DO42+DN43-DW42,IF(A43&lt;'Données projet'!$A$166,$DL$205^A43,IF(A43='Données projet'!$A$166,'Données projet'!$B$166,DO42+DN43-DW42)))</f>
        <v>224.35897435897442</v>
      </c>
      <c r="DP43" s="18">
        <f>DO43*VLOOKUP('Données projet'!$B$14,Paramètres!$A$1:$I$89,3,0)*VLOOKUP('Données projet'!$B$14,Paramètres!$A$1:$I$89,5,0)</f>
        <v>143.50000000000003</v>
      </c>
      <c r="DQ43" s="14">
        <f t="shared" si="43"/>
        <v>37.097650438246141</v>
      </c>
      <c r="DR43" s="22">
        <f t="shared" si="16"/>
        <v>314.54090784661207</v>
      </c>
      <c r="DS43" s="60">
        <f t="shared" si="17"/>
        <v>562.35392166573286</v>
      </c>
      <c r="DT43" s="60">
        <f ca="1">AVERAGE(OFFSET($DS$3,0,0,'Données projet'!$E$14+1,1))-AVERAGE(OFFSET($H$3,0,0,'Données projet'!$E$14+1,1))</f>
        <v>285.09561428624352</v>
      </c>
      <c r="DU43" s="60">
        <f t="shared" si="44"/>
        <v>261.05678516705564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135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152</v>
      </c>
      <c r="EH43" s="13">
        <f>VLOOKUP(A43,'Données projet'!$A$191:$I$211,9,0)</f>
        <v>7.6</v>
      </c>
      <c r="EI43" s="13">
        <f t="array" ref="EI43">INDEX(EH:EH,MIN(IF(ISNUMBER(EH43:EH239),ROW(EH43:EH239),"")))</f>
        <v>7.6</v>
      </c>
      <c r="EJ43" s="13">
        <f>IF('Données projet'!$A$192&gt;35,EJ42+EI43-ER42,IF(A43&lt;'Données projet'!$A$192,$EG$205^A43,IF(A43='Données projet'!$A$192,'Données projet'!$B$192,EJ42+EI43-ER42)))</f>
        <v>152.00000000000003</v>
      </c>
      <c r="EK43" s="18">
        <f>EJ43*VLOOKUP('Données projet'!$B$15,Paramètres!$A$1:$I$89,3,0)*VLOOKUP('Données projet'!$B$15,Paramètres!$A$1:$I$89,5,0)</f>
        <v>123.30240000000003</v>
      </c>
      <c r="EL43" s="14">
        <f t="shared" si="45"/>
        <v>32.444008665071891</v>
      </c>
      <c r="EM43" s="22">
        <f t="shared" si="19"/>
        <v>271.25832842500023</v>
      </c>
      <c r="EN43" s="60">
        <f t="shared" si="20"/>
        <v>519.07134224412107</v>
      </c>
      <c r="EO43" s="60">
        <f ca="1">AVERAGE(OFFSET($EN$3,0,0,'Données projet'!$E$15+1,1))-AVERAGE(OFFSET($H$3,0,0,'Données projet'!$E$15+1,1))</f>
        <v>272.69564942740931</v>
      </c>
      <c r="EP43" s="60">
        <f t="shared" si="46"/>
        <v>316.57989180609252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0">
        <f t="shared" si="0"/>
        <v>496.77237902229894</v>
      </c>
      <c r="S44" s="60">
        <f ca="1">AVERAGE(OFFSET($R$3,0,0,'Données projet'!$E$9+1,1))-AVERAGE(OFFSET($H$3,0,0,'Données projet'!$E$9+1,1))</f>
        <v>469.67944008675863</v>
      </c>
      <c r="T44" s="60">
        <f t="shared" si="34"/>
        <v>266.11908070867173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0">
        <f t="shared" si="5"/>
        <v>525.95411757395698</v>
      </c>
      <c r="AN44" s="60">
        <f ca="1">AVERAGE(OFFSET($AM$3,0,0,'Données projet'!$E$10+1,1))-AVERAGE(OFFSET($H$3,0,0,'Données projet'!$E$10+1,1))</f>
        <v>516.30971934066179</v>
      </c>
      <c r="AO44" s="60">
        <f t="shared" si="36"/>
        <v>290.84286505723571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172.19999999999987</v>
      </c>
      <c r="BE44" s="14">
        <f>BD44*VLOOKUP('Données projet'!$B$11,Paramètres!$A$1:$I$89,3,0)*VLOOKUP('Données projet'!$B$11,Paramètres!$A$1:$I$89,5,0)</f>
        <v>126.25703999999992</v>
      </c>
      <c r="BF44" s="14">
        <f t="shared" si="37"/>
        <v>33.130006114881219</v>
      </c>
      <c r="BG44" s="22">
        <f t="shared" si="7"/>
        <v>277.59910531675132</v>
      </c>
      <c r="BH44" s="60">
        <f t="shared" si="8"/>
        <v>526.20179491125532</v>
      </c>
      <c r="BI44" s="60">
        <f ca="1">AVERAGE(OFFSET($BH$3,0,0,'Données projet'!$E$11+1,1))-AVERAGE(OFFSET($H$3,0,0,'Données projet'!$E$11+1,1))</f>
        <v>314.75847268052081</v>
      </c>
      <c r="BJ44" s="60">
        <f t="shared" si="38"/>
        <v>337.77701316755338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10.869230769230773</v>
      </c>
      <c r="BY44" s="13">
        <f>IF('Données projet'!$A$114&gt;35,BY43+BX44-CG43,IF(A44&lt;'Données projet'!$A$114,$BV$205^A44,IF(A44='Données projet'!$A$114,'Données projet'!$B$114,BY43+BX44-CG43)))</f>
        <v>208.66923076923075</v>
      </c>
      <c r="BZ44" s="14">
        <f>BY44*VLOOKUP('Données projet'!$B$12,Paramètres!$A$1:$I$89,3,0)*VLOOKUP('Données projet'!$B$12,Paramètres!$A$1:$I$89,5,0)</f>
        <v>97.657199999999989</v>
      </c>
      <c r="CA44" s="14">
        <f t="shared" si="39"/>
        <v>26.403090007431878</v>
      </c>
      <c r="CB44" s="22">
        <f t="shared" si="10"/>
        <v>216.07167176294379</v>
      </c>
      <c r="CC44" s="60">
        <f t="shared" si="11"/>
        <v>464.67436135744776</v>
      </c>
      <c r="CD44" s="60">
        <f ca="1">AVERAGE(OFFSET($CC$3,0,0,'Données projet'!$E$12+1,1))-AVERAGE(OFFSET($H$3,0,0,'Données projet'!$E$12+1,1))</f>
        <v>277.77877239988635</v>
      </c>
      <c r="CE44" s="60">
        <f t="shared" si="40"/>
        <v>164.65640238394164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</v>
      </c>
      <c r="CT44" s="13">
        <f>IF('Données projet'!$A$140&gt;35,CT43+CS44-DB43,IF(A44&lt;'Données projet'!$A$140,$CQ$205^A44,IF(A44='Données projet'!$A$140,'Données projet'!$B$140,CT43+CS44-DB43)))</f>
        <v>246</v>
      </c>
      <c r="CU44" s="18">
        <f>CT44*VLOOKUP('Données projet'!$B$13,Paramètres!$A$1:$I$89,3,0)*VLOOKUP('Données projet'!$B$13,Paramètres!$A$1:$I$89,5,0)</f>
        <v>222.58079999999998</v>
      </c>
      <c r="CV44" s="14">
        <f t="shared" si="41"/>
        <v>54.675428546153199</v>
      </c>
      <c r="CW44" s="22">
        <f t="shared" si="13"/>
        <v>482.88793138455003</v>
      </c>
      <c r="CX44" s="60">
        <f t="shared" si="14"/>
        <v>731.49062097905403</v>
      </c>
      <c r="CY44" s="60">
        <f ca="1">AVERAGE(OFFSET($CX$3,0,0,'Données projet'!$E$13+1,1))-AVERAGE(OFFSET($H$3,0,0,'Données projet'!$E$13+1,1))</f>
        <v>334.26876877415839</v>
      </c>
      <c r="CZ44" s="60">
        <f t="shared" si="42"/>
        <v>465.65761854152913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12.602564102564102</v>
      </c>
      <c r="DO44" s="13">
        <f>IF('Données projet'!$A$166&gt;35,DO43+DN44-DW43,IF(A44&lt;'Données projet'!$A$166,$DL$205^A44,IF(A44='Données projet'!$A$166,'Données projet'!$B$166,DO43+DN44-DW43)))</f>
        <v>101.96153846153851</v>
      </c>
      <c r="DP44" s="18">
        <f>DO44*VLOOKUP('Données projet'!$B$14,Paramètres!$A$1:$I$89,3,0)*VLOOKUP('Données projet'!$B$14,Paramètres!$A$1:$I$89,5,0)</f>
        <v>65.214600000000033</v>
      </c>
      <c r="DQ44" s="14">
        <f t="shared" si="43"/>
        <v>18.480221017226782</v>
      </c>
      <c r="DR44" s="22">
        <f t="shared" si="16"/>
        <v>145.7684799383367</v>
      </c>
      <c r="DS44" s="60">
        <f t="shared" si="17"/>
        <v>394.37116953284067</v>
      </c>
      <c r="DT44" s="60">
        <f ca="1">AVERAGE(OFFSET($DS$3,0,0,'Données projet'!$E$14+1,1))-AVERAGE(OFFSET($H$3,0,0,'Données projet'!$E$14+1,1))</f>
        <v>285.09561428624352</v>
      </c>
      <c r="DU44" s="60">
        <f t="shared" si="44"/>
        <v>261.05678516705564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7.6</v>
      </c>
      <c r="EJ44" s="13">
        <f>IF('Données projet'!$A$192&gt;35,EJ43+EI44-ER43,IF(A44&lt;'Données projet'!$A$192,$EG$205^A44,IF(A44='Données projet'!$A$192,'Données projet'!$B$192,EJ43+EI44-ER43)))</f>
        <v>159.60000000000002</v>
      </c>
      <c r="EK44" s="18">
        <f>EJ44*VLOOKUP('Données projet'!$B$15,Paramètres!$A$1:$I$89,3,0)*VLOOKUP('Données projet'!$B$15,Paramètres!$A$1:$I$89,5,0)</f>
        <v>129.46752000000004</v>
      </c>
      <c r="EL44" s="14">
        <f t="shared" si="45"/>
        <v>33.873289462262882</v>
      </c>
      <c r="EM44" s="22">
        <f t="shared" si="19"/>
        <v>284.48524314677451</v>
      </c>
      <c r="EN44" s="60">
        <f t="shared" si="20"/>
        <v>533.08793274127845</v>
      </c>
      <c r="EO44" s="60">
        <f ca="1">AVERAGE(OFFSET($EN$3,0,0,'Données projet'!$E$15+1,1))-AVERAGE(OFFSET($H$3,0,0,'Données projet'!$E$15+1,1))</f>
        <v>272.69564942740931</v>
      </c>
      <c r="EP44" s="60">
        <f t="shared" si="46"/>
        <v>316.57989180609252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0">
        <f t="shared" si="0"/>
        <v>513.88411432981093</v>
      </c>
      <c r="S45" s="60">
        <f ca="1">AVERAGE(OFFSET($R$3,0,0,'Données projet'!$E$9+1,1))-AVERAGE(OFFSET($H$3,0,0,'Données projet'!$E$9+1,1))</f>
        <v>469.67944008675863</v>
      </c>
      <c r="T45" s="60">
        <f t="shared" si="34"/>
        <v>266.11908070867173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0">
        <f t="shared" si="5"/>
        <v>544.991657937745</v>
      </c>
      <c r="AN45" s="60">
        <f ca="1">AVERAGE(OFFSET($AM$3,0,0,'Données projet'!$E$10+1,1))-AVERAGE(OFFSET($H$3,0,0,'Données projet'!$E$10+1,1))</f>
        <v>516.30971934066179</v>
      </c>
      <c r="AO45" s="60">
        <f t="shared" si="36"/>
        <v>290.84286505723571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180.39999999999986</v>
      </c>
      <c r="BE45" s="14">
        <f>BD45*VLOOKUP('Données projet'!$B$11,Paramètres!$A$1:$I$89,3,0)*VLOOKUP('Données projet'!$B$11,Paramètres!$A$1:$I$89,5,0)</f>
        <v>132.2692799999999</v>
      </c>
      <c r="BF45" s="14">
        <f t="shared" si="37"/>
        <v>34.520194019648734</v>
      </c>
      <c r="BG45" s="22">
        <f t="shared" si="7"/>
        <v>290.49166725088799</v>
      </c>
      <c r="BH45" s="60">
        <f t="shared" si="8"/>
        <v>539.87033351152274</v>
      </c>
      <c r="BI45" s="60">
        <f ca="1">AVERAGE(OFFSET($BH$3,0,0,'Données projet'!$E$11+1,1))-AVERAGE(OFFSET($H$3,0,0,'Données projet'!$E$11+1,1))</f>
        <v>314.75847268052081</v>
      </c>
      <c r="BJ45" s="60">
        <f t="shared" si="38"/>
        <v>337.77701316755338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10.869230769230773</v>
      </c>
      <c r="BY45" s="13">
        <f>IF('Données projet'!$A$114&gt;35,BY44+BX45-CG44,IF(A45&lt;'Données projet'!$A$114,$BV$205^A45,IF(A45='Données projet'!$A$114,'Données projet'!$B$114,BY44+BX45-CG44)))</f>
        <v>219.53846153846152</v>
      </c>
      <c r="BZ45" s="14">
        <f>BY45*VLOOKUP('Données projet'!$B$12,Paramètres!$A$1:$I$89,3,0)*VLOOKUP('Données projet'!$B$12,Paramètres!$A$1:$I$89,5,0)</f>
        <v>102.74399999999999</v>
      </c>
      <c r="CA45" s="14">
        <f t="shared" si="39"/>
        <v>27.614684221611544</v>
      </c>
      <c r="CB45" s="22">
        <f t="shared" si="10"/>
        <v>227.04137501930674</v>
      </c>
      <c r="CC45" s="60">
        <f t="shared" si="11"/>
        <v>476.42004127994147</v>
      </c>
      <c r="CD45" s="60">
        <f ca="1">AVERAGE(OFFSET($CC$3,0,0,'Données projet'!$E$12+1,1))-AVERAGE(OFFSET($H$3,0,0,'Données projet'!$E$12+1,1))</f>
        <v>277.77877239988635</v>
      </c>
      <c r="CE45" s="60">
        <f t="shared" si="40"/>
        <v>164.65640238394164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</v>
      </c>
      <c r="CT45" s="13">
        <f>IF('Données projet'!$A$140&gt;35,CT44+CS45-DB44,IF(A45&lt;'Données projet'!$A$140,$CQ$205^A45,IF(A45='Données projet'!$A$140,'Données projet'!$B$140,CT44+CS45-DB44)))</f>
        <v>251</v>
      </c>
      <c r="CU45" s="18">
        <f>CT45*VLOOKUP('Données projet'!$B$13,Paramètres!$A$1:$I$89,3,0)*VLOOKUP('Données projet'!$B$13,Paramètres!$A$1:$I$89,5,0)</f>
        <v>227.10479999999998</v>
      </c>
      <c r="CV45" s="14">
        <f t="shared" si="41"/>
        <v>55.65621081652565</v>
      </c>
      <c r="CW45" s="22">
        <f t="shared" si="13"/>
        <v>492.47542717211553</v>
      </c>
      <c r="CX45" s="60">
        <f t="shared" si="14"/>
        <v>741.85409343275023</v>
      </c>
      <c r="CY45" s="60">
        <f ca="1">AVERAGE(OFFSET($CX$3,0,0,'Données projet'!$E$13+1,1))-AVERAGE(OFFSET($H$3,0,0,'Données projet'!$E$13+1,1))</f>
        <v>334.26876877415839</v>
      </c>
      <c r="CZ45" s="60">
        <f t="shared" si="42"/>
        <v>465.65761854152913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12.602564102564102</v>
      </c>
      <c r="DO45" s="13">
        <f>IF('Données projet'!$A$166&gt;35,DO44+DN45-DW44,IF(A45&lt;'Données projet'!$A$166,$DL$205^A45,IF(A45='Données projet'!$A$166,'Données projet'!$B$166,DO44+DN45-DW44)))</f>
        <v>114.56410256410261</v>
      </c>
      <c r="DP45" s="18">
        <f>DO45*VLOOKUP('Données projet'!$B$14,Paramètres!$A$1:$I$89,3,0)*VLOOKUP('Données projet'!$B$14,Paramètres!$A$1:$I$89,5,0)</f>
        <v>73.275200000000027</v>
      </c>
      <c r="DQ45" s="14">
        <f t="shared" si="43"/>
        <v>20.484627977168635</v>
      </c>
      <c r="DR45" s="22">
        <f t="shared" si="16"/>
        <v>163.29836706023542</v>
      </c>
      <c r="DS45" s="60">
        <f t="shared" si="17"/>
        <v>412.67703332087012</v>
      </c>
      <c r="DT45" s="60">
        <f ca="1">AVERAGE(OFFSET($DS$3,0,0,'Données projet'!$E$14+1,1))-AVERAGE(OFFSET($H$3,0,0,'Données projet'!$E$14+1,1))</f>
        <v>285.09561428624352</v>
      </c>
      <c r="DU45" s="60">
        <f t="shared" si="44"/>
        <v>261.05678516705564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7.6</v>
      </c>
      <c r="EJ45" s="13">
        <f>IF('Données projet'!$A$192&gt;35,EJ44+EI45-ER44,IF(A45&lt;'Données projet'!$A$192,$EG$205^A45,IF(A45='Données projet'!$A$192,'Données projet'!$B$192,EJ44+EI45-ER44)))</f>
        <v>167.20000000000002</v>
      </c>
      <c r="EK45" s="18">
        <f>EJ45*VLOOKUP('Données projet'!$B$15,Paramètres!$A$1:$I$89,3,0)*VLOOKUP('Données projet'!$B$15,Paramètres!$A$1:$I$89,5,0)</f>
        <v>135.63264000000004</v>
      </c>
      <c r="EL45" s="14">
        <f t="shared" si="45"/>
        <v>35.294666721954265</v>
      </c>
      <c r="EM45" s="22">
        <f t="shared" si="19"/>
        <v>297.69839254073707</v>
      </c>
      <c r="EN45" s="60">
        <f t="shared" si="20"/>
        <v>547.07705880137178</v>
      </c>
      <c r="EO45" s="60">
        <f ca="1">AVERAGE(OFFSET($EN$3,0,0,'Données projet'!$E$15+1,1))-AVERAGE(OFFSET($H$3,0,0,'Données projet'!$E$15+1,1))</f>
        <v>272.69564942740931</v>
      </c>
      <c r="EP45" s="60">
        <f t="shared" si="46"/>
        <v>316.57989180609252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530.9596425203481</v>
      </c>
      <c r="S46" s="60">
        <f ca="1">AVERAGE(OFFSET($R$3,0,0,'Données projet'!$E$9+1,1))-AVERAGE(OFFSET($H$3,0,0,'Données projet'!$E$9+1,1))</f>
        <v>469.67944008675863</v>
      </c>
      <c r="T46" s="60">
        <f t="shared" si="34"/>
        <v>266.11908070867173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0">
        <f t="shared" si="5"/>
        <v>563.99058187455717</v>
      </c>
      <c r="AN46" s="60">
        <f ca="1">AVERAGE(OFFSET($AM$3,0,0,'Données projet'!$E$10+1,1))-AVERAGE(OFFSET($H$3,0,0,'Données projet'!$E$10+1,1))</f>
        <v>516.30971934066179</v>
      </c>
      <c r="AO46" s="60">
        <f t="shared" si="36"/>
        <v>290.84286505723571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188.59999999999985</v>
      </c>
      <c r="BE46" s="14">
        <f>BD46*VLOOKUP('Données projet'!$B$11,Paramètres!$A$1:$I$89,3,0)*VLOOKUP('Données projet'!$B$11,Paramètres!$A$1:$I$89,5,0)</f>
        <v>138.28151999999989</v>
      </c>
      <c r="BF46" s="14">
        <f t="shared" si="37"/>
        <v>35.903043322174639</v>
      </c>
      <c r="BG46" s="22">
        <f t="shared" si="7"/>
        <v>303.37144778612065</v>
      </c>
      <c r="BH46" s="60">
        <f t="shared" si="8"/>
        <v>553.51262925255264</v>
      </c>
      <c r="BI46" s="60">
        <f ca="1">AVERAGE(OFFSET($BH$3,0,0,'Données projet'!$E$11+1,1))-AVERAGE(OFFSET($H$3,0,0,'Données projet'!$E$11+1,1))</f>
        <v>314.75847268052081</v>
      </c>
      <c r="BJ46" s="60">
        <f t="shared" si="38"/>
        <v>337.77701316755338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10.869230769230773</v>
      </c>
      <c r="BY46" s="13">
        <f>IF('Données projet'!$A$114&gt;35,BY45+BX46-CG45,IF(A46&lt;'Données projet'!$A$114,$BV$205^A46,IF(A46='Données projet'!$A$114,'Données projet'!$B$114,BY45+BX46-CG45)))</f>
        <v>230.40769230769229</v>
      </c>
      <c r="BZ46" s="14">
        <f>BY46*VLOOKUP('Données projet'!$B$12,Paramètres!$A$1:$I$89,3,0)*VLOOKUP('Données projet'!$B$12,Paramètres!$A$1:$I$89,5,0)</f>
        <v>107.8308</v>
      </c>
      <c r="CA46" s="14">
        <f t="shared" si="39"/>
        <v>28.819313214368158</v>
      </c>
      <c r="CB46" s="22">
        <f t="shared" si="10"/>
        <v>237.99894718169116</v>
      </c>
      <c r="CC46" s="60">
        <f t="shared" si="11"/>
        <v>488.14012864812321</v>
      </c>
      <c r="CD46" s="60">
        <f ca="1">AVERAGE(OFFSET($CC$3,0,0,'Données projet'!$E$12+1,1))-AVERAGE(OFFSET($H$3,0,0,'Données projet'!$E$12+1,1))</f>
        <v>277.77877239988635</v>
      </c>
      <c r="CE46" s="60">
        <f t="shared" si="40"/>
        <v>164.65640238394164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</v>
      </c>
      <c r="CT46" s="13">
        <f>IF('Données projet'!$A$140&gt;35,CT45+CS46-DB45,IF(A46&lt;'Données projet'!$A$140,$CQ$205^A46,IF(A46='Données projet'!$A$140,'Données projet'!$B$140,CT45+CS46-DB45)))</f>
        <v>256</v>
      </c>
      <c r="CU46" s="18">
        <f>CT46*VLOOKUP('Données projet'!$B$13,Paramètres!$A$1:$I$89,3,0)*VLOOKUP('Données projet'!$B$13,Paramètres!$A$1:$I$89,5,0)</f>
        <v>231.62879999999998</v>
      </c>
      <c r="CV46" s="14">
        <f t="shared" si="41"/>
        <v>56.63472139815822</v>
      </c>
      <c r="CW46" s="22">
        <f t="shared" si="13"/>
        <v>502.05896643512551</v>
      </c>
      <c r="CX46" s="60">
        <f t="shared" si="14"/>
        <v>752.20014790155756</v>
      </c>
      <c r="CY46" s="60">
        <f ca="1">AVERAGE(OFFSET($CX$3,0,0,'Données projet'!$E$13+1,1))-AVERAGE(OFFSET($H$3,0,0,'Données projet'!$E$13+1,1))</f>
        <v>334.26876877415839</v>
      </c>
      <c r="CZ46" s="60">
        <f t="shared" si="42"/>
        <v>465.65761854152913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12.602564102564102</v>
      </c>
      <c r="DO46" s="13">
        <f>IF('Données projet'!$A$166&gt;35,DO45+DN46-DW45,IF(A46&lt;'Données projet'!$A$166,$DL$205^A46,IF(A46='Données projet'!$A$166,'Données projet'!$B$166,DO45+DN46-DW45)))</f>
        <v>127.16666666666671</v>
      </c>
      <c r="DP46" s="18">
        <f>DO46*VLOOKUP('Données projet'!$B$14,Paramètres!$A$1:$I$89,3,0)*VLOOKUP('Données projet'!$B$14,Paramètres!$A$1:$I$89,5,0)</f>
        <v>81.335800000000035</v>
      </c>
      <c r="DQ46" s="14">
        <f t="shared" si="43"/>
        <v>22.463478730210714</v>
      </c>
      <c r="DR46" s="22">
        <f t="shared" si="16"/>
        <v>180.78374378845038</v>
      </c>
      <c r="DS46" s="60">
        <f t="shared" si="17"/>
        <v>430.9249252548824</v>
      </c>
      <c r="DT46" s="60">
        <f ca="1">AVERAGE(OFFSET($DS$3,0,0,'Données projet'!$E$14+1,1))-AVERAGE(OFFSET($H$3,0,0,'Données projet'!$E$14+1,1))</f>
        <v>285.09561428624352</v>
      </c>
      <c r="DU46" s="60">
        <f t="shared" si="44"/>
        <v>261.05678516705564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7.6</v>
      </c>
      <c r="EJ46" s="13">
        <f>IF('Données projet'!$A$192&gt;35,EJ45+EI46-ER45,IF(A46&lt;'Données projet'!$A$192,$EG$205^A46,IF(A46='Données projet'!$A$192,'Données projet'!$B$192,EJ45+EI46-ER45)))</f>
        <v>174.8</v>
      </c>
      <c r="EK46" s="18">
        <f>EJ46*VLOOKUP('Données projet'!$B$15,Paramètres!$A$1:$I$89,3,0)*VLOOKUP('Données projet'!$B$15,Paramètres!$A$1:$I$89,5,0)</f>
        <v>141.79776000000004</v>
      </c>
      <c r="EL46" s="14">
        <f t="shared" si="45"/>
        <v>36.708540735279854</v>
      </c>
      <c r="EM46" s="22">
        <f t="shared" si="19"/>
        <v>310.89847378061245</v>
      </c>
      <c r="EN46" s="60">
        <f t="shared" si="20"/>
        <v>561.03965524704449</v>
      </c>
      <c r="EO46" s="60">
        <f ca="1">AVERAGE(OFFSET($EN$3,0,0,'Données projet'!$E$15+1,1))-AVERAGE(OFFSET($H$3,0,0,'Données projet'!$E$15+1,1))</f>
        <v>272.69564942740931</v>
      </c>
      <c r="EP46" s="60">
        <f t="shared" si="46"/>
        <v>316.57989180609252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0">
        <f t="shared" si="0"/>
        <v>548.0007043785007</v>
      </c>
      <c r="S47" s="60">
        <f ca="1">AVERAGE(OFFSET($R$3,0,0,'Données projet'!$E$9+1,1))-AVERAGE(OFFSET($H$3,0,0,'Données projet'!$E$9+1,1))</f>
        <v>469.67944008675863</v>
      </c>
      <c r="T47" s="60">
        <f t="shared" si="34"/>
        <v>266.11908070867173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0">
        <f t="shared" si="5"/>
        <v>582.95278982375464</v>
      </c>
      <c r="AN47" s="60">
        <f ca="1">AVERAGE(OFFSET($AM$3,0,0,'Données projet'!$E$10+1,1))-AVERAGE(OFFSET($H$3,0,0,'Données projet'!$E$10+1,1))</f>
        <v>516.30971934066179</v>
      </c>
      <c r="AO47" s="60">
        <f t="shared" si="36"/>
        <v>290.84286505723571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196.79999999999984</v>
      </c>
      <c r="BE47" s="14">
        <f>BD47*VLOOKUP('Données projet'!$B$11,Paramètres!$A$1:$I$89,3,0)*VLOOKUP('Données projet'!$B$11,Paramètres!$A$1:$I$89,5,0)</f>
        <v>144.29375999999988</v>
      </c>
      <c r="BF47" s="14">
        <f t="shared" si="37"/>
        <v>37.278909560653922</v>
      </c>
      <c r="BG47" s="22">
        <f t="shared" si="7"/>
        <v>316.23906615147206</v>
      </c>
      <c r="BH47" s="60">
        <f t="shared" si="8"/>
        <v>567.12953488960943</v>
      </c>
      <c r="BI47" s="60">
        <f ca="1">AVERAGE(OFFSET($BH$3,0,0,'Données projet'!$E$11+1,1))-AVERAGE(OFFSET($H$3,0,0,'Données projet'!$E$11+1,1))</f>
        <v>314.75847268052081</v>
      </c>
      <c r="BJ47" s="60">
        <f t="shared" si="38"/>
        <v>337.77701316755338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10.869230769230773</v>
      </c>
      <c r="BY47" s="13">
        <f>IF('Données projet'!$A$114&gt;35,BY46+BX47-CG46,IF(A47&lt;'Données projet'!$A$114,$BV$205^A47,IF(A47='Données projet'!$A$114,'Données projet'!$B$114,BY46+BX47-CG46)))</f>
        <v>241.27692307692305</v>
      </c>
      <c r="BZ47" s="14">
        <f>BY47*VLOOKUP('Données projet'!$B$12,Paramètres!$A$1:$I$89,3,0)*VLOOKUP('Données projet'!$B$12,Paramètres!$A$1:$I$89,5,0)</f>
        <v>112.91759999999999</v>
      </c>
      <c r="CA47" s="14">
        <f t="shared" si="39"/>
        <v>30.017343081157474</v>
      </c>
      <c r="CB47" s="22">
        <f t="shared" si="10"/>
        <v>248.9450258663492</v>
      </c>
      <c r="CC47" s="60">
        <f t="shared" si="11"/>
        <v>499.8354946044866</v>
      </c>
      <c r="CD47" s="60">
        <f ca="1">AVERAGE(OFFSET($CC$3,0,0,'Données projet'!$E$12+1,1))-AVERAGE(OFFSET($H$3,0,0,'Données projet'!$E$12+1,1))</f>
        <v>277.77877239988635</v>
      </c>
      <c r="CE47" s="60">
        <f t="shared" si="40"/>
        <v>164.65640238394164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</v>
      </c>
      <c r="CT47" s="13">
        <f>IF('Données projet'!$A$140&gt;35,CT46+CS47-DB46,IF(A47&lt;'Données projet'!$A$140,$CQ$205^A47,IF(A47='Données projet'!$A$140,'Données projet'!$B$140,CT46+CS47-DB46)))</f>
        <v>261</v>
      </c>
      <c r="CU47" s="18">
        <f>CT47*VLOOKUP('Données projet'!$B$13,Paramètres!$A$1:$I$89,3,0)*VLOOKUP('Données projet'!$B$13,Paramètres!$A$1:$I$89,5,0)</f>
        <v>236.15280000000001</v>
      </c>
      <c r="CV47" s="14">
        <f t="shared" si="41"/>
        <v>57.61100977459936</v>
      </c>
      <c r="CW47" s="22">
        <f t="shared" si="13"/>
        <v>511.63863535742729</v>
      </c>
      <c r="CX47" s="60">
        <f t="shared" si="14"/>
        <v>762.52910409556466</v>
      </c>
      <c r="CY47" s="60">
        <f ca="1">AVERAGE(OFFSET($CX$3,0,0,'Données projet'!$E$13+1,1))-AVERAGE(OFFSET($H$3,0,0,'Données projet'!$E$13+1,1))</f>
        <v>334.26876877415839</v>
      </c>
      <c r="CZ47" s="60">
        <f t="shared" si="42"/>
        <v>465.65761854152913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12.602564102564102</v>
      </c>
      <c r="DO47" s="13">
        <f>IF('Données projet'!$A$166&gt;35,DO46+DN47-DW46,IF(A47&lt;'Données projet'!$A$166,$DL$205^A47,IF(A47='Données projet'!$A$166,'Données projet'!$B$166,DO46+DN47-DW46)))</f>
        <v>139.76923076923083</v>
      </c>
      <c r="DP47" s="18">
        <f>DO47*VLOOKUP('Données projet'!$B$14,Paramètres!$A$1:$I$89,3,0)*VLOOKUP('Données projet'!$B$14,Paramètres!$A$1:$I$89,5,0)</f>
        <v>89.396400000000042</v>
      </c>
      <c r="DQ47" s="14">
        <f t="shared" si="43"/>
        <v>24.419594244722955</v>
      </c>
      <c r="DR47" s="22">
        <f t="shared" si="16"/>
        <v>198.22952330955923</v>
      </c>
      <c r="DS47" s="60">
        <f t="shared" si="17"/>
        <v>449.11999204769666</v>
      </c>
      <c r="DT47" s="60">
        <f ca="1">AVERAGE(OFFSET($DS$3,0,0,'Données projet'!$E$14+1,1))-AVERAGE(OFFSET($H$3,0,0,'Données projet'!$E$14+1,1))</f>
        <v>285.09561428624352</v>
      </c>
      <c r="DU47" s="60">
        <f t="shared" si="44"/>
        <v>261.05678516705564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7.6</v>
      </c>
      <c r="EJ47" s="13">
        <f>IF('Données projet'!$A$192&gt;35,EJ46+EI47-ER46,IF(A47&lt;'Données projet'!$A$192,$EG$205^A47,IF(A47='Données projet'!$A$192,'Données projet'!$B$192,EJ46+EI47-ER46)))</f>
        <v>182.4</v>
      </c>
      <c r="EK47" s="18">
        <f>EJ47*VLOOKUP('Données projet'!$B$15,Paramètres!$A$1:$I$89,3,0)*VLOOKUP('Données projet'!$B$15,Paramètres!$A$1:$I$89,5,0)</f>
        <v>147.96288000000001</v>
      </c>
      <c r="EL47" s="14">
        <f t="shared" si="45"/>
        <v>38.115275017059226</v>
      </c>
      <c r="EM47" s="22">
        <f t="shared" si="19"/>
        <v>324.0861199880448</v>
      </c>
      <c r="EN47" s="60">
        <f t="shared" si="20"/>
        <v>574.97658872618217</v>
      </c>
      <c r="EO47" s="60">
        <f ca="1">AVERAGE(OFFSET($EN$3,0,0,'Données projet'!$E$15+1,1))-AVERAGE(OFFSET($H$3,0,0,'Données projet'!$E$15+1,1))</f>
        <v>272.69564942740931</v>
      </c>
      <c r="EP47" s="60">
        <f t="shared" si="46"/>
        <v>316.57989180609252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565.00885781333056</v>
      </c>
      <c r="S48" s="60">
        <f ca="1">AVERAGE(OFFSET($R$3,0,0,'Données projet'!$E$9+1,1))-AVERAGE(OFFSET($H$3,0,0,'Données projet'!$E$9+1,1))</f>
        <v>469.67944008675863</v>
      </c>
      <c r="T48" s="60">
        <f t="shared" si="34"/>
        <v>266.11908070867173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0">
        <f t="shared" si="5"/>
        <v>601.87998040738603</v>
      </c>
      <c r="AN48" s="60">
        <f ca="1">AVERAGE(OFFSET($AM$3,0,0,'Données projet'!$E$10+1,1))-AVERAGE(OFFSET($H$3,0,0,'Données projet'!$E$10+1,1))</f>
        <v>516.30971934066179</v>
      </c>
      <c r="AO48" s="60">
        <f t="shared" si="36"/>
        <v>290.84286505723571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204.99999999999983</v>
      </c>
      <c r="BE48" s="14">
        <f>BD48*VLOOKUP('Données projet'!$B$11,Paramètres!$A$1:$I$89,3,0)*VLOOKUP('Données projet'!$B$11,Paramètres!$A$1:$I$89,5,0)</f>
        <v>150.30599999999987</v>
      </c>
      <c r="BF48" s="14">
        <f t="shared" si="37"/>
        <v>38.648116968856641</v>
      </c>
      <c r="BG48" s="22">
        <f t="shared" si="7"/>
        <v>329.09508705409172</v>
      </c>
      <c r="BH48" s="60">
        <f t="shared" si="8"/>
        <v>580.72184460492588</v>
      </c>
      <c r="BI48" s="60">
        <f ca="1">AVERAGE(OFFSET($BH$3,0,0,'Données projet'!$E$11+1,1))-AVERAGE(OFFSET($H$3,0,0,'Données projet'!$E$11+1,1))</f>
        <v>314.75847268052081</v>
      </c>
      <c r="BJ48" s="60">
        <f t="shared" si="38"/>
        <v>337.77701316755338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252.14615384615385</v>
      </c>
      <c r="BW48" s="13">
        <f>VLOOKUP(A48,'Données projet'!$A$113:$I$133,9,0)</f>
        <v>10.869230769230773</v>
      </c>
      <c r="BX48" s="13">
        <f t="array" ref="BX48">INDEX(BW:BW,MIN(IF(ISNUMBER(BW48:BW244),ROW(BW48:BW244),"")))</f>
        <v>10.869230769230773</v>
      </c>
      <c r="BY48" s="13">
        <f>IF('Données projet'!$A$114&gt;35,BY47+BX48-CG47,IF(A48&lt;'Données projet'!$A$114,$BV$205^A48,IF(A48='Données projet'!$A$114,'Données projet'!$B$114,BY47+BX48-CG47)))</f>
        <v>252.14615384615382</v>
      </c>
      <c r="BZ48" s="14">
        <f>BY48*VLOOKUP('Données projet'!$B$12,Paramètres!$A$1:$I$89,3,0)*VLOOKUP('Données projet'!$B$12,Paramètres!$A$1:$I$89,5,0)</f>
        <v>118.00439999999999</v>
      </c>
      <c r="CA48" s="14">
        <f t="shared" si="39"/>
        <v>31.209105068500421</v>
      </c>
      <c r="CB48" s="22">
        <f t="shared" si="10"/>
        <v>259.88018799430489</v>
      </c>
      <c r="CC48" s="60">
        <f t="shared" si="11"/>
        <v>511.50694554513905</v>
      </c>
      <c r="CD48" s="60">
        <f ca="1">AVERAGE(OFFSET($CC$3,0,0,'Données projet'!$E$12+1,1))-AVERAGE(OFFSET($H$3,0,0,'Données projet'!$E$12+1,1))</f>
        <v>277.77877239988635</v>
      </c>
      <c r="CE48" s="60">
        <f t="shared" si="40"/>
        <v>164.65640238394164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266</v>
      </c>
      <c r="CR48" s="13">
        <f>VLOOKUP(A48,'Données projet'!$A$139:$I$159,9,0)</f>
        <v>5</v>
      </c>
      <c r="CS48" s="13">
        <f t="array" ref="CS48">INDEX(CR:CR,MIN(IF(ISNUMBER(CR48:CR244),ROW(CR48:CR244),"")))</f>
        <v>5</v>
      </c>
      <c r="CT48" s="13">
        <f>IF('Données projet'!$A$140&gt;35,CT47+CS48-DB47,IF(A48&lt;'Données projet'!$A$140,$CQ$205^A48,IF(A48='Données projet'!$A$140,'Données projet'!$B$140,CT47+CS48-DB47)))</f>
        <v>266</v>
      </c>
      <c r="CU48" s="18">
        <f>CT48*VLOOKUP('Données projet'!$B$13,Paramètres!$A$1:$I$89,3,0)*VLOOKUP('Données projet'!$B$13,Paramètres!$A$1:$I$89,5,0)</f>
        <v>240.67680000000001</v>
      </c>
      <c r="CV48" s="14">
        <f t="shared" si="41"/>
        <v>58.585123425001029</v>
      </c>
      <c r="CW48" s="22">
        <f t="shared" si="13"/>
        <v>521.21451663187679</v>
      </c>
      <c r="CX48" s="60">
        <f t="shared" si="14"/>
        <v>772.84127418271089</v>
      </c>
      <c r="CY48" s="60">
        <f ca="1">AVERAGE(OFFSET($CX$3,0,0,'Données projet'!$E$13+1,1))-AVERAGE(OFFSET($H$3,0,0,'Données projet'!$E$13+1,1))</f>
        <v>334.26876877415839</v>
      </c>
      <c r="CZ48" s="60">
        <f t="shared" si="42"/>
        <v>465.65761854152913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266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12.602564102564102</v>
      </c>
      <c r="DO48" s="13">
        <f>IF('Données projet'!$A$166&gt;35,DO47+DN48-DW47,IF(A48&lt;'Données projet'!$A$166,$DL$205^A48,IF(A48='Données projet'!$A$166,'Données projet'!$B$166,DO47+DN48-DW47)))</f>
        <v>152.37179487179492</v>
      </c>
      <c r="DP48" s="18">
        <f>DO48*VLOOKUP('Données projet'!$B$14,Paramètres!$A$1:$I$89,3,0)*VLOOKUP('Données projet'!$B$14,Paramètres!$A$1:$I$89,5,0)</f>
        <v>97.457000000000036</v>
      </c>
      <c r="DQ48" s="14">
        <f t="shared" si="43"/>
        <v>26.355257613045527</v>
      </c>
      <c r="DR48" s="22">
        <f t="shared" si="16"/>
        <v>215.63968200938768</v>
      </c>
      <c r="DS48" s="60">
        <f t="shared" si="17"/>
        <v>467.26643956022178</v>
      </c>
      <c r="DT48" s="60">
        <f ca="1">AVERAGE(OFFSET($DS$3,0,0,'Données projet'!$E$14+1,1))-AVERAGE(OFFSET($H$3,0,0,'Données projet'!$E$14+1,1))</f>
        <v>285.09561428624352</v>
      </c>
      <c r="DU48" s="60">
        <f t="shared" si="44"/>
        <v>261.05678516705564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</v>
      </c>
      <c r="EH48" s="13">
        <f>VLOOKUP(A48,'Données projet'!$A$191:$I$211,9,0)</f>
        <v>7.6</v>
      </c>
      <c r="EI48" s="13">
        <f t="array" ref="EI48">INDEX(EH:EH,MIN(IF(ISNUMBER(EH48:EH244),ROW(EH48:EH244),"")))</f>
        <v>7.6</v>
      </c>
      <c r="EJ48" s="13">
        <f>IF('Données projet'!$A$192&gt;35,EJ47+EI48-ER47,IF(A48&lt;'Données projet'!$A$192,$EG$205^A48,IF(A48='Données projet'!$A$192,'Données projet'!$B$192,EJ47+EI48-ER47)))</f>
        <v>190</v>
      </c>
      <c r="EK48" s="18">
        <f>EJ48*VLOOKUP('Données projet'!$B$15,Paramètres!$A$1:$I$89,3,0)*VLOOKUP('Données projet'!$B$15,Paramètres!$A$1:$I$89,5,0)</f>
        <v>154.12800000000001</v>
      </c>
      <c r="EL48" s="14">
        <f t="shared" si="45"/>
        <v>39.515201075361155</v>
      </c>
      <c r="EM48" s="22">
        <f t="shared" si="19"/>
        <v>337.26190853958735</v>
      </c>
      <c r="EN48" s="60">
        <f t="shared" si="20"/>
        <v>588.88866609042145</v>
      </c>
      <c r="EO48" s="60">
        <f ca="1">AVERAGE(OFFSET($EN$3,0,0,'Données projet'!$E$15+1,1))-AVERAGE(OFFSET($H$3,0,0,'Données projet'!$E$15+1,1))</f>
        <v>272.69564942740931</v>
      </c>
      <c r="EP48" s="60">
        <f t="shared" si="46"/>
        <v>316.57989180609252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0">
        <f t="shared" si="0"/>
        <v>581.59873753522481</v>
      </c>
      <c r="S49" s="60">
        <f ca="1">AVERAGE(OFFSET($R$3,0,0,'Données projet'!$E$9+1,1))-AVERAGE(OFFSET($H$3,0,0,'Données projet'!$E$9+1,1))</f>
        <v>469.67944008675863</v>
      </c>
      <c r="T49" s="60">
        <f t="shared" si="34"/>
        <v>266.11908070867173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0">
        <f t="shared" si="5"/>
        <v>620.34129129946962</v>
      </c>
      <c r="AN49" s="60">
        <f ca="1">AVERAGE(OFFSET($AM$3,0,0,'Données projet'!$E$10+1,1))-AVERAGE(OFFSET($H$3,0,0,'Données projet'!$E$10+1,1))</f>
        <v>516.30971934066179</v>
      </c>
      <c r="AO49" s="60">
        <f t="shared" si="36"/>
        <v>290.84286505723571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211.99999999999983</v>
      </c>
      <c r="BE49" s="14">
        <f>BD49*VLOOKUP('Données projet'!$B$11,Paramètres!$A$1:$I$89,3,0)*VLOOKUP('Données projet'!$B$11,Paramètres!$A$1:$I$89,5,0)</f>
        <v>155.43839999999986</v>
      </c>
      <c r="BF49" s="14">
        <f t="shared" si="37"/>
        <v>39.811908198208883</v>
      </c>
      <c r="BG49" s="22">
        <f t="shared" si="7"/>
        <v>340.06095344521356</v>
      </c>
      <c r="BH49" s="60">
        <f t="shared" si="8"/>
        <v>592.41122684393918</v>
      </c>
      <c r="BI49" s="60">
        <f ca="1">AVERAGE(OFFSET($BH$3,0,0,'Données projet'!$E$11+1,1))-AVERAGE(OFFSET($H$3,0,0,'Données projet'!$E$11+1,1))</f>
        <v>314.75847268052081</v>
      </c>
      <c r="BJ49" s="60">
        <f t="shared" si="38"/>
        <v>337.77701316755338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11.615384615384608</v>
      </c>
      <c r="BY49" s="13">
        <f>IF('Données projet'!$A$114&gt;35,BY48+BX49-CG48,IF(A49&lt;'Données projet'!$A$114,$BV$205^A49,IF(A49='Données projet'!$A$114,'Données projet'!$B$114,BY48+BX49-CG48)))</f>
        <v>263.76153846153841</v>
      </c>
      <c r="BZ49" s="14">
        <f>BY49*VLOOKUP('Données projet'!$B$12,Paramètres!$A$1:$I$89,3,0)*VLOOKUP('Données projet'!$B$12,Paramètres!$A$1:$I$89,5,0)</f>
        <v>123.44039999999998</v>
      </c>
      <c r="CA49" s="14">
        <f t="shared" si="39"/>
        <v>32.476091260477197</v>
      </c>
      <c r="CB49" s="22">
        <f t="shared" si="10"/>
        <v>271.55455561199773</v>
      </c>
      <c r="CC49" s="60">
        <f t="shared" si="11"/>
        <v>523.90482901072335</v>
      </c>
      <c r="CD49" s="60">
        <f ca="1">AVERAGE(OFFSET($CC$3,0,0,'Données projet'!$E$12+1,1))-AVERAGE(OFFSET($H$3,0,0,'Données projet'!$E$12+1,1))</f>
        <v>277.77877239988635</v>
      </c>
      <c r="CE49" s="60">
        <f t="shared" si="40"/>
        <v>164.65640238394164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0" t="e">
        <f t="shared" si="14"/>
        <v>#NUM!</v>
      </c>
      <c r="CY49" s="60">
        <f ca="1">AVERAGE(OFFSET($CX$3,0,0,'Données projet'!$E$13+1,1))-AVERAGE(OFFSET($H$3,0,0,'Données projet'!$E$13+1,1))</f>
        <v>334.26876877415839</v>
      </c>
      <c r="CZ49" s="60">
        <f t="shared" si="42"/>
        <v>465.65761854152913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12.602564102564102</v>
      </c>
      <c r="DO49" s="13">
        <f>IF('Données projet'!$A$166&gt;35,DO48+DN49-DW48,IF(A49&lt;'Données projet'!$A$166,$DL$205^A49,IF(A49='Données projet'!$A$166,'Données projet'!$B$166,DO48+DN49-DW48)))</f>
        <v>164.97435897435901</v>
      </c>
      <c r="DP49" s="18">
        <f>DO49*VLOOKUP('Données projet'!$B$14,Paramètres!$A$1:$I$89,3,0)*VLOOKUP('Données projet'!$B$14,Paramètres!$A$1:$I$89,5,0)</f>
        <v>105.51760000000002</v>
      </c>
      <c r="DQ49" s="14">
        <f t="shared" si="43"/>
        <v>28.272352734447949</v>
      </c>
      <c r="DR49" s="22">
        <f t="shared" si="16"/>
        <v>233.01750101249687</v>
      </c>
      <c r="DS49" s="60">
        <f t="shared" si="17"/>
        <v>485.36777441122251</v>
      </c>
      <c r="DT49" s="60">
        <f ca="1">AVERAGE(OFFSET($DS$3,0,0,'Données projet'!$E$14+1,1))-AVERAGE(OFFSET($H$3,0,0,'Données projet'!$E$14+1,1))</f>
        <v>285.09561428624352</v>
      </c>
      <c r="DU49" s="60">
        <f t="shared" si="44"/>
        <v>261.05678516705564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7.6</v>
      </c>
      <c r="EJ49" s="13">
        <f>IF('Données projet'!$A$192&gt;35,EJ48+EI49-ER48,IF(A49&lt;'Données projet'!$A$192,$EG$205^A49,IF(A49='Données projet'!$A$192,'Données projet'!$B$192,EJ48+EI49-ER48)))</f>
        <v>197.6</v>
      </c>
      <c r="EK49" s="18">
        <f>EJ49*VLOOKUP('Données projet'!$B$15,Paramètres!$A$1:$I$89,3,0)*VLOOKUP('Données projet'!$B$15,Paramètres!$A$1:$I$89,5,0)</f>
        <v>160.29311999999999</v>
      </c>
      <c r="EL49" s="14">
        <f t="shared" si="45"/>
        <v>40.908622396455648</v>
      </c>
      <c r="EM49" s="22">
        <f t="shared" si="19"/>
        <v>350.42636800716019</v>
      </c>
      <c r="EN49" s="60">
        <f t="shared" si="20"/>
        <v>602.77664140588581</v>
      </c>
      <c r="EO49" s="60">
        <f ca="1">AVERAGE(OFFSET($EN$3,0,0,'Données projet'!$E$15+1,1))-AVERAGE(OFFSET($H$3,0,0,'Données projet'!$E$15+1,1))</f>
        <v>272.69564942740931</v>
      </c>
      <c r="EP49" s="60">
        <f t="shared" si="46"/>
        <v>316.57989180609252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0">
        <f t="shared" si="0"/>
        <v>598.15919804455507</v>
      </c>
      <c r="S50" s="60">
        <f ca="1">AVERAGE(OFFSET($R$3,0,0,'Données projet'!$E$9+1,1))-AVERAGE(OFFSET($H$3,0,0,'Données projet'!$E$9+1,1))</f>
        <v>469.67944008675863</v>
      </c>
      <c r="T50" s="60">
        <f t="shared" si="34"/>
        <v>266.11908070867173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0">
        <f t="shared" si="5"/>
        <v>638.7713962716407</v>
      </c>
      <c r="AN50" s="60">
        <f ca="1">AVERAGE(OFFSET($AM$3,0,0,'Données projet'!$E$10+1,1))-AVERAGE(OFFSET($H$3,0,0,'Données projet'!$E$10+1,1))</f>
        <v>516.30971934066179</v>
      </c>
      <c r="AO50" s="60">
        <f t="shared" si="36"/>
        <v>290.84286505723571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218.99999999999983</v>
      </c>
      <c r="BE50" s="14">
        <f>BD50*VLOOKUP('Données projet'!$B$11,Paramètres!$A$1:$I$89,3,0)*VLOOKUP('Données projet'!$B$11,Paramètres!$A$1:$I$89,5,0)</f>
        <v>160.57079999999985</v>
      </c>
      <c r="BF50" s="14">
        <f t="shared" si="37"/>
        <v>40.97123424416818</v>
      </c>
      <c r="BG50" s="22">
        <f t="shared" si="7"/>
        <v>351.01904297525931</v>
      </c>
      <c r="BH50" s="60">
        <f t="shared" si="8"/>
        <v>604.08028083945464</v>
      </c>
      <c r="BI50" s="60">
        <f ca="1">AVERAGE(OFFSET($BH$3,0,0,'Données projet'!$E$11+1,1))-AVERAGE(OFFSET($H$3,0,0,'Données projet'!$E$11+1,1))</f>
        <v>314.75847268052081</v>
      </c>
      <c r="BJ50" s="60">
        <f t="shared" si="38"/>
        <v>337.77701316755338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11.615384615384608</v>
      </c>
      <c r="BY50" s="13">
        <f>IF('Données projet'!$A$114&gt;35,BY49+BX50-CG49,IF(A50&lt;'Données projet'!$A$114,$BV$205^A50,IF(A50='Données projet'!$A$114,'Données projet'!$B$114,BY49+BX50-CG49)))</f>
        <v>275.37692307692299</v>
      </c>
      <c r="BZ50" s="14">
        <f>BY50*VLOOKUP('Données projet'!$B$12,Paramètres!$A$1:$I$89,3,0)*VLOOKUP('Données projet'!$B$12,Paramètres!$A$1:$I$89,5,0)</f>
        <v>128.87639999999996</v>
      </c>
      <c r="CA50" s="14">
        <f t="shared" si="39"/>
        <v>33.736597338654839</v>
      </c>
      <c r="CB50" s="22">
        <f t="shared" si="10"/>
        <v>283.21763703149043</v>
      </c>
      <c r="CC50" s="60">
        <f t="shared" si="11"/>
        <v>536.27887489568582</v>
      </c>
      <c r="CD50" s="60">
        <f ca="1">AVERAGE(OFFSET($CC$3,0,0,'Données projet'!$E$12+1,1))-AVERAGE(OFFSET($H$3,0,0,'Données projet'!$E$12+1,1))</f>
        <v>277.77877239988635</v>
      </c>
      <c r="CE50" s="60">
        <f t="shared" si="40"/>
        <v>164.65640238394164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0" t="e">
        <f t="shared" si="14"/>
        <v>#NUM!</v>
      </c>
      <c r="CY50" s="60">
        <f ca="1">AVERAGE(OFFSET($CX$3,0,0,'Données projet'!$E$13+1,1))-AVERAGE(OFFSET($H$3,0,0,'Données projet'!$E$13+1,1))</f>
        <v>334.26876877415839</v>
      </c>
      <c r="CZ50" s="60">
        <f t="shared" si="42"/>
        <v>465.65761854152913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12.602564102564102</v>
      </c>
      <c r="DO50" s="13">
        <f>IF('Données projet'!$A$166&gt;35,DO49+DN50-DW49,IF(A50&lt;'Données projet'!$A$166,$DL$205^A50,IF(A50='Données projet'!$A$166,'Données projet'!$B$166,DO49+DN50-DW49)))</f>
        <v>177.57692307692309</v>
      </c>
      <c r="DP50" s="18">
        <f>DO50*VLOOKUP('Données projet'!$B$14,Paramètres!$A$1:$I$89,3,0)*VLOOKUP('Données projet'!$B$14,Paramètres!$A$1:$I$89,5,0)</f>
        <v>113.57820000000001</v>
      </c>
      <c r="DQ50" s="14">
        <f t="shared" si="43"/>
        <v>30.172459336215461</v>
      </c>
      <c r="DR50" s="22">
        <f t="shared" si="16"/>
        <v>250.36573167724194</v>
      </c>
      <c r="DS50" s="60">
        <f t="shared" si="17"/>
        <v>503.4269695414373</v>
      </c>
      <c r="DT50" s="60">
        <f ca="1">AVERAGE(OFFSET($DS$3,0,0,'Données projet'!$E$14+1,1))-AVERAGE(OFFSET($H$3,0,0,'Données projet'!$E$14+1,1))</f>
        <v>285.09561428624352</v>
      </c>
      <c r="DU50" s="60">
        <f t="shared" si="44"/>
        <v>261.05678516705564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7.6</v>
      </c>
      <c r="EJ50" s="13">
        <f>IF('Données projet'!$A$192&gt;35,EJ49+EI50-ER49,IF(A50&lt;'Données projet'!$A$192,$EG$205^A50,IF(A50='Données projet'!$A$192,'Données projet'!$B$192,EJ49+EI50-ER49)))</f>
        <v>205.2</v>
      </c>
      <c r="EK50" s="18">
        <f>EJ50*VLOOKUP('Données projet'!$B$15,Paramètres!$A$1:$I$89,3,0)*VLOOKUP('Données projet'!$B$15,Paramètres!$A$1:$I$89,5,0)</f>
        <v>166.45823999999999</v>
      </c>
      <c r="EL50" s="14">
        <f t="shared" si="45"/>
        <v>42.295817799452642</v>
      </c>
      <c r="EM50" s="22">
        <f t="shared" si="19"/>
        <v>363.5799840007133</v>
      </c>
      <c r="EN50" s="60">
        <f t="shared" si="20"/>
        <v>616.64122186490863</v>
      </c>
      <c r="EO50" s="60">
        <f ca="1">AVERAGE(OFFSET($EN$3,0,0,'Données projet'!$E$15+1,1))-AVERAGE(OFFSET($H$3,0,0,'Données projet'!$E$15+1,1))</f>
        <v>272.69564942740931</v>
      </c>
      <c r="EP50" s="60">
        <f t="shared" si="46"/>
        <v>316.57989180609252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0">
        <f t="shared" si="0"/>
        <v>614.69134074117255</v>
      </c>
      <c r="S51" s="60">
        <f ca="1">AVERAGE(OFFSET($R$3,0,0,'Données projet'!$E$9+1,1))-AVERAGE(OFFSET($H$3,0,0,'Données projet'!$E$9+1,1))</f>
        <v>469.67944008675863</v>
      </c>
      <c r="T51" s="60">
        <f t="shared" si="34"/>
        <v>266.11908070867173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0">
        <f t="shared" si="5"/>
        <v>657.17149032466796</v>
      </c>
      <c r="AN51" s="60">
        <f ca="1">AVERAGE(OFFSET($AM$3,0,0,'Données projet'!$E$10+1,1))-AVERAGE(OFFSET($H$3,0,0,'Données projet'!$E$10+1,1))</f>
        <v>516.30971934066179</v>
      </c>
      <c r="AO51" s="60">
        <f t="shared" si="36"/>
        <v>290.84286505723571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225.99999999999983</v>
      </c>
      <c r="BE51" s="14">
        <f>BD51*VLOOKUP('Données projet'!$B$11,Paramètres!$A$1:$I$89,3,0)*VLOOKUP('Données projet'!$B$11,Paramètres!$A$1:$I$89,5,0)</f>
        <v>165.70319999999987</v>
      </c>
      <c r="BF51" s="14">
        <f t="shared" si="37"/>
        <v>42.126254201367267</v>
      </c>
      <c r="BG51" s="22">
        <f t="shared" si="7"/>
        <v>361.96963273404771</v>
      </c>
      <c r="BH51" s="60">
        <f t="shared" si="8"/>
        <v>615.72950141971546</v>
      </c>
      <c r="BI51" s="60">
        <f ca="1">AVERAGE(OFFSET($BH$3,0,0,'Données projet'!$E$11+1,1))-AVERAGE(OFFSET($H$3,0,0,'Données projet'!$E$11+1,1))</f>
        <v>314.75847268052081</v>
      </c>
      <c r="BJ51" s="60">
        <f t="shared" si="38"/>
        <v>337.77701316755338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11.615384615384608</v>
      </c>
      <c r="BY51" s="13">
        <f>IF('Données projet'!$A$114&gt;35,BY50+BX51-CG50,IF(A51&lt;'Données projet'!$A$114,$BV$205^A51,IF(A51='Données projet'!$A$114,'Données projet'!$B$114,BY50+BX51-CG50)))</f>
        <v>286.99230769230758</v>
      </c>
      <c r="BZ51" s="14">
        <f>BY51*VLOOKUP('Données projet'!$B$12,Paramètres!$A$1:$I$89,3,0)*VLOOKUP('Données projet'!$B$12,Paramètres!$A$1:$I$89,5,0)</f>
        <v>134.31239999999994</v>
      </c>
      <c r="CA51" s="14">
        <f t="shared" si="39"/>
        <v>34.990927885997522</v>
      </c>
      <c r="CB51" s="22">
        <f t="shared" si="10"/>
        <v>294.86996273477894</v>
      </c>
      <c r="CC51" s="60">
        <f t="shared" si="11"/>
        <v>548.62983142044664</v>
      </c>
      <c r="CD51" s="60">
        <f ca="1">AVERAGE(OFFSET($CC$3,0,0,'Données projet'!$E$12+1,1))-AVERAGE(OFFSET($H$3,0,0,'Données projet'!$E$12+1,1))</f>
        <v>277.77877239988635</v>
      </c>
      <c r="CE51" s="60">
        <f t="shared" si="40"/>
        <v>164.65640238394164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0" t="e">
        <f t="shared" si="14"/>
        <v>#NUM!</v>
      </c>
      <c r="CY51" s="60">
        <f ca="1">AVERAGE(OFFSET($CX$3,0,0,'Données projet'!$E$13+1,1))-AVERAGE(OFFSET($H$3,0,0,'Données projet'!$E$13+1,1))</f>
        <v>334.26876877415839</v>
      </c>
      <c r="CZ51" s="60">
        <f t="shared" si="42"/>
        <v>465.65761854152913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12.602564102564102</v>
      </c>
      <c r="DO51" s="13">
        <f>IF('Données projet'!$A$166&gt;35,DO50+DN51-DW50,IF(A51&lt;'Données projet'!$A$166,$DL$205^A51,IF(A51='Données projet'!$A$166,'Données projet'!$B$166,DO50+DN51-DW50)))</f>
        <v>190.17948717948718</v>
      </c>
      <c r="DP51" s="18">
        <f>DO51*VLOOKUP('Données projet'!$B$14,Paramètres!$A$1:$I$89,3,0)*VLOOKUP('Données projet'!$B$14,Paramètres!$A$1:$I$89,5,0)</f>
        <v>121.6388</v>
      </c>
      <c r="DQ51" s="14">
        <f t="shared" si="43"/>
        <v>32.056920216971605</v>
      </c>
      <c r="DR51" s="22">
        <f t="shared" si="16"/>
        <v>267.68671271122554</v>
      </c>
      <c r="DS51" s="60">
        <f t="shared" si="17"/>
        <v>521.44658139689318</v>
      </c>
      <c r="DT51" s="60">
        <f ca="1">AVERAGE(OFFSET($DS$3,0,0,'Données projet'!$E$14+1,1))-AVERAGE(OFFSET($H$3,0,0,'Données projet'!$E$14+1,1))</f>
        <v>285.09561428624352</v>
      </c>
      <c r="DU51" s="60">
        <f t="shared" si="44"/>
        <v>261.05678516705564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7.6</v>
      </c>
      <c r="EJ51" s="13">
        <f>IF('Données projet'!$A$192&gt;35,EJ50+EI51-ER50,IF(A51&lt;'Données projet'!$A$192,$EG$205^A51,IF(A51='Données projet'!$A$192,'Données projet'!$B$192,EJ50+EI51-ER50)))</f>
        <v>212.79999999999998</v>
      </c>
      <c r="EK51" s="18">
        <f>EJ51*VLOOKUP('Données projet'!$B$15,Paramètres!$A$1:$I$89,3,0)*VLOOKUP('Données projet'!$B$15,Paramètres!$A$1:$I$89,5,0)</f>
        <v>172.62335999999999</v>
      </c>
      <c r="EL51" s="14">
        <f t="shared" si="45"/>
        <v>43.67704427998607</v>
      </c>
      <c r="EM51" s="22">
        <f t="shared" si="19"/>
        <v>376.72320412097571</v>
      </c>
      <c r="EN51" s="60">
        <f t="shared" si="20"/>
        <v>630.48307280664335</v>
      </c>
      <c r="EO51" s="60">
        <f ca="1">AVERAGE(OFFSET($EN$3,0,0,'Données projet'!$E$15+1,1))-AVERAGE(OFFSET($H$3,0,0,'Données projet'!$E$15+1,1))</f>
        <v>272.69564942740931</v>
      </c>
      <c r="EP51" s="60">
        <f t="shared" si="46"/>
        <v>316.57989180609252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0">
        <f t="shared" si="0"/>
        <v>631.19617939597038</v>
      </c>
      <c r="S52" s="60">
        <f ca="1">AVERAGE(OFFSET($R$3,0,0,'Données projet'!$E$9+1,1))-AVERAGE(OFFSET($H$3,0,0,'Données projet'!$E$9+1,1))</f>
        <v>469.67944008675863</v>
      </c>
      <c r="T52" s="60">
        <f t="shared" si="34"/>
        <v>266.11908070867173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0">
        <f t="shared" si="5"/>
        <v>675.54267194845841</v>
      </c>
      <c r="AN52" s="60">
        <f ca="1">AVERAGE(OFFSET($AM$3,0,0,'Données projet'!$E$10+1,1))-AVERAGE(OFFSET($H$3,0,0,'Données projet'!$E$10+1,1))</f>
        <v>516.30971934066179</v>
      </c>
      <c r="AO52" s="60">
        <f t="shared" si="36"/>
        <v>290.84286505723571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232.99999999999983</v>
      </c>
      <c r="BE52" s="14">
        <f>BD52*VLOOKUP('Données projet'!$B$11,Paramètres!$A$1:$I$89,3,0)*VLOOKUP('Données projet'!$B$11,Paramètres!$A$1:$I$89,5,0)</f>
        <v>170.83559999999989</v>
      </c>
      <c r="BF52" s="14">
        <f t="shared" si="37"/>
        <v>43.277116749159646</v>
      </c>
      <c r="BG52" s="22">
        <f t="shared" si="7"/>
        <v>372.91298167145283</v>
      </c>
      <c r="BH52" s="60">
        <f t="shared" si="8"/>
        <v>627.35936149574479</v>
      </c>
      <c r="BI52" s="60">
        <f ca="1">AVERAGE(OFFSET($BH$3,0,0,'Données projet'!$E$11+1,1))-AVERAGE(OFFSET($H$3,0,0,'Données projet'!$E$11+1,1))</f>
        <v>314.75847268052081</v>
      </c>
      <c r="BJ52" s="60">
        <f t="shared" si="38"/>
        <v>337.77701316755338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11.615384615384608</v>
      </c>
      <c r="BY52" s="13">
        <f>IF('Données projet'!$A$114&gt;35,BY51+BX52-CG51,IF(A52&lt;'Données projet'!$A$114,$BV$205^A52,IF(A52='Données projet'!$A$114,'Données projet'!$B$114,BY51+BX52-CG51)))</f>
        <v>298.60769230769216</v>
      </c>
      <c r="BZ52" s="14">
        <f>BY52*VLOOKUP('Données projet'!$B$12,Paramètres!$A$1:$I$89,3,0)*VLOOKUP('Données projet'!$B$12,Paramètres!$A$1:$I$89,5,0)</f>
        <v>139.74839999999992</v>
      </c>
      <c r="CA52" s="14">
        <f t="shared" si="39"/>
        <v>36.239361435480362</v>
      </c>
      <c r="CB52" s="22">
        <f t="shared" si="10"/>
        <v>306.51201783346147</v>
      </c>
      <c r="CC52" s="60">
        <f t="shared" si="11"/>
        <v>560.95839765775349</v>
      </c>
      <c r="CD52" s="60">
        <f ca="1">AVERAGE(OFFSET($CC$3,0,0,'Données projet'!$E$12+1,1))-AVERAGE(OFFSET($H$3,0,0,'Données projet'!$E$12+1,1))</f>
        <v>277.77877239988635</v>
      </c>
      <c r="CE52" s="60">
        <f t="shared" si="40"/>
        <v>164.65640238394164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0" t="e">
        <f t="shared" si="14"/>
        <v>#NUM!</v>
      </c>
      <c r="CY52" s="60">
        <f ca="1">AVERAGE(OFFSET($CX$3,0,0,'Données projet'!$E$13+1,1))-AVERAGE(OFFSET($H$3,0,0,'Données projet'!$E$13+1,1))</f>
        <v>334.26876877415839</v>
      </c>
      <c r="CZ52" s="60">
        <f t="shared" si="42"/>
        <v>465.65761854152913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12.602564102564102</v>
      </c>
      <c r="DO52" s="13">
        <f>IF('Données projet'!$A$166&gt;35,DO51+DN52-DW51,IF(A52&lt;'Données projet'!$A$166,$DL$205^A52,IF(A52='Données projet'!$A$166,'Données projet'!$B$166,DO51+DN52-DW51)))</f>
        <v>202.78205128205127</v>
      </c>
      <c r="DP52" s="18">
        <f>DO52*VLOOKUP('Données projet'!$B$14,Paramètres!$A$1:$I$89,3,0)*VLOOKUP('Données projet'!$B$14,Paramètres!$A$1:$I$89,5,0)</f>
        <v>129.6994</v>
      </c>
      <c r="DQ52" s="14">
        <f t="shared" si="43"/>
        <v>33.926890142481575</v>
      </c>
      <c r="DR52" s="22">
        <f t="shared" si="16"/>
        <v>284.98245533148872</v>
      </c>
      <c r="DS52" s="60">
        <f t="shared" si="17"/>
        <v>539.42883515578069</v>
      </c>
      <c r="DT52" s="60">
        <f ca="1">AVERAGE(OFFSET($DS$3,0,0,'Données projet'!$E$14+1,1))-AVERAGE(OFFSET($H$3,0,0,'Données projet'!$E$14+1,1))</f>
        <v>285.09561428624352</v>
      </c>
      <c r="DU52" s="60">
        <f t="shared" si="44"/>
        <v>261.05678516705564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7.6</v>
      </c>
      <c r="EJ52" s="13">
        <f>IF('Données projet'!$A$192&gt;35,EJ51+EI52-ER51,IF(A52&lt;'Données projet'!$A$192,$EG$205^A52,IF(A52='Données projet'!$A$192,'Données projet'!$B$192,EJ51+EI52-ER51)))</f>
        <v>220.39999999999998</v>
      </c>
      <c r="EK52" s="18">
        <f>EJ52*VLOOKUP('Données projet'!$B$15,Paramètres!$A$1:$I$89,3,0)*VLOOKUP('Données projet'!$B$15,Paramètres!$A$1:$I$89,5,0)</f>
        <v>178.78847999999999</v>
      </c>
      <c r="EL52" s="14">
        <f t="shared" si="45"/>
        <v>45.052539436241446</v>
      </c>
      <c r="EM52" s="22">
        <f t="shared" si="19"/>
        <v>389.85644218478711</v>
      </c>
      <c r="EN52" s="60">
        <f t="shared" si="20"/>
        <v>644.30282200907914</v>
      </c>
      <c r="EO52" s="60">
        <f ca="1">AVERAGE(OFFSET($EN$3,0,0,'Données projet'!$E$15+1,1))-AVERAGE(OFFSET($H$3,0,0,'Données projet'!$E$15+1,1))</f>
        <v>272.69564942740931</v>
      </c>
      <c r="EP52" s="60">
        <f t="shared" si="46"/>
        <v>316.57989180609252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0">
        <f t="shared" si="0"/>
        <v>647.67465143324716</v>
      </c>
      <c r="S53" s="60">
        <f ca="1">AVERAGE(OFFSET($R$3,0,0,'Données projet'!$E$9+1,1))-AVERAGE(OFFSET($H$3,0,0,'Données projet'!$E$9+1,1))</f>
        <v>469.67944008675863</v>
      </c>
      <c r="T53" s="60">
        <f t="shared" si="34"/>
        <v>266.11908070867173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0">
        <f t="shared" si="5"/>
        <v>693.88595559255486</v>
      </c>
      <c r="AN53" s="60">
        <f ca="1">AVERAGE(OFFSET($AM$3,0,0,'Données projet'!$E$10+1,1))-AVERAGE(OFFSET($H$3,0,0,'Données projet'!$E$10+1,1))</f>
        <v>516.30971934066179</v>
      </c>
      <c r="AO53" s="60">
        <f t="shared" si="36"/>
        <v>290.84286505723571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239.99999999999983</v>
      </c>
      <c r="BE53" s="14">
        <f>BD53*VLOOKUP('Données projet'!$B$11,Paramètres!$A$1:$I$89,3,0)*VLOOKUP('Données projet'!$B$11,Paramètres!$A$1:$I$89,5,0)</f>
        <v>175.96799999999988</v>
      </c>
      <c r="BF53" s="14">
        <f t="shared" si="37"/>
        <v>44.423961125650585</v>
      </c>
      <c r="BG53" s="22">
        <f t="shared" si="7"/>
        <v>383.8493322938412</v>
      </c>
      <c r="BH53" s="60">
        <f t="shared" si="8"/>
        <v>638.97031382331124</v>
      </c>
      <c r="BI53" s="60">
        <f ca="1">AVERAGE(OFFSET($BH$3,0,0,'Données projet'!$E$11+1,1))-AVERAGE(OFFSET($H$3,0,0,'Données projet'!$E$11+1,1))</f>
        <v>314.75847268052081</v>
      </c>
      <c r="BJ53" s="60">
        <f t="shared" si="38"/>
        <v>337.77701316755338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11.615384615384608</v>
      </c>
      <c r="BY53" s="13">
        <f>IF('Données projet'!$A$114&gt;35,BY52+BX53-CG52,IF(A53&lt;'Données projet'!$A$114,$BV$205^A53,IF(A53='Données projet'!$A$114,'Données projet'!$B$114,BY52+BX53-CG52)))</f>
        <v>310.22307692307675</v>
      </c>
      <c r="BZ53" s="14">
        <f>BY53*VLOOKUP('Données projet'!$B$12,Paramètres!$A$1:$I$89,3,0)*VLOOKUP('Données projet'!$B$12,Paramètres!$A$1:$I$89,5,0)</f>
        <v>145.18439999999993</v>
      </c>
      <c r="CA53" s="14">
        <f t="shared" si="39"/>
        <v>37.482153624096057</v>
      </c>
      <c r="CB53" s="22">
        <f t="shared" si="10"/>
        <v>318.14424756196712</v>
      </c>
      <c r="CC53" s="60">
        <f t="shared" si="11"/>
        <v>573.26522909143728</v>
      </c>
      <c r="CD53" s="60">
        <f ca="1">AVERAGE(OFFSET($CC$3,0,0,'Données projet'!$E$12+1,1))-AVERAGE(OFFSET($H$3,0,0,'Données projet'!$E$12+1,1))</f>
        <v>277.77877239988635</v>
      </c>
      <c r="CE53" s="60">
        <f t="shared" si="40"/>
        <v>164.65640238394164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0" t="e">
        <f t="shared" si="14"/>
        <v>#NUM!</v>
      </c>
      <c r="CY53" s="60">
        <f ca="1">AVERAGE(OFFSET($CX$3,0,0,'Données projet'!$E$13+1,1))-AVERAGE(OFFSET($H$3,0,0,'Données projet'!$E$13+1,1))</f>
        <v>334.26876877415839</v>
      </c>
      <c r="CZ53" s="60">
        <f t="shared" si="42"/>
        <v>465.65761854152913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215.38461538461539</v>
      </c>
      <c r="DM53" s="13">
        <f>VLOOKUP(A53,'Données projet'!$A$165:$I$185,9,0)</f>
        <v>12.602564102564102</v>
      </c>
      <c r="DN53" s="13">
        <f t="array" ref="DN53">INDEX(DM:DM,MIN(IF(ISNUMBER(DM53:DM249),ROW(DM53:DM249),"")))</f>
        <v>12.602564102564102</v>
      </c>
      <c r="DO53" s="13">
        <f>IF('Données projet'!$A$166&gt;35,DO52+DN53-DW52,IF(A53&lt;'Données projet'!$A$166,$DL$205^A53,IF(A53='Données projet'!$A$166,'Données projet'!$B$166,DO52+DN53-DW52)))</f>
        <v>215.38461538461536</v>
      </c>
      <c r="DP53" s="18">
        <f>DO53*VLOOKUP('Données projet'!$B$14,Paramètres!$A$1:$I$89,3,0)*VLOOKUP('Données projet'!$B$14,Paramètres!$A$1:$I$89,5,0)</f>
        <v>137.76</v>
      </c>
      <c r="DQ53" s="14">
        <f t="shared" si="43"/>
        <v>35.783372232974429</v>
      </c>
      <c r="DR53" s="22">
        <f t="shared" si="16"/>
        <v>302.25470663909709</v>
      </c>
      <c r="DS53" s="60">
        <f t="shared" si="17"/>
        <v>557.37568816856719</v>
      </c>
      <c r="DT53" s="60">
        <f ca="1">AVERAGE(OFFSET($DS$3,0,0,'Données projet'!$E$14+1,1))-AVERAGE(OFFSET($H$3,0,0,'Données projet'!$E$14+1,1))</f>
        <v>285.09561428624352</v>
      </c>
      <c r="DU53" s="60">
        <f t="shared" si="44"/>
        <v>261.05678516705564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57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228</v>
      </c>
      <c r="EH53" s="13">
        <f>VLOOKUP(A53,'Données projet'!$A$191:$I$211,9,0)</f>
        <v>7.6</v>
      </c>
      <c r="EI53" s="13">
        <f t="array" ref="EI53">INDEX(EH:EH,MIN(IF(ISNUMBER(EH53:EH249),ROW(EH53:EH249),"")))</f>
        <v>7.6</v>
      </c>
      <c r="EJ53" s="13">
        <f>IF('Données projet'!$A$192&gt;35,EJ52+EI53-ER52,IF(A53&lt;'Données projet'!$A$192,$EG$205^A53,IF(A53='Données projet'!$A$192,'Données projet'!$B$192,EJ52+EI53-ER52)))</f>
        <v>227.99999999999997</v>
      </c>
      <c r="EK53" s="18">
        <f>EJ53*VLOOKUP('Données projet'!$B$15,Paramètres!$A$1:$I$89,3,0)*VLOOKUP('Données projet'!$B$15,Paramètres!$A$1:$I$89,5,0)</f>
        <v>184.95359999999999</v>
      </c>
      <c r="EL53" s="14">
        <f t="shared" si="45"/>
        <v>46.42252355095799</v>
      </c>
      <c r="EM53" s="22">
        <f t="shared" si="19"/>
        <v>402.98008185125178</v>
      </c>
      <c r="EN53" s="60">
        <f t="shared" si="20"/>
        <v>658.10106338072183</v>
      </c>
      <c r="EO53" s="60">
        <f ca="1">AVERAGE(OFFSET($EN$3,0,0,'Données projet'!$E$15+1,1))-AVERAGE(OFFSET($H$3,0,0,'Données projet'!$E$15+1,1))</f>
        <v>272.69564942740931</v>
      </c>
      <c r="EP53" s="60">
        <f t="shared" si="46"/>
        <v>316.57989180609252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0">
        <f t="shared" si="0"/>
        <v>582.71151351155868</v>
      </c>
      <c r="S54" s="60">
        <f ca="1">AVERAGE(OFFSET($R$3,0,0,'Données projet'!$E$9+1,1))-AVERAGE(OFFSET($H$3,0,0,'Données projet'!$E$9+1,1))</f>
        <v>469.67944008675863</v>
      </c>
      <c r="T54" s="60">
        <f t="shared" si="34"/>
        <v>266.11908070867173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0">
        <f t="shared" si="5"/>
        <v>621.18031326116875</v>
      </c>
      <c r="AN54" s="60">
        <f ca="1">AVERAGE(OFFSET($AM$3,0,0,'Données projet'!$E$10+1,1))-AVERAGE(OFFSET($H$3,0,0,'Données projet'!$E$10+1,1))</f>
        <v>516.30971934066179</v>
      </c>
      <c r="AO54" s="60">
        <f t="shared" si="36"/>
        <v>290.84286505723571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6.4</v>
      </c>
      <c r="BD54" s="13">
        <f>IF('Données projet'!$A$88&gt;35,BD53+BC54-BL53,IF(A54&lt;'Données projet'!$A$88,$BA$205^A54,IF(A54='Données projet'!$A$88,'Données projet'!$B$88,BD53+BC54-BL53)))</f>
        <v>207.39999999999984</v>
      </c>
      <c r="BE54" s="14">
        <f>BD54*VLOOKUP('Données projet'!$B$11,Paramètres!$A$1:$I$89,3,0)*VLOOKUP('Données projet'!$B$11,Paramètres!$A$1:$I$89,5,0)</f>
        <v>152.06567999999987</v>
      </c>
      <c r="BF54" s="14">
        <f t="shared" si="37"/>
        <v>39.047644484359502</v>
      </c>
      <c r="BG54" s="22">
        <f t="shared" si="7"/>
        <v>332.85570681025916</v>
      </c>
      <c r="BH54" s="60">
        <f t="shared" si="8"/>
        <v>588.63958721350605</v>
      </c>
      <c r="BI54" s="60">
        <f ca="1">AVERAGE(OFFSET($BH$3,0,0,'Données projet'!$E$11+1,1))-AVERAGE(OFFSET($H$3,0,0,'Données projet'!$E$11+1,1))</f>
        <v>314.75847268052081</v>
      </c>
      <c r="BJ54" s="60">
        <f t="shared" si="38"/>
        <v>337.77701316755338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321.8384615384615</v>
      </c>
      <c r="BW54" s="13">
        <f>VLOOKUP(A54,'Données projet'!$A$113:$I$133,9,0)</f>
        <v>11.615384615384608</v>
      </c>
      <c r="BX54" s="13">
        <f t="array" ref="BX54">INDEX(BW:BW,MIN(IF(ISNUMBER(BW54:BW250),ROW(BW54:BW250),"")))</f>
        <v>11.615384615384608</v>
      </c>
      <c r="BY54" s="13">
        <f>IF('Données projet'!$A$114&gt;35,BY53+BX54-CG53,IF(A54&lt;'Données projet'!$A$114,$BV$205^A54,IF(A54='Données projet'!$A$114,'Données projet'!$B$114,BY53+BX54-CG53)))</f>
        <v>321.83846153846133</v>
      </c>
      <c r="BZ54" s="14">
        <f>BY54*VLOOKUP('Données projet'!$B$12,Paramètres!$A$1:$I$89,3,0)*VLOOKUP('Données projet'!$B$12,Paramètres!$A$1:$I$89,5,0)</f>
        <v>150.6203999999999</v>
      </c>
      <c r="CA54" s="14">
        <f t="shared" si="39"/>
        <v>38.719539861211025</v>
      </c>
      <c r="CB54" s="22">
        <f t="shared" si="10"/>
        <v>329.76706192494237</v>
      </c>
      <c r="CC54" s="60">
        <f t="shared" si="11"/>
        <v>585.55094232818919</v>
      </c>
      <c r="CD54" s="60">
        <f ca="1">AVERAGE(OFFSET($CC$3,0,0,'Données projet'!$E$12+1,1))-AVERAGE(OFFSET($H$3,0,0,'Données projet'!$E$12+1,1))</f>
        <v>277.77877239988635</v>
      </c>
      <c r="CE54" s="60">
        <f t="shared" si="40"/>
        <v>164.65640238394164</v>
      </c>
      <c r="CF54" s="16">
        <f>IF(ISNA(VLOOKUP(A54,'Données projet'!$A$113:$I$133,3,0)),0,VLOOKUP(A54,'Données projet'!$A$113:$I$133,3,0))</f>
        <v>1</v>
      </c>
      <c r="CG54" s="16">
        <f>IF(ISNA(VLOOKUP(A54,'Données projet'!$A$113:$I$133,4,0)),0,VLOOKUP(A54,'Données projet'!$A$113:$I$133,4,0))</f>
        <v>100.30769230769231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0" t="e">
        <f t="shared" si="14"/>
        <v>#NUM!</v>
      </c>
      <c r="CY54" s="60">
        <f ca="1">AVERAGE(OFFSET($CX$3,0,0,'Données projet'!$E$13+1,1))-AVERAGE(OFFSET($H$3,0,0,'Données projet'!$E$13+1,1))</f>
        <v>334.26876877415839</v>
      </c>
      <c r="CZ54" s="60">
        <f t="shared" si="42"/>
        <v>465.65761854152913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9.0333333333333314</v>
      </c>
      <c r="DO54" s="13">
        <f>IF('Données projet'!$A$166&gt;35,DO53+DN54-DW53,IF(A54&lt;'Données projet'!$A$166,$DL$205^A54,IF(A54='Données projet'!$A$166,'Données projet'!$B$166,DO53+DN54-DW53)))</f>
        <v>167.41794871794869</v>
      </c>
      <c r="DP54" s="18">
        <f>DO54*VLOOKUP('Données projet'!$B$14,Paramètres!$A$1:$I$89,3,0)*VLOOKUP('Données projet'!$B$14,Paramètres!$A$1:$I$89,5,0)</f>
        <v>107.08051999999999</v>
      </c>
      <c r="DQ54" s="14">
        <f t="shared" si="43"/>
        <v>28.642059164602777</v>
      </c>
      <c r="DR54" s="22">
        <f t="shared" si="16"/>
        <v>236.38349204501648</v>
      </c>
      <c r="DS54" s="60">
        <f t="shared" si="17"/>
        <v>492.16737244826334</v>
      </c>
      <c r="DT54" s="60">
        <f ca="1">AVERAGE(OFFSET($DS$3,0,0,'Données projet'!$E$14+1,1))-AVERAGE(OFFSET($H$3,0,0,'Données projet'!$E$14+1,1))</f>
        <v>285.09561428624352</v>
      </c>
      <c r="DU54" s="60">
        <f t="shared" si="44"/>
        <v>261.05678516705564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7.6</v>
      </c>
      <c r="EJ54" s="13">
        <f>IF('Données projet'!$A$192&gt;35,EJ53+EI54-ER53,IF(A54&lt;'Données projet'!$A$192,$EG$205^A54,IF(A54='Données projet'!$A$192,'Données projet'!$B$192,EJ53+EI54-ER53)))</f>
        <v>235.59999999999997</v>
      </c>
      <c r="EK54" s="18">
        <f>EJ54*VLOOKUP('Données projet'!$B$15,Paramètres!$A$1:$I$89,3,0)*VLOOKUP('Données projet'!$B$15,Paramètres!$A$1:$I$89,5,0)</f>
        <v>191.11872</v>
      </c>
      <c r="EL54" s="14">
        <f t="shared" si="45"/>
        <v>47.787201388032145</v>
      </c>
      <c r="EM54" s="22">
        <f t="shared" si="19"/>
        <v>416.09447975082259</v>
      </c>
      <c r="EN54" s="60">
        <f t="shared" si="20"/>
        <v>671.87836015406947</v>
      </c>
      <c r="EO54" s="60">
        <f ca="1">AVERAGE(OFFSET($EN$3,0,0,'Données projet'!$E$15+1,1))-AVERAGE(OFFSET($H$3,0,0,'Données projet'!$E$15+1,1))</f>
        <v>272.69564942740931</v>
      </c>
      <c r="EP54" s="60">
        <f t="shared" si="46"/>
        <v>316.57989180609252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0">
        <f t="shared" si="0"/>
        <v>598.8283829473753</v>
      </c>
      <c r="S55" s="60">
        <f ca="1">AVERAGE(OFFSET($R$3,0,0,'Données projet'!$E$9+1,1))-AVERAGE(OFFSET($H$3,0,0,'Données projet'!$E$9+1,1))</f>
        <v>469.67944008675863</v>
      </c>
      <c r="T55" s="60">
        <f t="shared" si="34"/>
        <v>266.11908070867173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0">
        <f t="shared" si="5"/>
        <v>639.12149590668082</v>
      </c>
      <c r="AN55" s="60">
        <f ca="1">AVERAGE(OFFSET($AM$3,0,0,'Données projet'!$E$10+1,1))-AVERAGE(OFFSET($H$3,0,0,'Données projet'!$E$10+1,1))</f>
        <v>516.30971934066179</v>
      </c>
      <c r="AO55" s="60">
        <f t="shared" si="36"/>
        <v>290.84286505723571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6.4</v>
      </c>
      <c r="BD55" s="13">
        <f>IF('Données projet'!$A$88&gt;35,BD54+BC55-BL54,IF(A55&lt;'Données projet'!$A$88,$BA$205^A55,IF(A55='Données projet'!$A$88,'Données projet'!$B$88,BD54+BC55-BL54)))</f>
        <v>213.79999999999984</v>
      </c>
      <c r="BE55" s="14">
        <f>BD55*VLOOKUP('Données projet'!$B$11,Paramètres!$A$1:$I$89,3,0)*VLOOKUP('Données projet'!$B$11,Paramètres!$A$1:$I$89,5,0)</f>
        <v>156.75815999999989</v>
      </c>
      <c r="BF55" s="14">
        <f t="shared" si="37"/>
        <v>40.110440521385584</v>
      </c>
      <c r="BG55" s="22">
        <f t="shared" si="7"/>
        <v>342.87947924141304</v>
      </c>
      <c r="BH55" s="60">
        <f t="shared" si="8"/>
        <v>599.31475870499639</v>
      </c>
      <c r="BI55" s="60">
        <f ca="1">AVERAGE(OFFSET($BH$3,0,0,'Données projet'!$E$11+1,1))-AVERAGE(OFFSET($H$3,0,0,'Données projet'!$E$11+1,1))</f>
        <v>314.75847268052081</v>
      </c>
      <c r="BJ55" s="60">
        <f t="shared" si="38"/>
        <v>337.77701316755338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10.542307692307702</v>
      </c>
      <c r="BY55" s="13">
        <f>IF('Données projet'!$A$114&gt;35,BY54+BX55-CG54,IF(A55&lt;'Données projet'!$A$114,$BV$205^A55,IF(A55='Données projet'!$A$114,'Données projet'!$B$114,BY54+BX55-CG54)))</f>
        <v>232.07307692307671</v>
      </c>
      <c r="BZ55" s="14">
        <f>BY55*VLOOKUP('Données projet'!$B$12,Paramètres!$A$1:$I$89,3,0)*VLOOKUP('Données projet'!$B$12,Paramètres!$A$1:$I$89,5,0)</f>
        <v>108.61019999999989</v>
      </c>
      <c r="CA55" s="14">
        <f t="shared" si="39"/>
        <v>29.003294930485936</v>
      </c>
      <c r="CB55" s="22">
        <f t="shared" si="10"/>
        <v>239.67683700392948</v>
      </c>
      <c r="CC55" s="60">
        <f t="shared" si="11"/>
        <v>496.11211646751281</v>
      </c>
      <c r="CD55" s="60">
        <f ca="1">AVERAGE(OFFSET($CC$3,0,0,'Données projet'!$E$12+1,1))-AVERAGE(OFFSET($H$3,0,0,'Données projet'!$E$12+1,1))</f>
        <v>277.77877239988635</v>
      </c>
      <c r="CE55" s="60">
        <f t="shared" si="40"/>
        <v>164.65640238394164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0" t="e">
        <f t="shared" si="14"/>
        <v>#NUM!</v>
      </c>
      <c r="CY55" s="60">
        <f ca="1">AVERAGE(OFFSET($CX$3,0,0,'Données projet'!$E$13+1,1))-AVERAGE(OFFSET($H$3,0,0,'Données projet'!$E$13+1,1))</f>
        <v>334.26876877415839</v>
      </c>
      <c r="CZ55" s="60">
        <f t="shared" si="42"/>
        <v>465.65761854152913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9.0333333333333314</v>
      </c>
      <c r="DO55" s="13">
        <f>IF('Données projet'!$A$166&gt;35,DO54+DN55-DW54,IF(A55&lt;'Données projet'!$A$166,$DL$205^A55,IF(A55='Données projet'!$A$166,'Données projet'!$B$166,DO54+DN55-DW54)))</f>
        <v>176.45128205128202</v>
      </c>
      <c r="DP55" s="18">
        <f>DO55*VLOOKUP('Données projet'!$B$14,Paramètres!$A$1:$I$89,3,0)*VLOOKUP('Données projet'!$B$14,Paramètres!$A$1:$I$89,5,0)</f>
        <v>112.85823999999998</v>
      </c>
      <c r="DQ55" s="14">
        <f t="shared" si="43"/>
        <v>30.003399526630243</v>
      </c>
      <c r="DR55" s="22">
        <f t="shared" si="16"/>
        <v>248.81735550888095</v>
      </c>
      <c r="DS55" s="60">
        <f t="shared" si="17"/>
        <v>505.25263497246431</v>
      </c>
      <c r="DT55" s="60">
        <f ca="1">AVERAGE(OFFSET($DS$3,0,0,'Données projet'!$E$14+1,1))-AVERAGE(OFFSET($H$3,0,0,'Données projet'!$E$14+1,1))</f>
        <v>285.09561428624352</v>
      </c>
      <c r="DU55" s="60">
        <f t="shared" si="44"/>
        <v>261.05678516705564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7.6</v>
      </c>
      <c r="EJ55" s="13">
        <f>IF('Données projet'!$A$192&gt;35,EJ54+EI55-ER54,IF(A55&lt;'Données projet'!$A$192,$EG$205^A55,IF(A55='Données projet'!$A$192,'Données projet'!$B$192,EJ54+EI55-ER54)))</f>
        <v>243.19999999999996</v>
      </c>
      <c r="EK55" s="18">
        <f>EJ55*VLOOKUP('Données projet'!$B$15,Paramètres!$A$1:$I$89,3,0)*VLOOKUP('Données projet'!$B$15,Paramètres!$A$1:$I$89,5,0)</f>
        <v>197.28383999999997</v>
      </c>
      <c r="EL55" s="14">
        <f t="shared" si="45"/>
        <v>49.146763750789503</v>
      </c>
      <c r="EM55" s="22">
        <f t="shared" si="19"/>
        <v>429.19996819929173</v>
      </c>
      <c r="EN55" s="60">
        <f t="shared" si="20"/>
        <v>685.63524766287514</v>
      </c>
      <c r="EO55" s="60">
        <f ca="1">AVERAGE(OFFSET($EN$3,0,0,'Données projet'!$E$15+1,1))-AVERAGE(OFFSET($H$3,0,0,'Données projet'!$E$15+1,1))</f>
        <v>272.69564942740931</v>
      </c>
      <c r="EP55" s="60">
        <f t="shared" si="46"/>
        <v>316.57989180609252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0">
        <f t="shared" si="0"/>
        <v>614.91860080847948</v>
      </c>
      <c r="S56" s="60">
        <f ca="1">AVERAGE(OFFSET($R$3,0,0,'Données projet'!$E$9+1,1))-AVERAGE(OFFSET($H$3,0,0,'Données projet'!$E$9+1,1))</f>
        <v>469.67944008675863</v>
      </c>
      <c r="T56" s="60">
        <f t="shared" si="34"/>
        <v>266.11908070867173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0">
        <f t="shared" si="5"/>
        <v>657.03440091152891</v>
      </c>
      <c r="AN56" s="60">
        <f ca="1">AVERAGE(OFFSET($AM$3,0,0,'Données projet'!$E$10+1,1))-AVERAGE(OFFSET($H$3,0,0,'Données projet'!$E$10+1,1))</f>
        <v>516.30971934066179</v>
      </c>
      <c r="AO56" s="60">
        <f t="shared" si="36"/>
        <v>290.84286505723571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6.4</v>
      </c>
      <c r="BD56" s="13">
        <f>IF('Données projet'!$A$88&gt;35,BD55+BC56-BL55,IF(A56&lt;'Données projet'!$A$88,$BA$205^A56,IF(A56='Données projet'!$A$88,'Données projet'!$B$88,BD55+BC56-BL55)))</f>
        <v>220.19999999999985</v>
      </c>
      <c r="BE56" s="14">
        <f>BD56*VLOOKUP('Données projet'!$B$11,Paramètres!$A$1:$I$89,3,0)*VLOOKUP('Données projet'!$B$11,Paramètres!$A$1:$I$89,5,0)</f>
        <v>161.45063999999991</v>
      </c>
      <c r="BF56" s="14">
        <f t="shared" si="37"/>
        <v>41.169539236094941</v>
      </c>
      <c r="BG56" s="22">
        <f t="shared" si="7"/>
        <v>352.89681216953187</v>
      </c>
      <c r="BH56" s="60">
        <f t="shared" si="8"/>
        <v>609.9721903760651</v>
      </c>
      <c r="BI56" s="60">
        <f ca="1">AVERAGE(OFFSET($BH$3,0,0,'Données projet'!$E$11+1,1))-AVERAGE(OFFSET($H$3,0,0,'Données projet'!$E$11+1,1))</f>
        <v>314.75847268052081</v>
      </c>
      <c r="BJ56" s="60">
        <f t="shared" si="38"/>
        <v>337.77701316755338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10.542307692307702</v>
      </c>
      <c r="BY56" s="13">
        <f>IF('Données projet'!$A$114&gt;35,BY55+BX56-CG55,IF(A56&lt;'Données projet'!$A$114,$BV$205^A56,IF(A56='Données projet'!$A$114,'Données projet'!$B$114,BY55+BX56-CG55)))</f>
        <v>242.61538461538441</v>
      </c>
      <c r="BZ56" s="14">
        <f>BY56*VLOOKUP('Données projet'!$B$12,Paramètres!$A$1:$I$89,3,0)*VLOOKUP('Données projet'!$B$12,Paramètres!$A$1:$I$89,5,0)</f>
        <v>113.54399999999991</v>
      </c>
      <c r="CA56" s="14">
        <f t="shared" si="39"/>
        <v>30.164431377064304</v>
      </c>
      <c r="CB56" s="22">
        <f t="shared" si="10"/>
        <v>250.29218464838678</v>
      </c>
      <c r="CC56" s="60">
        <f t="shared" si="11"/>
        <v>507.36756285492004</v>
      </c>
      <c r="CD56" s="60">
        <f ca="1">AVERAGE(OFFSET($CC$3,0,0,'Données projet'!$E$12+1,1))-AVERAGE(OFFSET($H$3,0,0,'Données projet'!$E$12+1,1))</f>
        <v>277.77877239988635</v>
      </c>
      <c r="CE56" s="60">
        <f t="shared" si="40"/>
        <v>164.65640238394164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0" t="e">
        <f t="shared" si="14"/>
        <v>#NUM!</v>
      </c>
      <c r="CY56" s="60">
        <f ca="1">AVERAGE(OFFSET($CX$3,0,0,'Données projet'!$E$13+1,1))-AVERAGE(OFFSET($H$3,0,0,'Données projet'!$E$13+1,1))</f>
        <v>334.26876877415839</v>
      </c>
      <c r="CZ56" s="60">
        <f t="shared" si="42"/>
        <v>465.65761854152913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9.0333333333333314</v>
      </c>
      <c r="DO56" s="13">
        <f>IF('Données projet'!$A$166&gt;35,DO55+DN56-DW55,IF(A56&lt;'Données projet'!$A$166,$DL$205^A56,IF(A56='Données projet'!$A$166,'Données projet'!$B$166,DO55+DN56-DW55)))</f>
        <v>185.48461538461535</v>
      </c>
      <c r="DP56" s="18">
        <f>DO56*VLOOKUP('Données projet'!$B$14,Paramètres!$A$1:$I$89,3,0)*VLOOKUP('Données projet'!$B$14,Paramètres!$A$1:$I$89,5,0)</f>
        <v>118.63595999999998</v>
      </c>
      <c r="DQ56" s="14">
        <f t="shared" si="43"/>
        <v>31.356648000059032</v>
      </c>
      <c r="DR56" s="22">
        <f t="shared" si="16"/>
        <v>261.23712560010279</v>
      </c>
      <c r="DS56" s="60">
        <f t="shared" si="17"/>
        <v>518.31250380663596</v>
      </c>
      <c r="DT56" s="60">
        <f ca="1">AVERAGE(OFFSET($DS$3,0,0,'Données projet'!$E$14+1,1))-AVERAGE(OFFSET($H$3,0,0,'Données projet'!$E$14+1,1))</f>
        <v>285.09561428624352</v>
      </c>
      <c r="DU56" s="60">
        <f t="shared" si="44"/>
        <v>261.05678516705564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7.6</v>
      </c>
      <c r="EJ56" s="13">
        <f>IF('Données projet'!$A$192&gt;35,EJ55+EI56-ER55,IF(A56&lt;'Données projet'!$A$192,$EG$205^A56,IF(A56='Données projet'!$A$192,'Données projet'!$B$192,EJ55+EI56-ER55)))</f>
        <v>250.79999999999995</v>
      </c>
      <c r="EK56" s="18">
        <f>EJ56*VLOOKUP('Données projet'!$B$15,Paramètres!$A$1:$I$89,3,0)*VLOOKUP('Données projet'!$B$15,Paramètres!$A$1:$I$89,5,0)</f>
        <v>203.44895999999997</v>
      </c>
      <c r="EL56" s="14">
        <f t="shared" si="45"/>
        <v>50.501388840000267</v>
      </c>
      <c r="EM56" s="22">
        <f t="shared" si="19"/>
        <v>442.2968575630004</v>
      </c>
      <c r="EN56" s="60">
        <f t="shared" si="20"/>
        <v>699.37223576953363</v>
      </c>
      <c r="EO56" s="60">
        <f ca="1">AVERAGE(OFFSET($EN$3,0,0,'Données projet'!$E$15+1,1))-AVERAGE(OFFSET($H$3,0,0,'Données projet'!$E$15+1,1))</f>
        <v>272.69564942740931</v>
      </c>
      <c r="EP56" s="60">
        <f t="shared" si="46"/>
        <v>316.57989180609252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0">
        <f t="shared" si="0"/>
        <v>630.98311917461979</v>
      </c>
      <c r="S57" s="60">
        <f ca="1">AVERAGE(OFFSET($R$3,0,0,'Données projet'!$E$9+1,1))-AVERAGE(OFFSET($H$3,0,0,'Données projet'!$E$9+1,1))</f>
        <v>469.67944008675863</v>
      </c>
      <c r="T57" s="60">
        <f t="shared" si="34"/>
        <v>266.11908070867173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0">
        <f t="shared" si="5"/>
        <v>674.92006043868901</v>
      </c>
      <c r="AN57" s="60">
        <f ca="1">AVERAGE(OFFSET($AM$3,0,0,'Données projet'!$E$10+1,1))-AVERAGE(OFFSET($H$3,0,0,'Données projet'!$E$10+1,1))</f>
        <v>516.30971934066179</v>
      </c>
      <c r="AO57" s="60">
        <f t="shared" si="36"/>
        <v>290.84286505723571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6.4</v>
      </c>
      <c r="BD57" s="13">
        <f>IF('Données projet'!$A$88&gt;35,BD56+BC57-BL56,IF(A57&lt;'Données projet'!$A$88,$BA$205^A57,IF(A57='Données projet'!$A$88,'Données projet'!$B$88,BD56+BC57-BL56)))</f>
        <v>226.59999999999985</v>
      </c>
      <c r="BE57" s="14">
        <f>BD57*VLOOKUP('Données projet'!$B$11,Paramètres!$A$1:$I$89,3,0)*VLOOKUP('Données projet'!$B$11,Paramètres!$A$1:$I$89,5,0)</f>
        <v>166.1431199999999</v>
      </c>
      <c r="BF57" s="14">
        <f t="shared" si="37"/>
        <v>42.225060429180445</v>
      </c>
      <c r="BG57" s="22">
        <f t="shared" si="7"/>
        <v>362.90791424748909</v>
      </c>
      <c r="BH57" s="60">
        <f t="shared" si="8"/>
        <v>620.61228691482847</v>
      </c>
      <c r="BI57" s="60">
        <f ca="1">AVERAGE(OFFSET($BH$3,0,0,'Données projet'!$E$11+1,1))-AVERAGE(OFFSET($H$3,0,0,'Données projet'!$E$11+1,1))</f>
        <v>314.75847268052081</v>
      </c>
      <c r="BJ57" s="60">
        <f t="shared" si="38"/>
        <v>337.77701316755338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10.542307692307702</v>
      </c>
      <c r="BY57" s="13">
        <f>IF('Données projet'!$A$114&gt;35,BY56+BX57-CG56,IF(A57&lt;'Données projet'!$A$114,$BV$205^A57,IF(A57='Données projet'!$A$114,'Données projet'!$B$114,BY56+BX57-CG56)))</f>
        <v>253.15769230769212</v>
      </c>
      <c r="BZ57" s="14">
        <f>BY57*VLOOKUP('Données projet'!$B$12,Paramètres!$A$1:$I$89,3,0)*VLOOKUP('Données projet'!$B$12,Paramètres!$A$1:$I$89,5,0)</f>
        <v>118.47779999999992</v>
      </c>
      <c r="CA57" s="14">
        <f t="shared" si="39"/>
        <v>31.319707790273014</v>
      </c>
      <c r="CB57" s="22">
        <f t="shared" si="10"/>
        <v>260.8973260680587</v>
      </c>
      <c r="CC57" s="60">
        <f t="shared" si="11"/>
        <v>518.60169873539803</v>
      </c>
      <c r="CD57" s="60">
        <f ca="1">AVERAGE(OFFSET($CC$3,0,0,'Données projet'!$E$12+1,1))-AVERAGE(OFFSET($H$3,0,0,'Données projet'!$E$12+1,1))</f>
        <v>277.77877239988635</v>
      </c>
      <c r="CE57" s="60">
        <f t="shared" si="40"/>
        <v>164.65640238394164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0" t="e">
        <f t="shared" si="14"/>
        <v>#NUM!</v>
      </c>
      <c r="CY57" s="60">
        <f ca="1">AVERAGE(OFFSET($CX$3,0,0,'Données projet'!$E$13+1,1))-AVERAGE(OFFSET($H$3,0,0,'Données projet'!$E$13+1,1))</f>
        <v>334.26876877415839</v>
      </c>
      <c r="CZ57" s="60">
        <f t="shared" si="42"/>
        <v>465.65761854152913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9.0333333333333314</v>
      </c>
      <c r="DO57" s="13">
        <f>IF('Données projet'!$A$166&gt;35,DO56+DN57-DW56,IF(A57&lt;'Données projet'!$A$166,$DL$205^A57,IF(A57='Données projet'!$A$166,'Données projet'!$B$166,DO56+DN57-DW56)))</f>
        <v>194.51794871794868</v>
      </c>
      <c r="DP57" s="18">
        <f>DO57*VLOOKUP('Données projet'!$B$14,Paramètres!$A$1:$I$89,3,0)*VLOOKUP('Données projet'!$B$14,Paramètres!$A$1:$I$89,5,0)</f>
        <v>124.41367999999997</v>
      </c>
      <c r="DQ57" s="14">
        <f t="shared" si="43"/>
        <v>32.702243652107605</v>
      </c>
      <c r="DR57" s="22">
        <f t="shared" si="16"/>
        <v>273.64356702742066</v>
      </c>
      <c r="DS57" s="60">
        <f t="shared" si="17"/>
        <v>531.34793969476004</v>
      </c>
      <c r="DT57" s="60">
        <f ca="1">AVERAGE(OFFSET($DS$3,0,0,'Données projet'!$E$14+1,1))-AVERAGE(OFFSET($H$3,0,0,'Données projet'!$E$14+1,1))</f>
        <v>285.09561428624352</v>
      </c>
      <c r="DU57" s="60">
        <f t="shared" si="44"/>
        <v>261.05678516705564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7.6</v>
      </c>
      <c r="EJ57" s="13">
        <f>IF('Données projet'!$A$192&gt;35,EJ56+EI57-ER56,IF(A57&lt;'Données projet'!$A$192,$EG$205^A57,IF(A57='Données projet'!$A$192,'Données projet'!$B$192,EJ56+EI57-ER56)))</f>
        <v>258.39999999999998</v>
      </c>
      <c r="EK57" s="18">
        <f>EJ57*VLOOKUP('Données projet'!$B$15,Paramètres!$A$1:$I$89,3,0)*VLOOKUP('Données projet'!$B$15,Paramètres!$A$1:$I$89,5,0)</f>
        <v>209.61408</v>
      </c>
      <c r="EL57" s="14">
        <f t="shared" si="45"/>
        <v>51.851243442662593</v>
      </c>
      <c r="EM57" s="22">
        <f t="shared" si="19"/>
        <v>455.38543832930395</v>
      </c>
      <c r="EN57" s="60">
        <f t="shared" si="20"/>
        <v>713.08981099664334</v>
      </c>
      <c r="EO57" s="60">
        <f ca="1">AVERAGE(OFFSET($EN$3,0,0,'Données projet'!$E$15+1,1))-AVERAGE(OFFSET($H$3,0,0,'Données projet'!$E$15+1,1))</f>
        <v>272.69564942740931</v>
      </c>
      <c r="EP57" s="60">
        <f t="shared" si="46"/>
        <v>316.57989180609252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0">
        <f t="shared" si="0"/>
        <v>647.02281910056536</v>
      </c>
      <c r="S58" s="60">
        <f ca="1">AVERAGE(OFFSET($R$3,0,0,'Données projet'!$E$9+1,1))-AVERAGE(OFFSET($H$3,0,0,'Données projet'!$E$9+1,1))</f>
        <v>469.67944008675863</v>
      </c>
      <c r="T58" s="60">
        <f t="shared" si="34"/>
        <v>266.11908070867173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0">
        <f t="shared" si="5"/>
        <v>692.77942846313374</v>
      </c>
      <c r="AN58" s="60">
        <f ca="1">AVERAGE(OFFSET($AM$3,0,0,'Données projet'!$E$10+1,1))-AVERAGE(OFFSET($H$3,0,0,'Données projet'!$E$10+1,1))</f>
        <v>516.30971934066179</v>
      </c>
      <c r="AO58" s="60">
        <f t="shared" si="36"/>
        <v>290.84286505723571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233</v>
      </c>
      <c r="BB58" s="13">
        <f>VLOOKUP(A58,'Données projet'!$A$87:$I$107,9,0)</f>
        <v>6.4</v>
      </c>
      <c r="BC58" s="13">
        <f t="array" ref="BC58">INDEX(BB:BB,MIN(IF(ISNUMBER(BB58:BB254),ROW(BB58:BB254),"")))</f>
        <v>6.4</v>
      </c>
      <c r="BD58" s="13">
        <f>IF('Données projet'!$A$88&gt;35,BD57+BC58-BL57,IF(A58&lt;'Données projet'!$A$88,$BA$205^A58,IF(A58='Données projet'!$A$88,'Données projet'!$B$88,BD57+BC58-BL57)))</f>
        <v>232.99999999999986</v>
      </c>
      <c r="BE58" s="14">
        <f>BD58*VLOOKUP('Données projet'!$B$11,Paramètres!$A$1:$I$89,3,0)*VLOOKUP('Données projet'!$B$11,Paramètres!$A$1:$I$89,5,0)</f>
        <v>170.83559999999991</v>
      </c>
      <c r="BF58" s="14">
        <f t="shared" si="37"/>
        <v>43.277116749159646</v>
      </c>
      <c r="BG58" s="22">
        <f t="shared" si="7"/>
        <v>372.91298167145288</v>
      </c>
      <c r="BH58" s="60">
        <f t="shared" si="8"/>
        <v>631.23543715192432</v>
      </c>
      <c r="BI58" s="60">
        <f ca="1">AVERAGE(OFFSET($BH$3,0,0,'Données projet'!$E$11+1,1))-AVERAGE(OFFSET($H$3,0,0,'Données projet'!$E$11+1,1))</f>
        <v>314.75847268052081</v>
      </c>
      <c r="BJ58" s="60">
        <f t="shared" si="38"/>
        <v>337.77701316755338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10.542307692307702</v>
      </c>
      <c r="BY58" s="13">
        <f>IF('Données projet'!$A$114&gt;35,BY57+BX58-CG57,IF(A58&lt;'Données projet'!$A$114,$BV$205^A58,IF(A58='Données projet'!$A$114,'Données projet'!$B$114,BY57+BX58-CG57)))</f>
        <v>263.69999999999982</v>
      </c>
      <c r="BZ58" s="14">
        <f>BY58*VLOOKUP('Données projet'!$B$12,Paramètres!$A$1:$I$89,3,0)*VLOOKUP('Données projet'!$B$12,Paramètres!$A$1:$I$89,5,0)</f>
        <v>123.41159999999991</v>
      </c>
      <c r="CA58" s="14">
        <f t="shared" si="39"/>
        <v>32.46939610718038</v>
      </c>
      <c r="CB58" s="22">
        <f t="shared" si="10"/>
        <v>271.49273488667239</v>
      </c>
      <c r="CC58" s="60">
        <f t="shared" si="11"/>
        <v>529.81519036714371</v>
      </c>
      <c r="CD58" s="60">
        <f ca="1">AVERAGE(OFFSET($CC$3,0,0,'Données projet'!$E$12+1,1))-AVERAGE(OFFSET($H$3,0,0,'Données projet'!$E$12+1,1))</f>
        <v>277.77877239988635</v>
      </c>
      <c r="CE58" s="60">
        <f t="shared" si="40"/>
        <v>164.65640238394164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0" t="e">
        <f t="shared" si="14"/>
        <v>#NUM!</v>
      </c>
      <c r="CY58" s="60">
        <f ca="1">AVERAGE(OFFSET($CX$3,0,0,'Données projet'!$E$13+1,1))-AVERAGE(OFFSET($H$3,0,0,'Données projet'!$E$13+1,1))</f>
        <v>334.26876877415839</v>
      </c>
      <c r="CZ58" s="60">
        <f t="shared" si="42"/>
        <v>465.65761854152913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9.0333333333333314</v>
      </c>
      <c r="DO58" s="13">
        <f>IF('Données projet'!$A$166&gt;35,DO57+DN58-DW57,IF(A58&lt;'Données projet'!$A$166,$DL$205^A58,IF(A58='Données projet'!$A$166,'Données projet'!$B$166,DO57+DN58-DW57)))</f>
        <v>203.55128205128202</v>
      </c>
      <c r="DP58" s="18">
        <f>DO58*VLOOKUP('Données projet'!$B$14,Paramètres!$A$1:$I$89,3,0)*VLOOKUP('Données projet'!$B$14,Paramètres!$A$1:$I$89,5,0)</f>
        <v>130.19139999999996</v>
      </c>
      <c r="DQ58" s="14">
        <f t="shared" si="43"/>
        <v>34.040582465052267</v>
      </c>
      <c r="DR58" s="22">
        <f t="shared" si="16"/>
        <v>286.03736945996593</v>
      </c>
      <c r="DS58" s="60">
        <f t="shared" si="17"/>
        <v>544.35982494043731</v>
      </c>
      <c r="DT58" s="60">
        <f ca="1">AVERAGE(OFFSET($DS$3,0,0,'Données projet'!$E$14+1,1))-AVERAGE(OFFSET($H$3,0,0,'Données projet'!$E$14+1,1))</f>
        <v>285.09561428624352</v>
      </c>
      <c r="DU58" s="60">
        <f t="shared" si="44"/>
        <v>261.05678516705564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266</v>
      </c>
      <c r="EH58" s="13">
        <f>VLOOKUP(A58,'Données projet'!$A$191:$I$211,9,0)</f>
        <v>7.6</v>
      </c>
      <c r="EI58" s="13">
        <f t="array" ref="EI58">INDEX(EH:EH,MIN(IF(ISNUMBER(EH58:EH254),ROW(EH58:EH254),"")))</f>
        <v>7.6</v>
      </c>
      <c r="EJ58" s="13">
        <f>IF('Données projet'!$A$192&gt;35,EJ57+EI58-ER57,IF(A58&lt;'Données projet'!$A$192,$EG$205^A58,IF(A58='Données projet'!$A$192,'Données projet'!$B$192,EJ57+EI58-ER57)))</f>
        <v>266</v>
      </c>
      <c r="EK58" s="18">
        <f>EJ58*VLOOKUP('Données projet'!$B$15,Paramètres!$A$1:$I$89,3,0)*VLOOKUP('Données projet'!$B$15,Paramètres!$A$1:$I$89,5,0)</f>
        <v>215.7792</v>
      </c>
      <c r="EL58" s="14">
        <f t="shared" si="45"/>
        <v>53.196483976998607</v>
      </c>
      <c r="EM58" s="22">
        <f t="shared" si="19"/>
        <v>468.46598292660588</v>
      </c>
      <c r="EN58" s="60">
        <f t="shared" si="20"/>
        <v>726.78843840707725</v>
      </c>
      <c r="EO58" s="60">
        <f ca="1">AVERAGE(OFFSET($EN$3,0,0,'Données projet'!$E$15+1,1))-AVERAGE(OFFSET($H$3,0,0,'Données projet'!$E$15+1,1))</f>
        <v>272.69564942740931</v>
      </c>
      <c r="EP58" s="60">
        <f t="shared" si="46"/>
        <v>316.57989180609252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0">
        <f t="shared" si="0"/>
        <v>662.26840846968037</v>
      </c>
      <c r="S59" s="60">
        <f ca="1">AVERAGE(OFFSET($R$3,0,0,'Données projet'!$E$9+1,1))-AVERAGE(OFFSET($H$3,0,0,'Données projet'!$E$9+1,1))</f>
        <v>469.67944008675863</v>
      </c>
      <c r="T59" s="60">
        <f t="shared" si="34"/>
        <v>266.11908070867173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0">
        <f t="shared" si="5"/>
        <v>709.7523988829879</v>
      </c>
      <c r="AN59" s="60">
        <f ca="1">AVERAGE(OFFSET($AM$3,0,0,'Données projet'!$E$10+1,1))-AVERAGE(OFFSET($H$3,0,0,'Données projet'!$E$10+1,1))</f>
        <v>516.30971934066179</v>
      </c>
      <c r="AO59" s="60">
        <f t="shared" si="36"/>
        <v>290.84286505723571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</v>
      </c>
      <c r="BD59" s="13">
        <f>IF('Données projet'!$A$88&gt;35,BD58+BC59-BL58,IF(A59&lt;'Données projet'!$A$88,$BA$205^A59,IF(A59='Données projet'!$A$88,'Données projet'!$B$88,BD58+BC59-BL58)))</f>
        <v>237.99999999999986</v>
      </c>
      <c r="BE59" s="14">
        <f>BD59*VLOOKUP('Données projet'!$B$11,Paramètres!$A$1:$I$89,3,0)*VLOOKUP('Données projet'!$B$11,Paramètres!$A$1:$I$89,5,0)</f>
        <v>174.50159999999988</v>
      </c>
      <c r="BF59" s="14">
        <f t="shared" si="37"/>
        <v>44.096693550140635</v>
      </c>
      <c r="BG59" s="22">
        <f t="shared" si="7"/>
        <v>380.7253612664947</v>
      </c>
      <c r="BH59" s="60">
        <f t="shared" si="8"/>
        <v>639.65517720511639</v>
      </c>
      <c r="BI59" s="60">
        <f ca="1">AVERAGE(OFFSET($BH$3,0,0,'Données projet'!$E$11+1,1))-AVERAGE(OFFSET($H$3,0,0,'Données projet'!$E$11+1,1))</f>
        <v>314.75847268052081</v>
      </c>
      <c r="BJ59" s="60">
        <f t="shared" si="38"/>
        <v>337.77701316755338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10.542307692307702</v>
      </c>
      <c r="BY59" s="13">
        <f>IF('Données projet'!$A$114&gt;35,BY58+BX59-CG58,IF(A59&lt;'Données projet'!$A$114,$BV$205^A59,IF(A59='Données projet'!$A$114,'Données projet'!$B$114,BY58+BX59-CG58)))</f>
        <v>274.24230769230752</v>
      </c>
      <c r="BZ59" s="14">
        <f>BY59*VLOOKUP('Données projet'!$B$12,Paramètres!$A$1:$I$89,3,0)*VLOOKUP('Données projet'!$B$12,Paramètres!$A$1:$I$89,5,0)</f>
        <v>128.34539999999993</v>
      </c>
      <c r="CA59" s="14">
        <f t="shared" si="39"/>
        <v>33.61374529088544</v>
      </c>
      <c r="CB59" s="22">
        <f t="shared" si="10"/>
        <v>282.07884471495868</v>
      </c>
      <c r="CC59" s="60">
        <f t="shared" si="11"/>
        <v>541.00866065358036</v>
      </c>
      <c r="CD59" s="60">
        <f ca="1">AVERAGE(OFFSET($CC$3,0,0,'Données projet'!$E$12+1,1))-AVERAGE(OFFSET($H$3,0,0,'Données projet'!$E$12+1,1))</f>
        <v>277.77877239988635</v>
      </c>
      <c r="CE59" s="60">
        <f t="shared" si="40"/>
        <v>164.65640238394164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0" t="e">
        <f t="shared" si="14"/>
        <v>#NUM!</v>
      </c>
      <c r="CY59" s="60">
        <f ca="1">AVERAGE(OFFSET($CX$3,0,0,'Données projet'!$E$13+1,1))-AVERAGE(OFFSET($H$3,0,0,'Données projet'!$E$13+1,1))</f>
        <v>334.26876877415839</v>
      </c>
      <c r="CZ59" s="60">
        <f t="shared" si="42"/>
        <v>465.65761854152913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9.0333333333333314</v>
      </c>
      <c r="DO59" s="13">
        <f>IF('Données projet'!$A$166&gt;35,DO58+DN59-DW58,IF(A59&lt;'Données projet'!$A$166,$DL$205^A59,IF(A59='Données projet'!$A$166,'Données projet'!$B$166,DO58+DN59-DW58)))</f>
        <v>212.58461538461535</v>
      </c>
      <c r="DP59" s="18">
        <f>DO59*VLOOKUP('Données projet'!$B$14,Paramètres!$A$1:$I$89,3,0)*VLOOKUP('Données projet'!$B$14,Paramètres!$A$1:$I$89,5,0)</f>
        <v>135.96911999999998</v>
      </c>
      <c r="DQ59" s="14">
        <f t="shared" si="43"/>
        <v>35.372023287717631</v>
      </c>
      <c r="DR59" s="22">
        <f t="shared" si="16"/>
        <v>298.41915789277482</v>
      </c>
      <c r="DS59" s="60">
        <f t="shared" si="17"/>
        <v>557.34897383139651</v>
      </c>
      <c r="DT59" s="60">
        <f ca="1">AVERAGE(OFFSET($DS$3,0,0,'Données projet'!$E$14+1,1))-AVERAGE(OFFSET($H$3,0,0,'Données projet'!$E$14+1,1))</f>
        <v>285.09561428624352</v>
      </c>
      <c r="DU59" s="60">
        <f t="shared" si="44"/>
        <v>261.05678516705564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7.4</v>
      </c>
      <c r="EJ59" s="13">
        <f>IF('Données projet'!$A$192&gt;35,EJ58+EI59-ER58,IF(A59&lt;'Données projet'!$A$192,$EG$205^A59,IF(A59='Données projet'!$A$192,'Données projet'!$B$192,EJ58+EI59-ER58)))</f>
        <v>273.39999999999998</v>
      </c>
      <c r="EK59" s="18">
        <f>EJ59*VLOOKUP('Données projet'!$B$15,Paramètres!$A$1:$I$89,3,0)*VLOOKUP('Données projet'!$B$15,Paramètres!$A$1:$I$89,5,0)</f>
        <v>221.78208000000001</v>
      </c>
      <c r="EL59" s="14">
        <f t="shared" si="45"/>
        <v>54.502029950220781</v>
      </c>
      <c r="EM59" s="22">
        <f t="shared" si="19"/>
        <v>481.19482482996779</v>
      </c>
      <c r="EN59" s="60">
        <f t="shared" si="20"/>
        <v>740.12464076858953</v>
      </c>
      <c r="EO59" s="60">
        <f ca="1">AVERAGE(OFFSET($EN$3,0,0,'Données projet'!$E$15+1,1))-AVERAGE(OFFSET($H$3,0,0,'Données projet'!$E$15+1,1))</f>
        <v>272.69564942740931</v>
      </c>
      <c r="EP59" s="60">
        <f t="shared" si="46"/>
        <v>316.57989180609252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0">
        <f t="shared" si="0"/>
        <v>677.49197504224037</v>
      </c>
      <c r="S60" s="60">
        <f ca="1">AVERAGE(OFFSET($R$3,0,0,'Données projet'!$E$9+1,1))-AVERAGE(OFFSET($H$3,0,0,'Données projet'!$E$9+1,1))</f>
        <v>469.67944008675863</v>
      </c>
      <c r="T60" s="60">
        <f t="shared" si="34"/>
        <v>266.11908070867173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0">
        <f t="shared" si="5"/>
        <v>726.70212981597956</v>
      </c>
      <c r="AN60" s="60">
        <f ca="1">AVERAGE(OFFSET($AM$3,0,0,'Données projet'!$E$10+1,1))-AVERAGE(OFFSET($H$3,0,0,'Données projet'!$E$10+1,1))</f>
        <v>516.30971934066179</v>
      </c>
      <c r="AO60" s="60">
        <f t="shared" si="36"/>
        <v>290.84286505723571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242.99999999999986</v>
      </c>
      <c r="BE60" s="14">
        <f>BD60*VLOOKUP('Données projet'!$B$11,Paramètres!$A$1:$I$89,3,0)*VLOOKUP('Données projet'!$B$11,Paramètres!$A$1:$I$89,5,0)</f>
        <v>178.16759999999988</v>
      </c>
      <c r="BF60" s="14">
        <f t="shared" si="37"/>
        <v>44.91426846875347</v>
      </c>
      <c r="BG60" s="22">
        <f t="shared" si="7"/>
        <v>388.5342542497454</v>
      </c>
      <c r="BH60" s="60">
        <f t="shared" si="8"/>
        <v>648.06089430042312</v>
      </c>
      <c r="BI60" s="60">
        <f ca="1">AVERAGE(OFFSET($BH$3,0,0,'Données projet'!$E$11+1,1))-AVERAGE(OFFSET($H$3,0,0,'Données projet'!$E$11+1,1))</f>
        <v>314.75847268052081</v>
      </c>
      <c r="BJ60" s="60">
        <f t="shared" si="38"/>
        <v>337.77701316755338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>
        <f>VLOOKUP(A60,'Données projet'!$A$113:$I$133,2,0)</f>
        <v>284.78461538461539</v>
      </c>
      <c r="BW60" s="13">
        <f>VLOOKUP(A60,'Données projet'!$A$113:$I$133,9,0)</f>
        <v>10.542307692307702</v>
      </c>
      <c r="BX60" s="13">
        <f t="array" ref="BX60">INDEX(BW:BW,MIN(IF(ISNUMBER(BW60:BW256),ROW(BW60:BW256),"")))</f>
        <v>10.542307692307702</v>
      </c>
      <c r="BY60" s="13">
        <f>IF('Données projet'!$A$114&gt;35,BY59+BX60-CG59,IF(A60&lt;'Données projet'!$A$114,$BV$205^A60,IF(A60='Données projet'!$A$114,'Données projet'!$B$114,BY59+BX60-CG59)))</f>
        <v>284.78461538461522</v>
      </c>
      <c r="BZ60" s="14">
        <f>BY60*VLOOKUP('Données projet'!$B$12,Paramètres!$A$1:$I$89,3,0)*VLOOKUP('Données projet'!$B$12,Paramètres!$A$1:$I$89,5,0)</f>
        <v>133.27919999999992</v>
      </c>
      <c r="CA60" s="14">
        <f t="shared" si="39"/>
        <v>34.752984079426945</v>
      </c>
      <c r="CB60" s="22">
        <f t="shared" si="10"/>
        <v>292.65605393833511</v>
      </c>
      <c r="CC60" s="60">
        <f t="shared" si="11"/>
        <v>552.18269398901282</v>
      </c>
      <c r="CD60" s="60">
        <f ca="1">AVERAGE(OFFSET($CC$3,0,0,'Données projet'!$E$12+1,1))-AVERAGE(OFFSET($H$3,0,0,'Données projet'!$E$12+1,1))</f>
        <v>277.77877239988635</v>
      </c>
      <c r="CE60" s="60">
        <f t="shared" si="40"/>
        <v>164.65640238394164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0" t="e">
        <f t="shared" si="14"/>
        <v>#NUM!</v>
      </c>
      <c r="CY60" s="60">
        <f ca="1">AVERAGE(OFFSET($CX$3,0,0,'Données projet'!$E$13+1,1))-AVERAGE(OFFSET($H$3,0,0,'Données projet'!$E$13+1,1))</f>
        <v>334.26876877415839</v>
      </c>
      <c r="CZ60" s="60">
        <f t="shared" si="42"/>
        <v>465.65761854152913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9.0333333333333314</v>
      </c>
      <c r="DO60" s="13">
        <f>IF('Données projet'!$A$166&gt;35,DO59+DN60-DW59,IF(A60&lt;'Données projet'!$A$166,$DL$205^A60,IF(A60='Données projet'!$A$166,'Données projet'!$B$166,DO59+DN60-DW59)))</f>
        <v>221.61794871794868</v>
      </c>
      <c r="DP60" s="18">
        <f>DO60*VLOOKUP('Données projet'!$B$14,Paramètres!$A$1:$I$89,3,0)*VLOOKUP('Données projet'!$B$14,Paramètres!$A$1:$I$89,5,0)</f>
        <v>141.74683999999999</v>
      </c>
      <c r="DQ60" s="14">
        <f t="shared" si="43"/>
        <v>36.696892746861906</v>
      </c>
      <c r="DR60" s="22">
        <f t="shared" si="16"/>
        <v>310.78950120078446</v>
      </c>
      <c r="DS60" s="60">
        <f t="shared" si="17"/>
        <v>570.31614125146211</v>
      </c>
      <c r="DT60" s="60">
        <f ca="1">AVERAGE(OFFSET($DS$3,0,0,'Données projet'!$E$14+1,1))-AVERAGE(OFFSET($H$3,0,0,'Données projet'!$E$14+1,1))</f>
        <v>285.09561428624352</v>
      </c>
      <c r="DU60" s="60">
        <f t="shared" si="44"/>
        <v>261.05678516705564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7.4</v>
      </c>
      <c r="EJ60" s="13">
        <f>IF('Données projet'!$A$192&gt;35,EJ59+EI60-ER59,IF(A60&lt;'Données projet'!$A$192,$EG$205^A60,IF(A60='Données projet'!$A$192,'Données projet'!$B$192,EJ59+EI60-ER59)))</f>
        <v>280.79999999999995</v>
      </c>
      <c r="EK60" s="18">
        <f>EJ60*VLOOKUP('Données projet'!$B$15,Paramètres!$A$1:$I$89,3,0)*VLOOKUP('Données projet'!$B$15,Paramètres!$A$1:$I$89,5,0)</f>
        <v>227.78495999999998</v>
      </c>
      <c r="EL60" s="14">
        <f t="shared" si="45"/>
        <v>55.803468680001743</v>
      </c>
      <c r="EM60" s="22">
        <f t="shared" si="19"/>
        <v>493.91651328433619</v>
      </c>
      <c r="EN60" s="60">
        <f t="shared" si="20"/>
        <v>753.4431533350139</v>
      </c>
      <c r="EO60" s="60">
        <f ca="1">AVERAGE(OFFSET($EN$3,0,0,'Données projet'!$E$15+1,1))-AVERAGE(OFFSET($H$3,0,0,'Données projet'!$E$15+1,1))</f>
        <v>272.69564942740931</v>
      </c>
      <c r="EP60" s="60">
        <f t="shared" si="46"/>
        <v>316.57989180609252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0">
        <f t="shared" si="0"/>
        <v>692.69416011977614</v>
      </c>
      <c r="S61" s="60">
        <f ca="1">AVERAGE(OFFSET($R$3,0,0,'Données projet'!$E$9+1,1))-AVERAGE(OFFSET($H$3,0,0,'Données projet'!$E$9+1,1))</f>
        <v>469.67944008675863</v>
      </c>
      <c r="T61" s="60">
        <f t="shared" si="34"/>
        <v>266.11908070867173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0">
        <f t="shared" si="5"/>
        <v>743.62931113183822</v>
      </c>
      <c r="AN61" s="60">
        <f ca="1">AVERAGE(OFFSET($AM$3,0,0,'Données projet'!$E$10+1,1))-AVERAGE(OFFSET($H$3,0,0,'Données projet'!$E$10+1,1))</f>
        <v>516.30971934066179</v>
      </c>
      <c r="AO61" s="60">
        <f t="shared" si="36"/>
        <v>290.84286505723571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247.99999999999986</v>
      </c>
      <c r="BE61" s="14">
        <f>BD61*VLOOKUP('Données projet'!$B$11,Paramètres!$A$1:$I$89,3,0)*VLOOKUP('Données projet'!$B$11,Paramètres!$A$1:$I$89,5,0)</f>
        <v>181.8335999999999</v>
      </c>
      <c r="BF61" s="14">
        <f t="shared" si="37"/>
        <v>45.729887442143784</v>
      </c>
      <c r="BG61" s="22">
        <f t="shared" si="7"/>
        <v>396.33974062840025</v>
      </c>
      <c r="BH61" s="60">
        <f t="shared" si="8"/>
        <v>656.45285122708867</v>
      </c>
      <c r="BI61" s="60">
        <f ca="1">AVERAGE(OFFSET($BH$3,0,0,'Données projet'!$E$11+1,1))-AVERAGE(OFFSET($H$3,0,0,'Données projet'!$E$11+1,1))</f>
        <v>314.75847268052081</v>
      </c>
      <c r="BJ61" s="60">
        <f t="shared" si="38"/>
        <v>337.77701316755338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10.984615384615381</v>
      </c>
      <c r="BY61" s="13">
        <f>IF('Données projet'!$A$114&gt;35,BY60+BX61-CG60,IF(A61&lt;'Données projet'!$A$114,$BV$205^A61,IF(A61='Données projet'!$A$114,'Données projet'!$B$114,BY60+BX61-CG60)))</f>
        <v>295.7692307692306</v>
      </c>
      <c r="BZ61" s="14">
        <f>BY61*VLOOKUP('Données projet'!$B$12,Paramètres!$A$1:$I$89,3,0)*VLOOKUP('Données projet'!$B$12,Paramètres!$A$1:$I$89,5,0)</f>
        <v>138.41999999999993</v>
      </c>
      <c r="CA61" s="14">
        <f t="shared" si="39"/>
        <v>35.934810934702796</v>
      </c>
      <c r="CB61" s="22">
        <f t="shared" si="10"/>
        <v>303.66796237794057</v>
      </c>
      <c r="CC61" s="60">
        <f t="shared" si="11"/>
        <v>563.78107297662905</v>
      </c>
      <c r="CD61" s="60">
        <f ca="1">AVERAGE(OFFSET($CC$3,0,0,'Données projet'!$E$12+1,1))-AVERAGE(OFFSET($H$3,0,0,'Données projet'!$E$12+1,1))</f>
        <v>277.77877239988635</v>
      </c>
      <c r="CE61" s="60">
        <f t="shared" si="40"/>
        <v>164.65640238394164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0" t="e">
        <f t="shared" si="14"/>
        <v>#NUM!</v>
      </c>
      <c r="CY61" s="60">
        <f ca="1">AVERAGE(OFFSET($CX$3,0,0,'Données projet'!$E$13+1,1))-AVERAGE(OFFSET($H$3,0,0,'Données projet'!$E$13+1,1))</f>
        <v>334.26876877415839</v>
      </c>
      <c r="CZ61" s="60">
        <f t="shared" si="42"/>
        <v>465.65761854152913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9.0333333333333314</v>
      </c>
      <c r="DO61" s="13">
        <f>IF('Données projet'!$A$166&gt;35,DO60+DN61-DW60,IF(A61&lt;'Données projet'!$A$166,$DL$205^A61,IF(A61='Données projet'!$A$166,'Données projet'!$B$166,DO60+DN61-DW60)))</f>
        <v>230.65128205128201</v>
      </c>
      <c r="DP61" s="18">
        <f>DO61*VLOOKUP('Données projet'!$B$14,Paramètres!$A$1:$I$89,3,0)*VLOOKUP('Données projet'!$B$14,Paramètres!$A$1:$I$89,5,0)</f>
        <v>147.52455999999998</v>
      </c>
      <c r="DQ61" s="14">
        <f t="shared" si="43"/>
        <v>38.015489335242272</v>
      </c>
      <c r="DR61" s="22">
        <f t="shared" si="16"/>
        <v>323.14891925888026</v>
      </c>
      <c r="DS61" s="60">
        <f t="shared" si="17"/>
        <v>583.26202985756868</v>
      </c>
      <c r="DT61" s="60">
        <f ca="1">AVERAGE(OFFSET($DS$3,0,0,'Données projet'!$E$14+1,1))-AVERAGE(OFFSET($H$3,0,0,'Données projet'!$E$14+1,1))</f>
        <v>285.09561428624352</v>
      </c>
      <c r="DU61" s="60">
        <f t="shared" si="44"/>
        <v>261.05678516705564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7.4</v>
      </c>
      <c r="EJ61" s="13">
        <f>IF('Données projet'!$A$192&gt;35,EJ60+EI61-ER60,IF(A61&lt;'Données projet'!$A$192,$EG$205^A61,IF(A61='Données projet'!$A$192,'Données projet'!$B$192,EJ60+EI61-ER60)))</f>
        <v>288.19999999999993</v>
      </c>
      <c r="EK61" s="18">
        <f>EJ61*VLOOKUP('Données projet'!$B$15,Paramètres!$A$1:$I$89,3,0)*VLOOKUP('Données projet'!$B$15,Paramètres!$A$1:$I$89,5,0)</f>
        <v>233.78783999999996</v>
      </c>
      <c r="EL61" s="14">
        <f t="shared" si="45"/>
        <v>57.100920847849451</v>
      </c>
      <c r="EM61" s="22">
        <f t="shared" si="19"/>
        <v>506.63125847667106</v>
      </c>
      <c r="EN61" s="60">
        <f t="shared" si="20"/>
        <v>766.74436907535949</v>
      </c>
      <c r="EO61" s="60">
        <f ca="1">AVERAGE(OFFSET($EN$3,0,0,'Données projet'!$E$15+1,1))-AVERAGE(OFFSET($H$3,0,0,'Données projet'!$E$15+1,1))</f>
        <v>272.69564942740931</v>
      </c>
      <c r="EP61" s="60">
        <f t="shared" si="46"/>
        <v>316.57989180609252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0">
        <f t="shared" si="0"/>
        <v>707.87556832628184</v>
      </c>
      <c r="S62" s="60">
        <f ca="1">AVERAGE(OFFSET($R$3,0,0,'Données projet'!$E$9+1,1))-AVERAGE(OFFSET($H$3,0,0,'Données projet'!$E$9+1,1))</f>
        <v>469.67944008675863</v>
      </c>
      <c r="T62" s="60">
        <f t="shared" si="34"/>
        <v>266.11908070867173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0">
        <f t="shared" si="5"/>
        <v>760.53459247359729</v>
      </c>
      <c r="AN62" s="60">
        <f ca="1">AVERAGE(OFFSET($AM$3,0,0,'Données projet'!$E$10+1,1))-AVERAGE(OFFSET($H$3,0,0,'Données projet'!$E$10+1,1))</f>
        <v>516.30971934066179</v>
      </c>
      <c r="AO62" s="60">
        <f t="shared" si="36"/>
        <v>290.84286505723571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252.99999999999986</v>
      </c>
      <c r="BE62" s="14">
        <f>BD62*VLOOKUP('Données projet'!$B$11,Paramètres!$A$1:$I$89,3,0)*VLOOKUP('Données projet'!$B$11,Paramètres!$A$1:$I$89,5,0)</f>
        <v>185.4995999999999</v>
      </c>
      <c r="BF62" s="14">
        <f t="shared" si="37"/>
        <v>46.543594449249014</v>
      </c>
      <c r="BG62" s="22">
        <f t="shared" si="7"/>
        <v>404.1418969991085</v>
      </c>
      <c r="BH62" s="60">
        <f t="shared" si="8"/>
        <v>664.83130419295128</v>
      </c>
      <c r="BI62" s="60">
        <f ca="1">AVERAGE(OFFSET($BH$3,0,0,'Données projet'!$E$11+1,1))-AVERAGE(OFFSET($H$3,0,0,'Données projet'!$E$11+1,1))</f>
        <v>314.75847268052081</v>
      </c>
      <c r="BJ62" s="60">
        <f t="shared" si="38"/>
        <v>337.77701316755338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10.984615384615381</v>
      </c>
      <c r="BY62" s="13">
        <f>IF('Données projet'!$A$114&gt;35,BY61+BX62-CG61,IF(A62&lt;'Données projet'!$A$114,$BV$205^A62,IF(A62='Données projet'!$A$114,'Données projet'!$B$114,BY61+BX62-CG61)))</f>
        <v>306.75384615384598</v>
      </c>
      <c r="BZ62" s="14">
        <f>BY62*VLOOKUP('Données projet'!$B$12,Paramètres!$A$1:$I$89,3,0)*VLOOKUP('Données projet'!$B$12,Paramètres!$A$1:$I$89,5,0)</f>
        <v>143.56079999999992</v>
      </c>
      <c r="CA62" s="14">
        <f t="shared" si="39"/>
        <v>37.111538546158371</v>
      </c>
      <c r="CB62" s="22">
        <f t="shared" si="10"/>
        <v>314.67098963455902</v>
      </c>
      <c r="CC62" s="60">
        <f t="shared" si="11"/>
        <v>575.3603968284018</v>
      </c>
      <c r="CD62" s="60">
        <f ca="1">AVERAGE(OFFSET($CC$3,0,0,'Données projet'!$E$12+1,1))-AVERAGE(OFFSET($H$3,0,0,'Données projet'!$E$12+1,1))</f>
        <v>277.77877239988635</v>
      </c>
      <c r="CE62" s="60">
        <f t="shared" si="40"/>
        <v>164.65640238394164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0" t="e">
        <f t="shared" si="14"/>
        <v>#NUM!</v>
      </c>
      <c r="CY62" s="60">
        <f ca="1">AVERAGE(OFFSET($CX$3,0,0,'Données projet'!$E$13+1,1))-AVERAGE(OFFSET($H$3,0,0,'Données projet'!$E$13+1,1))</f>
        <v>334.26876877415839</v>
      </c>
      <c r="CZ62" s="60">
        <f t="shared" si="42"/>
        <v>465.65761854152913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9.0333333333333314</v>
      </c>
      <c r="DO62" s="13">
        <f>IF('Données projet'!$A$166&gt;35,DO61+DN62-DW61,IF(A62&lt;'Données projet'!$A$166,$DL$205^A62,IF(A62='Données projet'!$A$166,'Données projet'!$B$166,DO61+DN62-DW61)))</f>
        <v>239.68461538461534</v>
      </c>
      <c r="DP62" s="18">
        <f>DO62*VLOOKUP('Données projet'!$B$14,Paramètres!$A$1:$I$89,3,0)*VLOOKUP('Données projet'!$B$14,Paramètres!$A$1:$I$89,5,0)</f>
        <v>153.30227999999997</v>
      </c>
      <c r="DQ62" s="14">
        <f t="shared" si="43"/>
        <v>39.328086841233628</v>
      </c>
      <c r="DR62" s="22">
        <f t="shared" si="16"/>
        <v>335.49788891514845</v>
      </c>
      <c r="DS62" s="60">
        <f t="shared" si="17"/>
        <v>596.18729610899118</v>
      </c>
      <c r="DT62" s="60">
        <f ca="1">AVERAGE(OFFSET($DS$3,0,0,'Données projet'!$E$14+1,1))-AVERAGE(OFFSET($H$3,0,0,'Données projet'!$E$14+1,1))</f>
        <v>285.09561428624352</v>
      </c>
      <c r="DU62" s="60">
        <f t="shared" si="44"/>
        <v>261.05678516705564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7.4</v>
      </c>
      <c r="EJ62" s="13">
        <f>IF('Données projet'!$A$192&gt;35,EJ61+EI62-ER61,IF(A62&lt;'Données projet'!$A$192,$EG$205^A62,IF(A62='Données projet'!$A$192,'Données projet'!$B$192,EJ61+EI62-ER61)))</f>
        <v>295.59999999999991</v>
      </c>
      <c r="EK62" s="18">
        <f>EJ62*VLOOKUP('Données projet'!$B$15,Paramètres!$A$1:$I$89,3,0)*VLOOKUP('Données projet'!$B$15,Paramètres!$A$1:$I$89,5,0)</f>
        <v>239.79071999999994</v>
      </c>
      <c r="EL62" s="14">
        <f t="shared" si="45"/>
        <v>58.394500584818381</v>
      </c>
      <c r="EM62" s="22">
        <f t="shared" si="19"/>
        <v>519.33925918522516</v>
      </c>
      <c r="EN62" s="60">
        <f t="shared" si="20"/>
        <v>780.028666379068</v>
      </c>
      <c r="EO62" s="60">
        <f ca="1">AVERAGE(OFFSET($EN$3,0,0,'Données projet'!$E$15+1,1))-AVERAGE(OFFSET($H$3,0,0,'Données projet'!$E$15+1,1))</f>
        <v>272.69564942740931</v>
      </c>
      <c r="EP62" s="60">
        <f t="shared" si="46"/>
        <v>316.57989180609252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0">
        <f t="shared" si="0"/>
        <v>723.03677114895481</v>
      </c>
      <c r="S63" s="60">
        <f ca="1">AVERAGE(OFFSET($R$3,0,0,'Données projet'!$E$9+1,1))-AVERAGE(OFFSET($H$3,0,0,'Données projet'!$E$9+1,1))</f>
        <v>469.67944008675863</v>
      </c>
      <c r="T63" s="60">
        <f t="shared" si="34"/>
        <v>266.11908070867173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0">
        <f t="shared" si="5"/>
        <v>777.41858716755496</v>
      </c>
      <c r="AN63" s="60">
        <f ca="1">AVERAGE(OFFSET($AM$3,0,0,'Données projet'!$E$10+1,1))-AVERAGE(OFFSET($H$3,0,0,'Données projet'!$E$10+1,1))</f>
        <v>516.30971934066179</v>
      </c>
      <c r="AO63" s="60">
        <f t="shared" si="36"/>
        <v>290.84286505723571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</v>
      </c>
      <c r="BB63" s="13">
        <f>VLOOKUP(A63,'Données projet'!$A$87:$I$107,9,0)</f>
        <v>5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257.99999999999989</v>
      </c>
      <c r="BE63" s="14">
        <f>BD63*VLOOKUP('Données projet'!$B$11,Paramètres!$A$1:$I$89,3,0)*VLOOKUP('Données projet'!$B$11,Paramètres!$A$1:$I$89,5,0)</f>
        <v>189.1655999999999</v>
      </c>
      <c r="BF63" s="14">
        <f t="shared" si="37"/>
        <v>47.355431631295275</v>
      </c>
      <c r="BG63" s="22">
        <f t="shared" si="7"/>
        <v>411.94079675783905</v>
      </c>
      <c r="BH63" s="60">
        <f t="shared" si="8"/>
        <v>673.19650308931659</v>
      </c>
      <c r="BI63" s="60">
        <f ca="1">AVERAGE(OFFSET($BH$3,0,0,'Données projet'!$E$11+1,1))-AVERAGE(OFFSET($H$3,0,0,'Données projet'!$E$11+1,1))</f>
        <v>314.75847268052081</v>
      </c>
      <c r="BJ63" s="60">
        <f t="shared" si="38"/>
        <v>337.77701316755338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10.984615384615381</v>
      </c>
      <c r="BY63" s="13">
        <f>IF('Données projet'!$A$114&gt;35,BY62+BX63-CG62,IF(A63&lt;'Données projet'!$A$114,$BV$205^A63,IF(A63='Données projet'!$A$114,'Données projet'!$B$114,BY62+BX63-CG62)))</f>
        <v>317.73846153846137</v>
      </c>
      <c r="BZ63" s="14">
        <f>BY63*VLOOKUP('Données projet'!$B$12,Paramètres!$A$1:$I$89,3,0)*VLOOKUP('Données projet'!$B$12,Paramètres!$A$1:$I$89,5,0)</f>
        <v>148.70159999999993</v>
      </c>
      <c r="CA63" s="14">
        <f t="shared" si="39"/>
        <v>38.283370432550541</v>
      </c>
      <c r="CB63" s="22">
        <f t="shared" si="10"/>
        <v>325.66549017002541</v>
      </c>
      <c r="CC63" s="60">
        <f t="shared" si="11"/>
        <v>586.92119650150289</v>
      </c>
      <c r="CD63" s="60">
        <f ca="1">AVERAGE(OFFSET($CC$3,0,0,'Données projet'!$E$12+1,1))-AVERAGE(OFFSET($H$3,0,0,'Données projet'!$E$12+1,1))</f>
        <v>277.77877239988635</v>
      </c>
      <c r="CE63" s="60">
        <f t="shared" si="40"/>
        <v>164.65640238394164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0" t="e">
        <f t="shared" si="14"/>
        <v>#NUM!</v>
      </c>
      <c r="CY63" s="60">
        <f ca="1">AVERAGE(OFFSET($CX$3,0,0,'Données projet'!$E$13+1,1))-AVERAGE(OFFSET($H$3,0,0,'Données projet'!$E$13+1,1))</f>
        <v>334.26876877415839</v>
      </c>
      <c r="CZ63" s="60">
        <f t="shared" si="42"/>
        <v>465.65761854152913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248.7179487179487</v>
      </c>
      <c r="DM63" s="13">
        <f>VLOOKUP(A63,'Données projet'!$A$165:$I$185,9,0)</f>
        <v>9.0333333333333314</v>
      </c>
      <c r="DN63" s="13">
        <f t="array" ref="DN63">INDEX(DM:DM,MIN(IF(ISNUMBER(DM63:DM259),ROW(DM63:DM259),"")))</f>
        <v>9.0333333333333314</v>
      </c>
      <c r="DO63" s="13">
        <f>IF('Données projet'!$A$166&gt;35,DO62+DN63-DW62,IF(A63&lt;'Données projet'!$A$166,$DL$205^A63,IF(A63='Données projet'!$A$166,'Données projet'!$B$166,DO62+DN63-DW62)))</f>
        <v>248.71794871794867</v>
      </c>
      <c r="DP63" s="18">
        <f>DO63*VLOOKUP('Données projet'!$B$14,Paramètres!$A$1:$I$89,3,0)*VLOOKUP('Données projet'!$B$14,Paramètres!$A$1:$I$89,5,0)</f>
        <v>159.07999999999996</v>
      </c>
      <c r="DQ63" s="14">
        <f t="shared" si="43"/>
        <v>40.63493724688179</v>
      </c>
      <c r="DR63" s="22">
        <f t="shared" si="16"/>
        <v>347.83684903831903</v>
      </c>
      <c r="DS63" s="60">
        <f t="shared" si="17"/>
        <v>609.09255536979651</v>
      </c>
      <c r="DT63" s="60">
        <f ca="1">AVERAGE(OFFSET($DS$3,0,0,'Données projet'!$E$14+1,1))-AVERAGE(OFFSET($H$3,0,0,'Données projet'!$E$14+1,1))</f>
        <v>285.09561428624352</v>
      </c>
      <c r="DU63" s="60">
        <f t="shared" si="44"/>
        <v>261.05678516705564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303</v>
      </c>
      <c r="EH63" s="13">
        <f>VLOOKUP(A63,'Données projet'!$A$191:$I$211,9,0)</f>
        <v>7.4</v>
      </c>
      <c r="EI63" s="13">
        <f t="array" ref="EI63">INDEX(EH:EH,MIN(IF(ISNUMBER(EH63:EH259),ROW(EH63:EH259),"")))</f>
        <v>7.4</v>
      </c>
      <c r="EJ63" s="13">
        <f>IF('Données projet'!$A$192&gt;35,EJ62+EI63-ER62,IF(A63&lt;'Données projet'!$A$192,$EG$205^A63,IF(A63='Données projet'!$A$192,'Données projet'!$B$192,EJ62+EI63-ER62)))</f>
        <v>302.99999999999989</v>
      </c>
      <c r="EK63" s="18">
        <f>EJ63*VLOOKUP('Données projet'!$B$15,Paramètres!$A$1:$I$89,3,0)*VLOOKUP('Données projet'!$B$15,Paramètres!$A$1:$I$89,5,0)</f>
        <v>245.79359999999991</v>
      </c>
      <c r="EL63" s="14">
        <f t="shared" si="45"/>
        <v>59.684315982017168</v>
      </c>
      <c r="EM63" s="22">
        <f t="shared" si="19"/>
        <v>532.04070366867973</v>
      </c>
      <c r="EN63" s="60">
        <f t="shared" si="20"/>
        <v>793.29641000015727</v>
      </c>
      <c r="EO63" s="60">
        <f ca="1">AVERAGE(OFFSET($EN$3,0,0,'Données projet'!$E$15+1,1))-AVERAGE(OFFSET($H$3,0,0,'Données projet'!$E$15+1,1))</f>
        <v>272.69564942740931</v>
      </c>
      <c r="EP63" s="60">
        <f t="shared" si="46"/>
        <v>316.57989180609252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303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0">
        <f t="shared" si="0"/>
        <v>656.67744079519321</v>
      </c>
      <c r="S64" s="60">
        <f ca="1">AVERAGE(OFFSET($R$3,0,0,'Données projet'!$E$9+1,1))-AVERAGE(OFFSET($H$3,0,0,'Données projet'!$E$9+1,1))</f>
        <v>469.67944008675863</v>
      </c>
      <c r="T64" s="60">
        <f t="shared" si="34"/>
        <v>266.11908070867173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0">
        <f t="shared" si="5"/>
        <v>703.16152006419338</v>
      </c>
      <c r="AN64" s="60">
        <f ca="1">AVERAGE(OFFSET($AM$3,0,0,'Données projet'!$E$10+1,1))-AVERAGE(OFFSET($H$3,0,0,'Données projet'!$E$10+1,1))</f>
        <v>516.30971934066179</v>
      </c>
      <c r="AO64" s="60">
        <f t="shared" si="36"/>
        <v>290.84286505723571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4.4000000000000004</v>
      </c>
      <c r="BD64" s="13">
        <f>IF('Données projet'!$A$88&gt;35,BD63+BC64-BL63,IF(A64&lt;'Données projet'!$A$88,$BA$205^A64,IF(A64='Données projet'!$A$88,'Données projet'!$B$88,BD63+BC64-BL63)))</f>
        <v>237.39999999999986</v>
      </c>
      <c r="BE64" s="14">
        <f>BD64*VLOOKUP('Données projet'!$B$11,Paramètres!$A$1:$I$89,3,0)*VLOOKUP('Données projet'!$B$11,Paramètres!$A$1:$I$89,5,0)</f>
        <v>174.06167999999991</v>
      </c>
      <c r="BF64" s="14">
        <f t="shared" si="37"/>
        <v>43.998450960214953</v>
      </c>
      <c r="BG64" s="22">
        <f t="shared" si="7"/>
        <v>379.78806142237414</v>
      </c>
      <c r="BH64" s="60">
        <f t="shared" si="8"/>
        <v>641.60024286750354</v>
      </c>
      <c r="BI64" s="60">
        <f ca="1">AVERAGE(OFFSET($BH$3,0,0,'Données projet'!$E$11+1,1))-AVERAGE(OFFSET($H$3,0,0,'Données projet'!$E$11+1,1))</f>
        <v>314.75847268052081</v>
      </c>
      <c r="BJ64" s="60">
        <f t="shared" si="38"/>
        <v>337.77701316755338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10.984615384615381</v>
      </c>
      <c r="BY64" s="13">
        <f>IF('Données projet'!$A$114&gt;35,BY63+BX64-CG63,IF(A64&lt;'Données projet'!$A$114,$BV$205^A64,IF(A64='Données projet'!$A$114,'Données projet'!$B$114,BY63+BX64-CG63)))</f>
        <v>328.72307692307675</v>
      </c>
      <c r="BZ64" s="14">
        <f>BY64*VLOOKUP('Données projet'!$B$12,Paramètres!$A$1:$I$89,3,0)*VLOOKUP('Données projet'!$B$12,Paramètres!$A$1:$I$89,5,0)</f>
        <v>153.84239999999991</v>
      </c>
      <c r="CA64" s="14">
        <f t="shared" si="39"/>
        <v>39.450495242764717</v>
      </c>
      <c r="CB64" s="22">
        <f t="shared" si="10"/>
        <v>336.65179254781509</v>
      </c>
      <c r="CC64" s="60">
        <f t="shared" si="11"/>
        <v>598.46397399294437</v>
      </c>
      <c r="CD64" s="60">
        <f ca="1">AVERAGE(OFFSET($CC$3,0,0,'Données projet'!$E$12+1,1))-AVERAGE(OFFSET($H$3,0,0,'Données projet'!$E$12+1,1))</f>
        <v>277.77877239988635</v>
      </c>
      <c r="CE64" s="60">
        <f t="shared" si="40"/>
        <v>164.65640238394164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0" t="e">
        <f t="shared" si="14"/>
        <v>#NUM!</v>
      </c>
      <c r="CY64" s="60">
        <f ca="1">AVERAGE(OFFSET($CX$3,0,0,'Données projet'!$E$13+1,1))-AVERAGE(OFFSET($H$3,0,0,'Données projet'!$E$13+1,1))</f>
        <v>334.26876877415839</v>
      </c>
      <c r="CZ64" s="60">
        <f t="shared" si="42"/>
        <v>465.65761854152913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6.8589743589743621</v>
      </c>
      <c r="DO64" s="13">
        <f>IF('Données projet'!$A$166&gt;35,DO63+DN64-DW63,IF(A64&lt;'Données projet'!$A$166,$DL$205^A64,IF(A64='Données projet'!$A$166,'Données projet'!$B$166,DO63+DN64-DW63)))</f>
        <v>255.57692307692304</v>
      </c>
      <c r="DP64" s="18">
        <f>DO64*VLOOKUP('Données projet'!$B$14,Paramètres!$A$1:$I$89,3,0)*VLOOKUP('Données projet'!$B$14,Paramètres!$A$1:$I$89,5,0)</f>
        <v>163.46699999999998</v>
      </c>
      <c r="DQ64" s="14">
        <f t="shared" si="43"/>
        <v>41.623528610431102</v>
      </c>
      <c r="DR64" s="22">
        <f t="shared" si="16"/>
        <v>357.19933732983412</v>
      </c>
      <c r="DS64" s="60">
        <f t="shared" si="17"/>
        <v>619.01151877496341</v>
      </c>
      <c r="DT64" s="60">
        <f ca="1">AVERAGE(OFFSET($DS$3,0,0,'Données projet'!$E$14+1,1))-AVERAGE(OFFSET($H$3,0,0,'Données projet'!$E$14+1,1))</f>
        <v>285.09561428624352</v>
      </c>
      <c r="DU64" s="60">
        <f t="shared" si="44"/>
        <v>261.05678516705564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-1.1368683772161603E-13</v>
      </c>
      <c r="EK64" s="18">
        <f>EJ64*VLOOKUP('Données projet'!$B$15,Paramètres!$A$1:$I$89,3,0)*VLOOKUP('Données projet'!$B$15,Paramètres!$A$1:$I$89,5,0)</f>
        <v>-9.2222762759774927E-14</v>
      </c>
      <c r="EL64" s="14" t="e">
        <f t="shared" si="45"/>
        <v>#NUM!</v>
      </c>
      <c r="EM64" s="22" t="e">
        <f t="shared" si="19"/>
        <v>#NUM!</v>
      </c>
      <c r="EN64" s="60" t="e">
        <f t="shared" si="20"/>
        <v>#NUM!</v>
      </c>
      <c r="EO64" s="60">
        <f ca="1">AVERAGE(OFFSET($EN$3,0,0,'Données projet'!$E$15+1,1))-AVERAGE(OFFSET($H$3,0,0,'Données projet'!$E$15+1,1))</f>
        <v>272.69564942740931</v>
      </c>
      <c r="EP64" s="60">
        <f t="shared" si="46"/>
        <v>316.57989180609252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0">
        <f t="shared" si="0"/>
        <v>671.08770661656058</v>
      </c>
      <c r="S65" s="60">
        <f ca="1">AVERAGE(OFFSET($R$3,0,0,'Données projet'!$E$9+1,1))-AVERAGE(OFFSET($H$3,0,0,'Données projet'!$E$9+1,1))</f>
        <v>469.67944008675863</v>
      </c>
      <c r="T65" s="60">
        <f t="shared" si="34"/>
        <v>266.11908070867173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0">
        <f t="shared" si="5"/>
        <v>719.20779121567296</v>
      </c>
      <c r="AN65" s="60">
        <f ca="1">AVERAGE(OFFSET($AM$3,0,0,'Données projet'!$E$10+1,1))-AVERAGE(OFFSET($H$3,0,0,'Données projet'!$E$10+1,1))</f>
        <v>516.30971934066179</v>
      </c>
      <c r="AO65" s="60">
        <f t="shared" si="36"/>
        <v>290.84286505723571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4.4000000000000004</v>
      </c>
      <c r="BD65" s="13">
        <f>IF('Données projet'!$A$88&gt;35,BD64+BC65-BL64,IF(A65&lt;'Données projet'!$A$88,$BA$205^A65,IF(A65='Données projet'!$A$88,'Données projet'!$B$88,BD64+BC65-BL64)))</f>
        <v>241.79999999999987</v>
      </c>
      <c r="BE65" s="14">
        <f>BD65*VLOOKUP('Données projet'!$B$11,Paramètres!$A$1:$I$89,3,0)*VLOOKUP('Données projet'!$B$11,Paramètres!$A$1:$I$89,5,0)</f>
        <v>177.28775999999991</v>
      </c>
      <c r="BF65" s="14">
        <f t="shared" si="37"/>
        <v>44.718230568721658</v>
      </c>
      <c r="BG65" s="22">
        <f t="shared" si="7"/>
        <v>386.66043357385666</v>
      </c>
      <c r="BH65" s="60">
        <f t="shared" si="8"/>
        <v>649.01943653350804</v>
      </c>
      <c r="BI65" s="60">
        <f ca="1">AVERAGE(OFFSET($BH$3,0,0,'Données projet'!$E$11+1,1))-AVERAGE(OFFSET($H$3,0,0,'Données projet'!$E$11+1,1))</f>
        <v>314.75847268052081</v>
      </c>
      <c r="BJ65" s="60">
        <f t="shared" si="38"/>
        <v>337.77701316755338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10.984615384615381</v>
      </c>
      <c r="BY65" s="13">
        <f>IF('Données projet'!$A$114&gt;35,BY64+BX65-CG64,IF(A65&lt;'Données projet'!$A$114,$BV$205^A65,IF(A65='Données projet'!$A$114,'Données projet'!$B$114,BY64+BX65-CG64)))</f>
        <v>339.70769230769213</v>
      </c>
      <c r="BZ65" s="14">
        <f>BY65*VLOOKUP('Données projet'!$B$12,Paramètres!$A$1:$I$89,3,0)*VLOOKUP('Données projet'!$B$12,Paramètres!$A$1:$I$89,5,0)</f>
        <v>158.98319999999993</v>
      </c>
      <c r="CA65" s="14">
        <f t="shared" si="39"/>
        <v>40.613088302497808</v>
      </c>
      <c r="CB65" s="22">
        <f t="shared" si="10"/>
        <v>347.63020212685018</v>
      </c>
      <c r="CC65" s="60">
        <f t="shared" si="11"/>
        <v>609.98920508650144</v>
      </c>
      <c r="CD65" s="60">
        <f ca="1">AVERAGE(OFFSET($CC$3,0,0,'Données projet'!$E$12+1,1))-AVERAGE(OFFSET($H$3,0,0,'Données projet'!$E$12+1,1))</f>
        <v>277.77877239988635</v>
      </c>
      <c r="CE65" s="60">
        <f t="shared" si="40"/>
        <v>164.65640238394164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0" t="e">
        <f t="shared" si="14"/>
        <v>#NUM!</v>
      </c>
      <c r="CY65" s="60">
        <f ca="1">AVERAGE(OFFSET($CX$3,0,0,'Données projet'!$E$13+1,1))-AVERAGE(OFFSET($H$3,0,0,'Données projet'!$E$13+1,1))</f>
        <v>334.26876877415839</v>
      </c>
      <c r="CZ65" s="60">
        <f t="shared" si="42"/>
        <v>465.65761854152913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6.8589743589743621</v>
      </c>
      <c r="DO65" s="13">
        <f>IF('Données projet'!$A$166&gt;35,DO64+DN65-DW64,IF(A65&lt;'Données projet'!$A$166,$DL$205^A65,IF(A65='Données projet'!$A$166,'Données projet'!$B$166,DO64+DN65-DW64)))</f>
        <v>262.4358974358974</v>
      </c>
      <c r="DP65" s="18">
        <f>DO65*VLOOKUP('Données projet'!$B$14,Paramètres!$A$1:$I$89,3,0)*VLOOKUP('Données projet'!$B$14,Paramètres!$A$1:$I$89,5,0)</f>
        <v>167.85399999999998</v>
      </c>
      <c r="DQ65" s="14">
        <f t="shared" si="43"/>
        <v>42.60903618772371</v>
      </c>
      <c r="DR65" s="22">
        <f t="shared" si="16"/>
        <v>366.55645469361872</v>
      </c>
      <c r="DS65" s="60">
        <f t="shared" si="17"/>
        <v>628.9154576532701</v>
      </c>
      <c r="DT65" s="60">
        <f ca="1">AVERAGE(OFFSET($DS$3,0,0,'Données projet'!$E$14+1,1))-AVERAGE(OFFSET($H$3,0,0,'Données projet'!$E$14+1,1))</f>
        <v>285.09561428624352</v>
      </c>
      <c r="DU65" s="60">
        <f t="shared" si="44"/>
        <v>261.05678516705564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-1.1368683772161603E-13</v>
      </c>
      <c r="EK65" s="18">
        <f>EJ65*VLOOKUP('Données projet'!$B$15,Paramètres!$A$1:$I$89,3,0)*VLOOKUP('Données projet'!$B$15,Paramètres!$A$1:$I$89,5,0)</f>
        <v>-9.2222762759774927E-14</v>
      </c>
      <c r="EL65" s="14" t="e">
        <f t="shared" si="45"/>
        <v>#NUM!</v>
      </c>
      <c r="EM65" s="22" t="e">
        <f t="shared" si="19"/>
        <v>#NUM!</v>
      </c>
      <c r="EN65" s="60" t="e">
        <f t="shared" si="20"/>
        <v>#NUM!</v>
      </c>
      <c r="EO65" s="60">
        <f ca="1">AVERAGE(OFFSET($EN$3,0,0,'Données projet'!$E$15+1,1))-AVERAGE(OFFSET($H$3,0,0,'Données projet'!$E$15+1,1))</f>
        <v>272.69564942740931</v>
      </c>
      <c r="EP65" s="60">
        <f t="shared" si="46"/>
        <v>316.57989180609252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0">
        <f t="shared" si="0"/>
        <v>685.47833274433401</v>
      </c>
      <c r="S66" s="60">
        <f ca="1">AVERAGE(OFFSET($R$3,0,0,'Données projet'!$E$9+1,1))-AVERAGE(OFFSET($H$3,0,0,'Données projet'!$E$9+1,1))</f>
        <v>469.67944008675863</v>
      </c>
      <c r="T66" s="60">
        <f t="shared" si="34"/>
        <v>266.11908070867173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0">
        <f t="shared" si="5"/>
        <v>735.23334716798627</v>
      </c>
      <c r="AN66" s="60">
        <f ca="1">AVERAGE(OFFSET($AM$3,0,0,'Données projet'!$E$10+1,1))-AVERAGE(OFFSET($H$3,0,0,'Données projet'!$E$10+1,1))</f>
        <v>516.30971934066179</v>
      </c>
      <c r="AO66" s="60">
        <f t="shared" si="36"/>
        <v>290.84286505723571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4.4000000000000004</v>
      </c>
      <c r="BD66" s="13">
        <f>IF('Données projet'!$A$88&gt;35,BD65+BC66-BL65,IF(A66&lt;'Données projet'!$A$88,$BA$205^A66,IF(A66='Données projet'!$A$88,'Données projet'!$B$88,BD65+BC66-BL65)))</f>
        <v>246.19999999999987</v>
      </c>
      <c r="BE66" s="14">
        <f>BD66*VLOOKUP('Données projet'!$B$11,Paramètres!$A$1:$I$89,3,0)*VLOOKUP('Données projet'!$B$11,Paramètres!$A$1:$I$89,5,0)</f>
        <v>180.5138399999999</v>
      </c>
      <c r="BF66" s="14">
        <f t="shared" si="37"/>
        <v>45.43648712647358</v>
      </c>
      <c r="BG66" s="22">
        <f t="shared" si="7"/>
        <v>393.53015307860801</v>
      </c>
      <c r="BH66" s="60">
        <f t="shared" si="8"/>
        <v>656.42649142201412</v>
      </c>
      <c r="BI66" s="60">
        <f ca="1">AVERAGE(OFFSET($BH$3,0,0,'Données projet'!$E$11+1,1))-AVERAGE(OFFSET($H$3,0,0,'Données projet'!$E$11+1,1))</f>
        <v>314.75847268052081</v>
      </c>
      <c r="BJ66" s="60">
        <f t="shared" si="38"/>
        <v>337.77701316755338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350.69230769230768</v>
      </c>
      <c r="BW66" s="13">
        <f>VLOOKUP(A66,'Données projet'!$A$113:$I$133,9,0)</f>
        <v>10.984615384615381</v>
      </c>
      <c r="BX66" s="13">
        <f t="array" ref="BX66">INDEX(BW:BW,MIN(IF(ISNUMBER(BW66:BW262),ROW(BW66:BW262),"")))</f>
        <v>10.984615384615381</v>
      </c>
      <c r="BY66" s="13">
        <f>IF('Données projet'!$A$114&gt;35,BY65+BX66-CG65,IF(A66&lt;'Données projet'!$A$114,$BV$205^A66,IF(A66='Données projet'!$A$114,'Données projet'!$B$114,BY65+BX66-CG65)))</f>
        <v>350.69230769230751</v>
      </c>
      <c r="BZ66" s="14">
        <f>BY66*VLOOKUP('Données projet'!$B$12,Paramètres!$A$1:$I$89,3,0)*VLOOKUP('Données projet'!$B$12,Paramètres!$A$1:$I$89,5,0)</f>
        <v>164.12399999999991</v>
      </c>
      <c r="CA66" s="14">
        <f t="shared" si="39"/>
        <v>41.771312955270531</v>
      </c>
      <c r="CB66" s="22">
        <f t="shared" si="10"/>
        <v>358.60100339709601</v>
      </c>
      <c r="CC66" s="60">
        <f t="shared" si="11"/>
        <v>621.49734174050218</v>
      </c>
      <c r="CD66" s="60">
        <f ca="1">AVERAGE(OFFSET($CC$3,0,0,'Données projet'!$E$12+1,1))-AVERAGE(OFFSET($H$3,0,0,'Données projet'!$E$12+1,1))</f>
        <v>277.77877239988635</v>
      </c>
      <c r="CE66" s="60">
        <f t="shared" si="40"/>
        <v>164.65640238394164</v>
      </c>
      <c r="CF66" s="16">
        <f>IF(ISNA(VLOOKUP(A66,'Données projet'!$A$113:$I$133,3,0)),0,VLOOKUP(A66,'Données projet'!$A$113:$I$133,3,0))</f>
        <v>2</v>
      </c>
      <c r="CG66" s="16">
        <f>IF(ISNA(VLOOKUP(A66,'Données projet'!$A$113:$I$133,4,0)),0,VLOOKUP(A66,'Données projet'!$A$113:$I$133,4,0))</f>
        <v>108.08461538461538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0" t="e">
        <f t="shared" si="14"/>
        <v>#NUM!</v>
      </c>
      <c r="CY66" s="60">
        <f ca="1">AVERAGE(OFFSET($CX$3,0,0,'Données projet'!$E$13+1,1))-AVERAGE(OFFSET($H$3,0,0,'Données projet'!$E$13+1,1))</f>
        <v>334.26876877415839</v>
      </c>
      <c r="CZ66" s="60">
        <f t="shared" si="42"/>
        <v>465.65761854152913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6.8589743589743621</v>
      </c>
      <c r="DO66" s="13">
        <f>IF('Données projet'!$A$166&gt;35,DO65+DN66-DW65,IF(A66&lt;'Données projet'!$A$166,$DL$205^A66,IF(A66='Données projet'!$A$166,'Données projet'!$B$166,DO65+DN66-DW65)))</f>
        <v>269.29487179487177</v>
      </c>
      <c r="DP66" s="18">
        <f>DO66*VLOOKUP('Données projet'!$B$14,Paramètres!$A$1:$I$89,3,0)*VLOOKUP('Données projet'!$B$14,Paramètres!$A$1:$I$89,5,0)</f>
        <v>172.24099999999996</v>
      </c>
      <c r="DQ66" s="14">
        <f t="shared" si="43"/>
        <v>43.591549841505746</v>
      </c>
      <c r="DR66" s="22">
        <f t="shared" si="16"/>
        <v>375.9083576406224</v>
      </c>
      <c r="DS66" s="60">
        <f t="shared" si="17"/>
        <v>638.80469598402851</v>
      </c>
      <c r="DT66" s="60">
        <f ca="1">AVERAGE(OFFSET($DS$3,0,0,'Données projet'!$E$14+1,1))-AVERAGE(OFFSET($H$3,0,0,'Données projet'!$E$14+1,1))</f>
        <v>285.09561428624352</v>
      </c>
      <c r="DU66" s="60">
        <f t="shared" si="44"/>
        <v>261.05678516705564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-1.1368683772161603E-13</v>
      </c>
      <c r="EK66" s="18">
        <f>EJ66*VLOOKUP('Données projet'!$B$15,Paramètres!$A$1:$I$89,3,0)*VLOOKUP('Données projet'!$B$15,Paramètres!$A$1:$I$89,5,0)</f>
        <v>-9.2222762759774927E-14</v>
      </c>
      <c r="EL66" s="14" t="e">
        <f t="shared" si="45"/>
        <v>#NUM!</v>
      </c>
      <c r="EM66" s="22" t="e">
        <f t="shared" si="19"/>
        <v>#NUM!</v>
      </c>
      <c r="EN66" s="60" t="e">
        <f t="shared" si="20"/>
        <v>#NUM!</v>
      </c>
      <c r="EO66" s="60">
        <f ca="1">AVERAGE(OFFSET($EN$3,0,0,'Données projet'!$E$15+1,1))-AVERAGE(OFFSET($H$3,0,0,'Données projet'!$E$15+1,1))</f>
        <v>272.69564942740931</v>
      </c>
      <c r="EP66" s="60">
        <f t="shared" si="46"/>
        <v>316.57989180609252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0">
        <f t="shared" ref="R67:R130" si="55">Q67+(I67+J67)*44/12</f>
        <v>699.84986345764082</v>
      </c>
      <c r="S67" s="60">
        <f ca="1">AVERAGE(OFFSET($R$3,0,0,'Données projet'!$E$9+1,1))-AVERAGE(OFFSET($H$3,0,0,'Données projet'!$E$9+1,1))</f>
        <v>469.67944008675863</v>
      </c>
      <c r="T67" s="60">
        <f t="shared" si="34"/>
        <v>266.11908070867173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0">
        <f t="shared" si="5"/>
        <v>751.23877242127901</v>
      </c>
      <c r="AN67" s="60">
        <f ca="1">AVERAGE(OFFSET($AM$3,0,0,'Données projet'!$E$10+1,1))-AVERAGE(OFFSET($H$3,0,0,'Données projet'!$E$10+1,1))</f>
        <v>516.30971934066179</v>
      </c>
      <c r="AO67" s="60">
        <f t="shared" si="36"/>
        <v>290.84286505723571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250.59999999999988</v>
      </c>
      <c r="BE67" s="14">
        <f>BD67*VLOOKUP('Données projet'!$B$11,Paramètres!$A$1:$I$89,3,0)*VLOOKUP('Données projet'!$B$11,Paramètres!$A$1:$I$89,5,0)</f>
        <v>183.7399199999999</v>
      </c>
      <c r="BF67" s="14">
        <f t="shared" si="37"/>
        <v>46.153250992914103</v>
      </c>
      <c r="BG67" s="22">
        <f t="shared" si="7"/>
        <v>400.39727281265851</v>
      </c>
      <c r="BH67" s="60">
        <f t="shared" si="8"/>
        <v>663.82162497221327</v>
      </c>
      <c r="BI67" s="60">
        <f ca="1">AVERAGE(OFFSET($BH$3,0,0,'Données projet'!$E$11+1,1))-AVERAGE(OFFSET($H$3,0,0,'Données projet'!$E$11+1,1))</f>
        <v>314.75847268052081</v>
      </c>
      <c r="BJ67" s="60">
        <f t="shared" si="38"/>
        <v>337.77701316755338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9.6897435897435908</v>
      </c>
      <c r="BY67" s="13">
        <f>IF('Données projet'!$A$114&gt;35,BY66+BX67-CG66,IF(A67&lt;'Données projet'!$A$114,$BV$205^A67,IF(A67='Données projet'!$A$114,'Données projet'!$B$114,BY66+BX67-CG66)))</f>
        <v>252.29743589743575</v>
      </c>
      <c r="BZ67" s="14">
        <f>BY67*VLOOKUP('Données projet'!$B$12,Paramètres!$A$1:$I$89,3,0)*VLOOKUP('Données projet'!$B$12,Paramètres!$A$1:$I$89,5,0)</f>
        <v>118.07519999999992</v>
      </c>
      <c r="CA67" s="14">
        <f t="shared" si="39"/>
        <v>31.225649693095828</v>
      </c>
      <c r="CB67" s="22">
        <f t="shared" si="10"/>
        <v>260.03231321547509</v>
      </c>
      <c r="CC67" s="60">
        <f t="shared" si="11"/>
        <v>523.45666537502984</v>
      </c>
      <c r="CD67" s="60">
        <f ca="1">AVERAGE(OFFSET($CC$3,0,0,'Données projet'!$E$12+1,1))-AVERAGE(OFFSET($H$3,0,0,'Données projet'!$E$12+1,1))</f>
        <v>277.77877239988635</v>
      </c>
      <c r="CE67" s="60">
        <f t="shared" si="40"/>
        <v>164.65640238394164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0" t="e">
        <f t="shared" si="14"/>
        <v>#NUM!</v>
      </c>
      <c r="CY67" s="60">
        <f ca="1">AVERAGE(OFFSET($CX$3,0,0,'Données projet'!$E$13+1,1))-AVERAGE(OFFSET($H$3,0,0,'Données projet'!$E$13+1,1))</f>
        <v>334.26876877415839</v>
      </c>
      <c r="CZ67" s="60">
        <f t="shared" si="42"/>
        <v>465.65761854152913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6.8589743589743621</v>
      </c>
      <c r="DO67" s="13">
        <f>IF('Données projet'!$A$166&gt;35,DO66+DN67-DW66,IF(A67&lt;'Données projet'!$A$166,$DL$205^A67,IF(A67='Données projet'!$A$166,'Données projet'!$B$166,DO66+DN67-DW66)))</f>
        <v>276.15384615384613</v>
      </c>
      <c r="DP67" s="18">
        <f>DO67*VLOOKUP('Données projet'!$B$14,Paramètres!$A$1:$I$89,3,0)*VLOOKUP('Données projet'!$B$14,Paramètres!$A$1:$I$89,5,0)</f>
        <v>176.62799999999999</v>
      </c>
      <c r="DQ67" s="14">
        <f t="shared" si="43"/>
        <v>44.571154596069931</v>
      </c>
      <c r="DR67" s="22">
        <f t="shared" si="16"/>
        <v>385.25519425482179</v>
      </c>
      <c r="DS67" s="60">
        <f t="shared" si="17"/>
        <v>648.67954641437655</v>
      </c>
      <c r="DT67" s="60">
        <f ca="1">AVERAGE(OFFSET($DS$3,0,0,'Données projet'!$E$14+1,1))-AVERAGE(OFFSET($H$3,0,0,'Données projet'!$E$14+1,1))</f>
        <v>285.09561428624352</v>
      </c>
      <c r="DU67" s="60">
        <f t="shared" si="44"/>
        <v>261.05678516705564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-1.1368683772161603E-13</v>
      </c>
      <c r="EK67" s="18">
        <f>EJ67*VLOOKUP('Données projet'!$B$15,Paramètres!$A$1:$I$89,3,0)*VLOOKUP('Données projet'!$B$15,Paramètres!$A$1:$I$89,5,0)</f>
        <v>-9.2222762759774927E-14</v>
      </c>
      <c r="EL67" s="14" t="e">
        <f t="shared" si="45"/>
        <v>#NUM!</v>
      </c>
      <c r="EM67" s="22" t="e">
        <f t="shared" si="19"/>
        <v>#NUM!</v>
      </c>
      <c r="EN67" s="60" t="e">
        <f t="shared" si="20"/>
        <v>#NUM!</v>
      </c>
      <c r="EO67" s="60">
        <f ca="1">AVERAGE(OFFSET($EN$3,0,0,'Données projet'!$E$15+1,1))-AVERAGE(OFFSET($H$3,0,0,'Données projet'!$E$15+1,1))</f>
        <v>272.69564942740931</v>
      </c>
      <c r="EP67" s="60">
        <f t="shared" si="46"/>
        <v>316.57989180609252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0">
        <f t="shared" si="55"/>
        <v>714.20281412892245</v>
      </c>
      <c r="S68" s="60">
        <f ca="1">AVERAGE(OFFSET($R$3,0,0,'Données projet'!$E$9+1,1))-AVERAGE(OFFSET($H$3,0,0,'Données projet'!$E$9+1,1))</f>
        <v>469.67944008675863</v>
      </c>
      <c r="T68" s="60">
        <f t="shared" si="34"/>
        <v>266.11908070867173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0">
        <f t="shared" ref="AM68:AM131" si="59">AL68+(AD68+AE68)*44/12</f>
        <v>767.2246198094922</v>
      </c>
      <c r="AN68" s="60">
        <f ca="1">AVERAGE(OFFSET($AM$3,0,0,'Données projet'!$E$10+1,1))-AVERAGE(OFFSET($H$3,0,0,'Données projet'!$E$10+1,1))</f>
        <v>516.30971934066179</v>
      </c>
      <c r="AO68" s="60">
        <f t="shared" si="36"/>
        <v>290.84286505723571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4.4000000000000004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254.99999999999989</v>
      </c>
      <c r="BE68" s="14">
        <f>BD68*VLOOKUP('Données projet'!$B$11,Paramètres!$A$1:$I$89,3,0)*VLOOKUP('Données projet'!$B$11,Paramètres!$A$1:$I$89,5,0)</f>
        <v>186.96599999999992</v>
      </c>
      <c r="BF68" s="14">
        <f t="shared" si="37"/>
        <v>46.868551400324606</v>
      </c>
      <c r="BG68" s="22">
        <f t="shared" ref="BG68:BG131" si="61">(BE68+BF68)*0.475*44/12</f>
        <v>407.26184368889852</v>
      </c>
      <c r="BH68" s="60">
        <f t="shared" ref="BH68:BH131" si="62">BG68+(AY68+AZ68)*44/12</f>
        <v>671.20504980535372</v>
      </c>
      <c r="BI68" s="60">
        <f ca="1">AVERAGE(OFFSET($BH$3,0,0,'Données projet'!$E$11+1,1))-AVERAGE(OFFSET($H$3,0,0,'Données projet'!$E$11+1,1))</f>
        <v>314.75847268052081</v>
      </c>
      <c r="BJ68" s="60">
        <f t="shared" si="38"/>
        <v>337.77701316755338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9.6897435897435908</v>
      </c>
      <c r="BY68" s="13">
        <f>IF('Données projet'!$A$114&gt;35,BY67+BX68-CG67,IF(A68&lt;'Données projet'!$A$114,$BV$205^A68,IF(A68='Données projet'!$A$114,'Données projet'!$B$114,BY67+BX68-CG67)))</f>
        <v>261.98717948717933</v>
      </c>
      <c r="BZ68" s="14">
        <f>BY68*VLOOKUP('Données projet'!$B$12,Paramètres!$A$1:$I$89,3,0)*VLOOKUP('Données projet'!$B$12,Paramètres!$A$1:$I$89,5,0)</f>
        <v>122.60999999999993</v>
      </c>
      <c r="CA68" s="14">
        <f t="shared" si="39"/>
        <v>32.282974526111182</v>
      </c>
      <c r="CB68" s="22">
        <f t="shared" ref="CB68:CB131" si="64">(BZ68+CA68)*0.475*44/12</f>
        <v>269.77193063297682</v>
      </c>
      <c r="CC68" s="60">
        <f t="shared" ref="CC68:CC131" si="65">CB68+(BT68+BU68)*44/12</f>
        <v>533.71513674943208</v>
      </c>
      <c r="CD68" s="60">
        <f ca="1">AVERAGE(OFFSET($CC$3,0,0,'Données projet'!$E$12+1,1))-AVERAGE(OFFSET($H$3,0,0,'Données projet'!$E$12+1,1))</f>
        <v>277.77877239988635</v>
      </c>
      <c r="CE68" s="60">
        <f t="shared" si="40"/>
        <v>164.65640238394164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0" t="e">
        <f t="shared" ref="CX68:CX131" si="68">CW68+(CO68+CP68)*44/12</f>
        <v>#NUM!</v>
      </c>
      <c r="CY68" s="60">
        <f ca="1">AVERAGE(OFFSET($CX$3,0,0,'Données projet'!$E$13+1,1))-AVERAGE(OFFSET($H$3,0,0,'Données projet'!$E$13+1,1))</f>
        <v>334.26876877415839</v>
      </c>
      <c r="CZ68" s="60">
        <f t="shared" si="42"/>
        <v>465.65761854152913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6.8589743589743621</v>
      </c>
      <c r="DO68" s="13">
        <f>IF('Données projet'!$A$166&gt;35,DO67+DN68-DW67,IF(A68&lt;'Données projet'!$A$166,$DL$205^A68,IF(A68='Données projet'!$A$166,'Données projet'!$B$166,DO67+DN68-DW67)))</f>
        <v>283.0128205128205</v>
      </c>
      <c r="DP68" s="18">
        <f>DO68*VLOOKUP('Données projet'!$B$14,Paramètres!$A$1:$I$89,3,0)*VLOOKUP('Données projet'!$B$14,Paramètres!$A$1:$I$89,5,0)</f>
        <v>181.01499999999999</v>
      </c>
      <c r="DQ68" s="14">
        <f t="shared" si="43"/>
        <v>45.547931011383568</v>
      </c>
      <c r="DR68" s="22">
        <f t="shared" ref="DR68:DR131" si="70">(DP68+DQ68)*0.475*44/12</f>
        <v>394.59710484482639</v>
      </c>
      <c r="DS68" s="60">
        <f t="shared" ref="DS68:DS131" si="71">DR68+(DJ68+DK68)*44/12</f>
        <v>658.54031096128165</v>
      </c>
      <c r="DT68" s="60">
        <f ca="1">AVERAGE(OFFSET($DS$3,0,0,'Données projet'!$E$14+1,1))-AVERAGE(OFFSET($H$3,0,0,'Données projet'!$E$14+1,1))</f>
        <v>285.09561428624352</v>
      </c>
      <c r="DU68" s="60">
        <f t="shared" si="44"/>
        <v>261.05678516705564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-1.1368683772161603E-13</v>
      </c>
      <c r="EK68" s="18">
        <f>EJ68*VLOOKUP('Données projet'!$B$15,Paramètres!$A$1:$I$89,3,0)*VLOOKUP('Données projet'!$B$15,Paramètres!$A$1:$I$89,5,0)</f>
        <v>-9.2222762759774927E-14</v>
      </c>
      <c r="EL68" s="14" t="e">
        <f t="shared" si="45"/>
        <v>#NUM!</v>
      </c>
      <c r="EM68" s="22" t="e">
        <f t="shared" ref="EM68:EM131" si="73">(EK68+EL68)*0.475*44/12</f>
        <v>#NUM!</v>
      </c>
      <c r="EN68" s="60" t="e">
        <f t="shared" ref="EN68:EN131" si="74">EM68+(EE68+EF68)*44/12</f>
        <v>#NUM!</v>
      </c>
      <c r="EO68" s="60">
        <f ca="1">AVERAGE(OFFSET($EN$3,0,0,'Données projet'!$E$15+1,1))-AVERAGE(OFFSET($H$3,0,0,'Données projet'!$E$15+1,1))</f>
        <v>272.69564942740931</v>
      </c>
      <c r="EP68" s="60">
        <f t="shared" si="46"/>
        <v>316.57989180609252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0">
        <f t="shared" si="55"/>
        <v>727.76985102612184</v>
      </c>
      <c r="S69" s="60">
        <f ca="1">AVERAGE(OFFSET($R$3,0,0,'Données projet'!$E$9+1,1))-AVERAGE(OFFSET($H$3,0,0,'Données projet'!$E$9+1,1))</f>
        <v>469.67944008675863</v>
      </c>
      <c r="T69" s="60">
        <f t="shared" ref="T69:T132" si="88">$T$3</f>
        <v>266.11908070867173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0">
        <f t="shared" si="59"/>
        <v>782.33295227416579</v>
      </c>
      <c r="AN69" s="60">
        <f ca="1">AVERAGE(OFFSET($AM$3,0,0,'Données projet'!$E$10+1,1))-AVERAGE(OFFSET($H$3,0,0,'Données projet'!$E$10+1,1))</f>
        <v>516.30971934066179</v>
      </c>
      <c r="AO69" s="60">
        <f t="shared" ref="AO69:AO132" si="90">$AO$3</f>
        <v>290.84286505723571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258.7999999999999</v>
      </c>
      <c r="BE69" s="14">
        <f>BD69*VLOOKUP('Données projet'!$B$11,Paramètres!$A$1:$I$89,3,0)*VLOOKUP('Données projet'!$B$11,Paramètres!$A$1:$I$89,5,0)</f>
        <v>189.75215999999992</v>
      </c>
      <c r="BF69" s="14">
        <f t="shared" ref="BF69:BF132" si="91">EXP(-1.0587+0.8836*LN(BE69)+0.284)</f>
        <v>47.48515478428709</v>
      </c>
      <c r="BG69" s="22">
        <f t="shared" si="61"/>
        <v>413.18832324929986</v>
      </c>
      <c r="BH69" s="60">
        <f t="shared" si="62"/>
        <v>677.64138236648694</v>
      </c>
      <c r="BI69" s="60">
        <f ca="1">AVERAGE(OFFSET($BH$3,0,0,'Données projet'!$E$11+1,1))-AVERAGE(OFFSET($H$3,0,0,'Données projet'!$E$11+1,1))</f>
        <v>314.75847268052081</v>
      </c>
      <c r="BJ69" s="60">
        <f t="shared" ref="BJ69:BJ132" si="92">$BJ$3</f>
        <v>337.77701316755338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9.6897435897435908</v>
      </c>
      <c r="BY69" s="13">
        <f>IF('Données projet'!$A$114&gt;35,BY68+BX69-CG68,IF(A69&lt;'Données projet'!$A$114,$BV$205^A69,IF(A69='Données projet'!$A$114,'Données projet'!$B$114,BY68+BX69-CG68)))</f>
        <v>271.67692307692295</v>
      </c>
      <c r="BZ69" s="14">
        <f>BY69*VLOOKUP('Données projet'!$B$12,Paramètres!$A$1:$I$89,3,0)*VLOOKUP('Données projet'!$B$12,Paramètres!$A$1:$I$89,5,0)</f>
        <v>127.14479999999995</v>
      </c>
      <c r="CA69" s="14">
        <f t="shared" ref="CA69:CA132" si="93">EXP(-1.0587+0.8836*LN(BZ69)+0.284)</f>
        <v>33.335756139335082</v>
      </c>
      <c r="CB69" s="22">
        <f t="shared" si="64"/>
        <v>279.50363527600848</v>
      </c>
      <c r="CC69" s="60">
        <f t="shared" si="65"/>
        <v>543.95669439319556</v>
      </c>
      <c r="CD69" s="60">
        <f ca="1">AVERAGE(OFFSET($CC$3,0,0,'Données projet'!$E$12+1,1))-AVERAGE(OFFSET($H$3,0,0,'Données projet'!$E$12+1,1))</f>
        <v>277.77877239988635</v>
      </c>
      <c r="CE69" s="60">
        <f t="shared" ref="CE69:CE132" si="94">$CE$3</f>
        <v>164.65640238394164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0" t="e">
        <f t="shared" si="68"/>
        <v>#NUM!</v>
      </c>
      <c r="CY69" s="60">
        <f ca="1">AVERAGE(OFFSET($CX$3,0,0,'Données projet'!$E$13+1,1))-AVERAGE(OFFSET($H$3,0,0,'Données projet'!$E$13+1,1))</f>
        <v>334.26876877415839</v>
      </c>
      <c r="CZ69" s="60">
        <f t="shared" ref="CZ69:CZ132" si="96">$CZ$3</f>
        <v>465.65761854152913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6.8589743589743621</v>
      </c>
      <c r="DO69" s="13">
        <f>IF('Données projet'!$A$166&gt;35,DO68+DN69-DW68,IF(A69&lt;'Données projet'!$A$166,$DL$205^A69,IF(A69='Données projet'!$A$166,'Données projet'!$B$166,DO68+DN69-DW68)))</f>
        <v>289.87179487179486</v>
      </c>
      <c r="DP69" s="18">
        <f>DO69*VLOOKUP('Données projet'!$B$14,Paramètres!$A$1:$I$89,3,0)*VLOOKUP('Données projet'!$B$14,Paramètres!$A$1:$I$89,5,0)</f>
        <v>185.40199999999999</v>
      </c>
      <c r="DQ69" s="14">
        <f t="shared" ref="DQ69:DQ132" si="97">EXP(-1.0587+0.8836*LN(DP69)+0.284)</f>
        <v>46.521955519926529</v>
      </c>
      <c r="DR69" s="22">
        <f t="shared" si="70"/>
        <v>403.93422253053865</v>
      </c>
      <c r="DS69" s="60">
        <f t="shared" si="71"/>
        <v>668.38728164772579</v>
      </c>
      <c r="DT69" s="60">
        <f ca="1">AVERAGE(OFFSET($DS$3,0,0,'Données projet'!$E$14+1,1))-AVERAGE(OFFSET($H$3,0,0,'Données projet'!$E$14+1,1))</f>
        <v>285.09561428624352</v>
      </c>
      <c r="DU69" s="60">
        <f t="shared" ref="DU69:DU132" si="98">$DU$3</f>
        <v>261.05678516705564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-1.1368683772161603E-13</v>
      </c>
      <c r="EK69" s="18">
        <f>EJ69*VLOOKUP('Données projet'!$B$15,Paramètres!$A$1:$I$89,3,0)*VLOOKUP('Données projet'!$B$15,Paramètres!$A$1:$I$89,5,0)</f>
        <v>-9.2222762759774927E-14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0" t="e">
        <f t="shared" si="74"/>
        <v>#NUM!</v>
      </c>
      <c r="EO69" s="60">
        <f ca="1">AVERAGE(OFFSET($EN$3,0,0,'Données projet'!$E$15+1,1))-AVERAGE(OFFSET($H$3,0,0,'Données projet'!$E$15+1,1))</f>
        <v>272.69564942740931</v>
      </c>
      <c r="EP69" s="60">
        <f t="shared" ref="EP69:EP132" si="100">$EP$3</f>
        <v>316.57989180609252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0">
        <f t="shared" si="55"/>
        <v>741.32019587747834</v>
      </c>
      <c r="S70" s="60">
        <f ca="1">AVERAGE(OFFSET($R$3,0,0,'Données projet'!$E$9+1,1))-AVERAGE(OFFSET($H$3,0,0,'Données projet'!$E$9+1,1))</f>
        <v>469.67944008675863</v>
      </c>
      <c r="T70" s="60">
        <f t="shared" si="88"/>
        <v>266.11908070867173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0">
        <f t="shared" si="59"/>
        <v>797.42376148267726</v>
      </c>
      <c r="AN70" s="60">
        <f ca="1">AVERAGE(OFFSET($AM$3,0,0,'Données projet'!$E$10+1,1))-AVERAGE(OFFSET($H$3,0,0,'Données projet'!$E$10+1,1))</f>
        <v>516.30971934066179</v>
      </c>
      <c r="AO70" s="60">
        <f t="shared" si="90"/>
        <v>290.84286505723571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262.59999999999991</v>
      </c>
      <c r="BE70" s="14">
        <f>BD70*VLOOKUP('Données projet'!$B$11,Paramètres!$A$1:$I$89,3,0)*VLOOKUP('Données projet'!$B$11,Paramètres!$A$1:$I$89,5,0)</f>
        <v>192.53831999999994</v>
      </c>
      <c r="BF70" s="14">
        <f t="shared" si="91"/>
        <v>48.100705179740942</v>
      </c>
      <c r="BG70" s="22">
        <f t="shared" si="61"/>
        <v>419.11296885471535</v>
      </c>
      <c r="BH70" s="60">
        <f t="shared" si="62"/>
        <v>684.06703616293225</v>
      </c>
      <c r="BI70" s="60">
        <f ca="1">AVERAGE(OFFSET($BH$3,0,0,'Données projet'!$E$11+1,1))-AVERAGE(OFFSET($H$3,0,0,'Données projet'!$E$11+1,1))</f>
        <v>314.75847268052081</v>
      </c>
      <c r="BJ70" s="60">
        <f t="shared" si="92"/>
        <v>337.77701316755338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9.6897435897435908</v>
      </c>
      <c r="BY70" s="13">
        <f>IF('Données projet'!$A$114&gt;35,BY69+BX70-CG69,IF(A70&lt;'Données projet'!$A$114,$BV$205^A70,IF(A70='Données projet'!$A$114,'Données projet'!$B$114,BY69+BX70-CG69)))</f>
        <v>281.36666666666656</v>
      </c>
      <c r="BZ70" s="14">
        <f>BY70*VLOOKUP('Données projet'!$B$12,Paramètres!$A$1:$I$89,3,0)*VLOOKUP('Données projet'!$B$12,Paramètres!$A$1:$I$89,5,0)</f>
        <v>131.67959999999997</v>
      </c>
      <c r="CA70" s="14">
        <f t="shared" si="93"/>
        <v>34.38417513752983</v>
      </c>
      <c r="CB70" s="22">
        <f t="shared" si="64"/>
        <v>289.22774169786436</v>
      </c>
      <c r="CC70" s="60">
        <f t="shared" si="65"/>
        <v>554.18180900608127</v>
      </c>
      <c r="CD70" s="60">
        <f ca="1">AVERAGE(OFFSET($CC$3,0,0,'Données projet'!$E$12+1,1))-AVERAGE(OFFSET($H$3,0,0,'Données projet'!$E$12+1,1))</f>
        <v>277.77877239988635</v>
      </c>
      <c r="CE70" s="60">
        <f t="shared" si="94"/>
        <v>164.65640238394164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0" t="e">
        <f t="shared" si="68"/>
        <v>#NUM!</v>
      </c>
      <c r="CY70" s="60">
        <f ca="1">AVERAGE(OFFSET($CX$3,0,0,'Données projet'!$E$13+1,1))-AVERAGE(OFFSET($H$3,0,0,'Données projet'!$E$13+1,1))</f>
        <v>334.26876877415839</v>
      </c>
      <c r="CZ70" s="60">
        <f t="shared" si="96"/>
        <v>465.65761854152913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6.8589743589743621</v>
      </c>
      <c r="DO70" s="13">
        <f>IF('Données projet'!$A$166&gt;35,DO69+DN70-DW69,IF(A70&lt;'Données projet'!$A$166,$DL$205^A70,IF(A70='Données projet'!$A$166,'Données projet'!$B$166,DO69+DN70-DW69)))</f>
        <v>296.73076923076923</v>
      </c>
      <c r="DP70" s="18">
        <f>DO70*VLOOKUP('Données projet'!$B$14,Paramètres!$A$1:$I$89,3,0)*VLOOKUP('Données projet'!$B$14,Paramètres!$A$1:$I$89,5,0)</f>
        <v>189.78899999999999</v>
      </c>
      <c r="DQ70" s="14">
        <f t="shared" si="97"/>
        <v>47.49330073075005</v>
      </c>
      <c r="DR70" s="22">
        <f t="shared" si="70"/>
        <v>413.26667377272298</v>
      </c>
      <c r="DS70" s="60">
        <f t="shared" si="71"/>
        <v>678.22074108093989</v>
      </c>
      <c r="DT70" s="60">
        <f ca="1">AVERAGE(OFFSET($DS$3,0,0,'Données projet'!$E$14+1,1))-AVERAGE(OFFSET($H$3,0,0,'Données projet'!$E$14+1,1))</f>
        <v>285.09561428624352</v>
      </c>
      <c r="DU70" s="60">
        <f t="shared" si="98"/>
        <v>261.05678516705564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-1.1368683772161603E-13</v>
      </c>
      <c r="EK70" s="18">
        <f>EJ70*VLOOKUP('Données projet'!$B$15,Paramètres!$A$1:$I$89,3,0)*VLOOKUP('Données projet'!$B$15,Paramètres!$A$1:$I$89,5,0)</f>
        <v>-9.2222762759774927E-14</v>
      </c>
      <c r="EL70" s="14" t="e">
        <f t="shared" si="99"/>
        <v>#NUM!</v>
      </c>
      <c r="EM70" s="22" t="e">
        <f t="shared" si="73"/>
        <v>#NUM!</v>
      </c>
      <c r="EN70" s="60" t="e">
        <f t="shared" si="74"/>
        <v>#NUM!</v>
      </c>
      <c r="EO70" s="60">
        <f ca="1">AVERAGE(OFFSET($EN$3,0,0,'Données projet'!$E$15+1,1))-AVERAGE(OFFSET($H$3,0,0,'Données projet'!$E$15+1,1))</f>
        <v>272.69564942740931</v>
      </c>
      <c r="EP70" s="60">
        <f t="shared" si="100"/>
        <v>316.57989180609252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0">
        <f t="shared" si="55"/>
        <v>754.85424734389653</v>
      </c>
      <c r="S71" s="60">
        <f ca="1">AVERAGE(OFFSET($R$3,0,0,'Données projet'!$E$9+1,1))-AVERAGE(OFFSET($H$3,0,0,'Données projet'!$E$9+1,1))</f>
        <v>469.67944008675863</v>
      </c>
      <c r="T71" s="60">
        <f t="shared" si="88"/>
        <v>266.11908070867173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0">
        <f t="shared" si="59"/>
        <v>812.49747207094686</v>
      </c>
      <c r="AN71" s="60">
        <f ca="1">AVERAGE(OFFSET($AM$3,0,0,'Données projet'!$E$10+1,1))-AVERAGE(OFFSET($H$3,0,0,'Données projet'!$E$10+1,1))</f>
        <v>516.30971934066179</v>
      </c>
      <c r="AO71" s="60">
        <f t="shared" si="90"/>
        <v>290.84286505723571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266.39999999999992</v>
      </c>
      <c r="BE71" s="14">
        <f>BD71*VLOOKUP('Données projet'!$B$11,Paramètres!$A$1:$I$89,3,0)*VLOOKUP('Données projet'!$B$11,Paramètres!$A$1:$I$89,5,0)</f>
        <v>195.32447999999994</v>
      </c>
      <c r="BF71" s="14">
        <f t="shared" si="91"/>
        <v>48.715219584659224</v>
      </c>
      <c r="BG71" s="22">
        <f t="shared" si="61"/>
        <v>425.03581010994799</v>
      </c>
      <c r="BH71" s="60">
        <f t="shared" si="62"/>
        <v>690.48219423716682</v>
      </c>
      <c r="BI71" s="60">
        <f ca="1">AVERAGE(OFFSET($BH$3,0,0,'Données projet'!$E$11+1,1))-AVERAGE(OFFSET($H$3,0,0,'Données projet'!$E$11+1,1))</f>
        <v>314.75847268052081</v>
      </c>
      <c r="BJ71" s="60">
        <f t="shared" si="92"/>
        <v>337.77701316755338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9.6897435897435908</v>
      </c>
      <c r="BY71" s="13">
        <f>IF('Données projet'!$A$114&gt;35,BY70+BX71-CG70,IF(A71&lt;'Données projet'!$A$114,$BV$205^A71,IF(A71='Données projet'!$A$114,'Données projet'!$B$114,BY70+BX71-CG70)))</f>
        <v>291.05641025641017</v>
      </c>
      <c r="BZ71" s="14">
        <f>BY71*VLOOKUP('Données projet'!$B$12,Paramètres!$A$1:$I$89,3,0)*VLOOKUP('Données projet'!$B$12,Paramètres!$A$1:$I$89,5,0)</f>
        <v>136.21439999999996</v>
      </c>
      <c r="CA71" s="14">
        <f t="shared" si="93"/>
        <v>35.428398980540805</v>
      </c>
      <c r="CB71" s="22">
        <f t="shared" si="64"/>
        <v>298.94454155777515</v>
      </c>
      <c r="CC71" s="60">
        <f t="shared" si="65"/>
        <v>564.39092568499404</v>
      </c>
      <c r="CD71" s="60">
        <f ca="1">AVERAGE(OFFSET($CC$3,0,0,'Données projet'!$E$12+1,1))-AVERAGE(OFFSET($H$3,0,0,'Données projet'!$E$12+1,1))</f>
        <v>277.77877239988635</v>
      </c>
      <c r="CE71" s="60">
        <f t="shared" si="94"/>
        <v>164.65640238394164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0" t="e">
        <f t="shared" si="68"/>
        <v>#NUM!</v>
      </c>
      <c r="CY71" s="60">
        <f ca="1">AVERAGE(OFFSET($CX$3,0,0,'Données projet'!$E$13+1,1))-AVERAGE(OFFSET($H$3,0,0,'Données projet'!$E$13+1,1))</f>
        <v>334.26876877415839</v>
      </c>
      <c r="CZ71" s="60">
        <f t="shared" si="96"/>
        <v>465.65761854152913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6.8589743589743621</v>
      </c>
      <c r="DO71" s="13">
        <f>IF('Données projet'!$A$166&gt;35,DO70+DN71-DW70,IF(A71&lt;'Données projet'!$A$166,$DL$205^A71,IF(A71='Données projet'!$A$166,'Données projet'!$B$166,DO70+DN71-DW70)))</f>
        <v>303.58974358974359</v>
      </c>
      <c r="DP71" s="18">
        <f>DO71*VLOOKUP('Données projet'!$B$14,Paramètres!$A$1:$I$89,3,0)*VLOOKUP('Données projet'!$B$14,Paramètres!$A$1:$I$89,5,0)</f>
        <v>194.17600000000002</v>
      </c>
      <c r="DQ71" s="14">
        <f t="shared" si="97"/>
        <v>48.462035704629443</v>
      </c>
      <c r="DR71" s="22">
        <f t="shared" si="70"/>
        <v>422.59457885222963</v>
      </c>
      <c r="DS71" s="60">
        <f t="shared" si="71"/>
        <v>688.04096297944852</v>
      </c>
      <c r="DT71" s="60">
        <f ca="1">AVERAGE(OFFSET($DS$3,0,0,'Données projet'!$E$14+1,1))-AVERAGE(OFFSET($H$3,0,0,'Données projet'!$E$14+1,1))</f>
        <v>285.09561428624352</v>
      </c>
      <c r="DU71" s="60">
        <f t="shared" si="98"/>
        <v>261.05678516705564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-1.1368683772161603E-13</v>
      </c>
      <c r="EK71" s="18">
        <f>EJ71*VLOOKUP('Données projet'!$B$15,Paramètres!$A$1:$I$89,3,0)*VLOOKUP('Données projet'!$B$15,Paramètres!$A$1:$I$89,5,0)</f>
        <v>-9.2222762759774927E-14</v>
      </c>
      <c r="EL71" s="14" t="e">
        <f t="shared" si="99"/>
        <v>#NUM!</v>
      </c>
      <c r="EM71" s="22" t="e">
        <f t="shared" si="73"/>
        <v>#NUM!</v>
      </c>
      <c r="EN71" s="60" t="e">
        <f t="shared" si="74"/>
        <v>#NUM!</v>
      </c>
      <c r="EO71" s="60">
        <f ca="1">AVERAGE(OFFSET($EN$3,0,0,'Données projet'!$E$15+1,1))-AVERAGE(OFFSET($H$3,0,0,'Données projet'!$E$15+1,1))</f>
        <v>272.69564942740931</v>
      </c>
      <c r="EP71" s="60">
        <f t="shared" si="100"/>
        <v>316.57989180609252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0">
        <f t="shared" si="55"/>
        <v>768.37238729111891</v>
      </c>
      <c r="S72" s="60">
        <f ca="1">AVERAGE(OFFSET($R$3,0,0,'Données projet'!$E$9+1,1))-AVERAGE(OFFSET($H$3,0,0,'Données projet'!$E$9+1,1))</f>
        <v>469.67944008675863</v>
      </c>
      <c r="T72" s="60">
        <f t="shared" si="88"/>
        <v>266.11908070867173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0">
        <f t="shared" si="59"/>
        <v>827.55449038267056</v>
      </c>
      <c r="AN72" s="60">
        <f ca="1">AVERAGE(OFFSET($AM$3,0,0,'Données projet'!$E$10+1,1))-AVERAGE(OFFSET($H$3,0,0,'Données projet'!$E$10+1,1))</f>
        <v>516.30971934066179</v>
      </c>
      <c r="AO72" s="60">
        <f t="shared" si="90"/>
        <v>290.84286505723571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270.19999999999993</v>
      </c>
      <c r="BE72" s="14">
        <f>BD72*VLOOKUP('Données projet'!$B$11,Paramètres!$A$1:$I$89,3,0)*VLOOKUP('Données projet'!$B$11,Paramètres!$A$1:$I$89,5,0)</f>
        <v>198.11063999999993</v>
      </c>
      <c r="BF72" s="14">
        <f t="shared" si="91"/>
        <v>49.328714484239143</v>
      </c>
      <c r="BG72" s="22">
        <f t="shared" si="61"/>
        <v>430.95687572671636</v>
      </c>
      <c r="BH72" s="60">
        <f t="shared" si="62"/>
        <v>696.88703607678292</v>
      </c>
      <c r="BI72" s="60">
        <f ca="1">AVERAGE(OFFSET($BH$3,0,0,'Données projet'!$E$11+1,1))-AVERAGE(OFFSET($H$3,0,0,'Données projet'!$E$11+1,1))</f>
        <v>314.75847268052081</v>
      </c>
      <c r="BJ72" s="60">
        <f t="shared" si="92"/>
        <v>337.77701316755338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300.74615384615385</v>
      </c>
      <c r="BW72" s="13">
        <f>VLOOKUP(A72,'Données projet'!$A$113:$I$133,9,0)</f>
        <v>9.6897435897435908</v>
      </c>
      <c r="BX72" s="13">
        <f t="array" ref="BX72">INDEX(BW:BW,MIN(IF(ISNUMBER(BW72:BW268),ROW(BW72:BW268),"")))</f>
        <v>9.6897435897435908</v>
      </c>
      <c r="BY72" s="13">
        <f>IF('Données projet'!$A$114&gt;35,BY71+BX72-CG71,IF(A72&lt;'Données projet'!$A$114,$BV$205^A72,IF(A72='Données projet'!$A$114,'Données projet'!$B$114,BY71+BX72-CG71)))</f>
        <v>300.74615384615379</v>
      </c>
      <c r="BZ72" s="14">
        <f>BY72*VLOOKUP('Données projet'!$B$12,Paramètres!$A$1:$I$89,3,0)*VLOOKUP('Données projet'!$B$12,Paramètres!$A$1:$I$89,5,0)</f>
        <v>140.74919999999997</v>
      </c>
      <c r="CA72" s="14">
        <f t="shared" si="93"/>
        <v>36.468583345471806</v>
      </c>
      <c r="CB72" s="22">
        <f t="shared" si="64"/>
        <v>308.65430599336338</v>
      </c>
      <c r="CC72" s="60">
        <f t="shared" si="65"/>
        <v>574.58446634342999</v>
      </c>
      <c r="CD72" s="60">
        <f ca="1">AVERAGE(OFFSET($CC$3,0,0,'Données projet'!$E$12+1,1))-AVERAGE(OFFSET($H$3,0,0,'Données projet'!$E$12+1,1))</f>
        <v>277.77877239988635</v>
      </c>
      <c r="CE72" s="60">
        <f t="shared" si="94"/>
        <v>164.65640238394164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0" t="e">
        <f t="shared" si="68"/>
        <v>#NUM!</v>
      </c>
      <c r="CY72" s="60">
        <f ca="1">AVERAGE(OFFSET($CX$3,0,0,'Données projet'!$E$13+1,1))-AVERAGE(OFFSET($H$3,0,0,'Données projet'!$E$13+1,1))</f>
        <v>334.26876877415839</v>
      </c>
      <c r="CZ72" s="60">
        <f t="shared" si="96"/>
        <v>465.65761854152913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6.8589743589743621</v>
      </c>
      <c r="DO72" s="13">
        <f>IF('Données projet'!$A$166&gt;35,DO71+DN72-DW71,IF(A72&lt;'Données projet'!$A$166,$DL$205^A72,IF(A72='Données projet'!$A$166,'Données projet'!$B$166,DO71+DN72-DW71)))</f>
        <v>310.44871794871796</v>
      </c>
      <c r="DP72" s="18">
        <f>DO72*VLOOKUP('Données projet'!$B$14,Paramètres!$A$1:$I$89,3,0)*VLOOKUP('Données projet'!$B$14,Paramètres!$A$1:$I$89,5,0)</f>
        <v>198.56299999999999</v>
      </c>
      <c r="DQ72" s="14">
        <f t="shared" si="97"/>
        <v>49.428226203650105</v>
      </c>
      <c r="DR72" s="22">
        <f t="shared" si="70"/>
        <v>431.91805230469055</v>
      </c>
      <c r="DS72" s="60">
        <f t="shared" si="71"/>
        <v>697.84821265475716</v>
      </c>
      <c r="DT72" s="60">
        <f ca="1">AVERAGE(OFFSET($DS$3,0,0,'Données projet'!$E$14+1,1))-AVERAGE(OFFSET($H$3,0,0,'Données projet'!$E$14+1,1))</f>
        <v>285.09561428624352</v>
      </c>
      <c r="DU72" s="60">
        <f t="shared" si="98"/>
        <v>261.05678516705564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-1.1368683772161603E-13</v>
      </c>
      <c r="EK72" s="18">
        <f>EJ72*VLOOKUP('Données projet'!$B$15,Paramètres!$A$1:$I$89,3,0)*VLOOKUP('Données projet'!$B$15,Paramètres!$A$1:$I$89,5,0)</f>
        <v>-9.2222762759774927E-14</v>
      </c>
      <c r="EL72" s="14" t="e">
        <f t="shared" si="99"/>
        <v>#NUM!</v>
      </c>
      <c r="EM72" s="22" t="e">
        <f t="shared" si="73"/>
        <v>#NUM!</v>
      </c>
      <c r="EN72" s="60" t="e">
        <f t="shared" si="74"/>
        <v>#NUM!</v>
      </c>
      <c r="EO72" s="60">
        <f ca="1">AVERAGE(OFFSET($EN$3,0,0,'Données projet'!$E$15+1,1))-AVERAGE(OFFSET($H$3,0,0,'Données projet'!$E$15+1,1))</f>
        <v>272.69564942740931</v>
      </c>
      <c r="EP72" s="60">
        <f t="shared" si="100"/>
        <v>316.57989180609252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0">
        <f t="shared" si="55"/>
        <v>781.87498200368964</v>
      </c>
      <c r="S73" s="60">
        <f ca="1">AVERAGE(OFFSET($R$3,0,0,'Données projet'!$E$9+1,1))-AVERAGE(OFFSET($H$3,0,0,'Données projet'!$E$9+1,1))</f>
        <v>469.67944008675863</v>
      </c>
      <c r="T73" s="60">
        <f t="shared" si="88"/>
        <v>266.11908070867173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0">
        <f t="shared" si="59"/>
        <v>842.59520580698154</v>
      </c>
      <c r="AN73" s="60">
        <f ca="1">AVERAGE(OFFSET($AM$3,0,0,'Données projet'!$E$10+1,1))-AVERAGE(OFFSET($H$3,0,0,'Données projet'!$E$10+1,1))</f>
        <v>516.30971934066179</v>
      </c>
      <c r="AO73" s="60">
        <f t="shared" si="90"/>
        <v>290.84286505723571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274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273.99999999999994</v>
      </c>
      <c r="BE73" s="14">
        <f>BD73*VLOOKUP('Données projet'!$B$11,Paramètres!$A$1:$I$89,3,0)*VLOOKUP('Données projet'!$B$11,Paramètres!$A$1:$I$89,5,0)</f>
        <v>200.89679999999996</v>
      </c>
      <c r="BF73" s="14">
        <f t="shared" si="91"/>
        <v>49.941205873360218</v>
      </c>
      <c r="BG73" s="22">
        <f t="shared" si="61"/>
        <v>436.87619356276895</v>
      </c>
      <c r="BH73" s="60">
        <f t="shared" si="62"/>
        <v>703.28173769977843</v>
      </c>
      <c r="BI73" s="60">
        <f ca="1">AVERAGE(OFFSET($BH$3,0,0,'Données projet'!$E$11+1,1))-AVERAGE(OFFSET($H$3,0,0,'Données projet'!$E$11+1,1))</f>
        <v>314.75847268052081</v>
      </c>
      <c r="BJ73" s="60">
        <f t="shared" si="92"/>
        <v>337.77701316755338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9.9551282051282044</v>
      </c>
      <c r="BY73" s="13">
        <f>IF('Données projet'!$A$114&gt;35,BY72+BX73-CG72,IF(A73&lt;'Données projet'!$A$114,$BV$205^A73,IF(A73='Données projet'!$A$114,'Données projet'!$B$114,BY72+BX73-CG72)))</f>
        <v>310.70128205128196</v>
      </c>
      <c r="BZ73" s="14">
        <f>BY73*VLOOKUP('Données projet'!$B$12,Paramètres!$A$1:$I$89,3,0)*VLOOKUP('Données projet'!$B$12,Paramètres!$A$1:$I$89,5,0)</f>
        <v>145.40819999999997</v>
      </c>
      <c r="CA73" s="14">
        <f t="shared" si="93"/>
        <v>37.533201941228626</v>
      </c>
      <c r="CB73" s="22">
        <f t="shared" si="64"/>
        <v>318.62294171430648</v>
      </c>
      <c r="CC73" s="60">
        <f t="shared" si="65"/>
        <v>585.02848585131596</v>
      </c>
      <c r="CD73" s="60">
        <f ca="1">AVERAGE(OFFSET($CC$3,0,0,'Données projet'!$E$12+1,1))-AVERAGE(OFFSET($H$3,0,0,'Données projet'!$E$12+1,1))</f>
        <v>277.77877239988635</v>
      </c>
      <c r="CE73" s="60">
        <f t="shared" si="94"/>
        <v>164.65640238394164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0" t="e">
        <f t="shared" si="68"/>
        <v>#NUM!</v>
      </c>
      <c r="CY73" s="60">
        <f ca="1">AVERAGE(OFFSET($CX$3,0,0,'Données projet'!$E$13+1,1))-AVERAGE(OFFSET($H$3,0,0,'Données projet'!$E$13+1,1))</f>
        <v>334.26876877415839</v>
      </c>
      <c r="CZ73" s="60">
        <f t="shared" si="96"/>
        <v>465.65761854152913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317.30769230769232</v>
      </c>
      <c r="DM73" s="13">
        <f>VLOOKUP(A73,'Données projet'!$A$165:$I$185,9,0)</f>
        <v>6.8589743589743621</v>
      </c>
      <c r="DN73" s="13">
        <f t="array" ref="DN73">INDEX(DM:DM,MIN(IF(ISNUMBER(DM73:DM269),ROW(DM73:DM269),"")))</f>
        <v>6.8589743589743621</v>
      </c>
      <c r="DO73" s="13">
        <f>IF('Données projet'!$A$166&gt;35,DO72+DN73-DW72,IF(A73&lt;'Données projet'!$A$166,$DL$205^A73,IF(A73='Données projet'!$A$166,'Données projet'!$B$166,DO72+DN73-DW72)))</f>
        <v>317.30769230769232</v>
      </c>
      <c r="DP73" s="18">
        <f>DO73*VLOOKUP('Données projet'!$B$14,Paramètres!$A$1:$I$89,3,0)*VLOOKUP('Données projet'!$B$14,Paramètres!$A$1:$I$89,5,0)</f>
        <v>202.95</v>
      </c>
      <c r="DQ73" s="14">
        <f t="shared" si="97"/>
        <v>50.391934918114686</v>
      </c>
      <c r="DR73" s="22">
        <f t="shared" si="70"/>
        <v>441.23720331571639</v>
      </c>
      <c r="DS73" s="60">
        <f t="shared" si="71"/>
        <v>707.64274745272587</v>
      </c>
      <c r="DT73" s="60">
        <f ca="1">AVERAGE(OFFSET($DS$3,0,0,'Données projet'!$E$14+1,1))-AVERAGE(OFFSET($H$3,0,0,'Données projet'!$E$14+1,1))</f>
        <v>285.09561428624352</v>
      </c>
      <c r="DU73" s="60">
        <f t="shared" si="98"/>
        <v>261.05678516705564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-1.1368683772161603E-13</v>
      </c>
      <c r="EK73" s="18">
        <f>EJ73*VLOOKUP('Données projet'!$B$15,Paramètres!$A$1:$I$89,3,0)*VLOOKUP('Données projet'!$B$15,Paramètres!$A$1:$I$89,5,0)</f>
        <v>-9.2222762759774927E-14</v>
      </c>
      <c r="EL73" s="14" t="e">
        <f t="shared" si="99"/>
        <v>#NUM!</v>
      </c>
      <c r="EM73" s="22" t="e">
        <f t="shared" si="73"/>
        <v>#NUM!</v>
      </c>
      <c r="EN73" s="60" t="e">
        <f t="shared" si="74"/>
        <v>#NUM!</v>
      </c>
      <c r="EO73" s="60">
        <f ca="1">AVERAGE(OFFSET($EN$3,0,0,'Données projet'!$E$15+1,1))-AVERAGE(OFFSET($H$3,0,0,'Données projet'!$E$15+1,1))</f>
        <v>272.69564942740931</v>
      </c>
      <c r="EP73" s="60">
        <f t="shared" si="100"/>
        <v>316.57989180609252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0">
        <f t="shared" si="55"/>
        <v>713.67462961866772</v>
      </c>
      <c r="S74" s="60">
        <f ca="1">AVERAGE(OFFSET($R$3,0,0,'Données projet'!$E$9+1,1))-AVERAGE(OFFSET($H$3,0,0,'Données projet'!$E$9+1,1))</f>
        <v>469.67944008675863</v>
      </c>
      <c r="T74" s="60">
        <f t="shared" si="88"/>
        <v>266.11908070867173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0">
        <f t="shared" si="59"/>
        <v>766.28830271316656</v>
      </c>
      <c r="AN74" s="60">
        <f ca="1">AVERAGE(OFFSET($AM$3,0,0,'Données projet'!$E$10+1,1))-AVERAGE(OFFSET($H$3,0,0,'Données projet'!$E$10+1,1))</f>
        <v>516.30971934066179</v>
      </c>
      <c r="AO74" s="60">
        <f t="shared" si="90"/>
        <v>290.84286505723571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256.39999999999992</v>
      </c>
      <c r="BE74" s="14">
        <f>BD74*VLOOKUP('Données projet'!$B$11,Paramètres!$A$1:$I$89,3,0)*VLOOKUP('Données projet'!$B$11,Paramètres!$A$1:$I$89,5,0)</f>
        <v>187.99247999999994</v>
      </c>
      <c r="BF74" s="14">
        <f t="shared" si="91"/>
        <v>47.095844674053957</v>
      </c>
      <c r="BG74" s="22">
        <f t="shared" si="61"/>
        <v>409.44549880731051</v>
      </c>
      <c r="BH74" s="60">
        <f t="shared" si="62"/>
        <v>676.3181798853584</v>
      </c>
      <c r="BI74" s="60">
        <f ca="1">AVERAGE(OFFSET($BH$3,0,0,'Données projet'!$E$11+1,1))-AVERAGE(OFFSET($H$3,0,0,'Données projet'!$E$11+1,1))</f>
        <v>314.75847268052081</v>
      </c>
      <c r="BJ74" s="60">
        <f t="shared" si="92"/>
        <v>337.77701316755338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9.9551282051282044</v>
      </c>
      <c r="BY74" s="13">
        <f>IF('Données projet'!$A$114&gt;35,BY73+BX74-CG73,IF(A74&lt;'Données projet'!$A$114,$BV$205^A74,IF(A74='Données projet'!$A$114,'Données projet'!$B$114,BY73+BX74-CG73)))</f>
        <v>320.65641025641014</v>
      </c>
      <c r="BZ74" s="14">
        <f>BY74*VLOOKUP('Données projet'!$B$12,Paramètres!$A$1:$I$89,3,0)*VLOOKUP('Données projet'!$B$12,Paramètres!$A$1:$I$89,5,0)</f>
        <v>150.06719999999996</v>
      </c>
      <c r="CA74" s="14">
        <f t="shared" si="93"/>
        <v>38.593856663876636</v>
      </c>
      <c r="CB74" s="22">
        <f t="shared" si="64"/>
        <v>328.58467368958503</v>
      </c>
      <c r="CC74" s="60">
        <f t="shared" si="65"/>
        <v>595.45735476763298</v>
      </c>
      <c r="CD74" s="60">
        <f ca="1">AVERAGE(OFFSET($CC$3,0,0,'Données projet'!$E$12+1,1))-AVERAGE(OFFSET($H$3,0,0,'Données projet'!$E$12+1,1))</f>
        <v>277.77877239988635</v>
      </c>
      <c r="CE74" s="60">
        <f t="shared" si="94"/>
        <v>164.65640238394164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0" t="e">
        <f t="shared" si="68"/>
        <v>#NUM!</v>
      </c>
      <c r="CY74" s="60">
        <f ca="1">AVERAGE(OFFSET($CX$3,0,0,'Données projet'!$E$13+1,1))-AVERAGE(OFFSET($H$3,0,0,'Données projet'!$E$13+1,1))</f>
        <v>334.26876877415839</v>
      </c>
      <c r="CZ74" s="60">
        <f t="shared" si="96"/>
        <v>465.65761854152913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6.0897435897435859</v>
      </c>
      <c r="DO74" s="13">
        <f>IF('Données projet'!$A$166&gt;35,DO73+DN74-DW73,IF(A74&lt;'Données projet'!$A$166,$DL$205^A74,IF(A74='Données projet'!$A$166,'Données projet'!$B$166,DO73+DN74-DW73)))</f>
        <v>323.39743589743591</v>
      </c>
      <c r="DP74" s="18">
        <f>DO74*VLOOKUP('Données projet'!$B$14,Paramètres!$A$1:$I$89,3,0)*VLOOKUP('Données projet'!$B$14,Paramètres!$A$1:$I$89,5,0)</f>
        <v>206.84500000000003</v>
      </c>
      <c r="DQ74" s="14">
        <f t="shared" si="97"/>
        <v>51.245532579702662</v>
      </c>
      <c r="DR74" s="22">
        <f t="shared" si="70"/>
        <v>449.50767757631553</v>
      </c>
      <c r="DS74" s="60">
        <f t="shared" si="71"/>
        <v>716.38035865436348</v>
      </c>
      <c r="DT74" s="60">
        <f ca="1">AVERAGE(OFFSET($DS$3,0,0,'Données projet'!$E$14+1,1))-AVERAGE(OFFSET($H$3,0,0,'Données projet'!$E$14+1,1))</f>
        <v>285.09561428624352</v>
      </c>
      <c r="DU74" s="60">
        <f t="shared" si="98"/>
        <v>261.05678516705564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-1.1368683772161603E-13</v>
      </c>
      <c r="EK74" s="18">
        <f>EJ74*VLOOKUP('Données projet'!$B$15,Paramètres!$A$1:$I$89,3,0)*VLOOKUP('Données projet'!$B$15,Paramètres!$A$1:$I$89,5,0)</f>
        <v>-9.2222762759774927E-14</v>
      </c>
      <c r="EL74" s="14" t="e">
        <f t="shared" si="99"/>
        <v>#NUM!</v>
      </c>
      <c r="EM74" s="22" t="e">
        <f t="shared" si="73"/>
        <v>#NUM!</v>
      </c>
      <c r="EN74" s="60" t="e">
        <f t="shared" si="74"/>
        <v>#NUM!</v>
      </c>
      <c r="EO74" s="60">
        <f ca="1">AVERAGE(OFFSET($EN$3,0,0,'Données projet'!$E$15+1,1))-AVERAGE(OFFSET($H$3,0,0,'Données projet'!$E$15+1,1))</f>
        <v>272.69564942740931</v>
      </c>
      <c r="EP74" s="60">
        <f t="shared" si="100"/>
        <v>316.57989180609252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0">
        <f t="shared" si="55"/>
        <v>726.04099743373422</v>
      </c>
      <c r="S75" s="60">
        <f ca="1">AVERAGE(OFFSET($R$3,0,0,'Données projet'!$E$9+1,1))-AVERAGE(OFFSET($H$3,0,0,'Données projet'!$E$9+1,1))</f>
        <v>469.67944008675863</v>
      </c>
      <c r="T75" s="60">
        <f t="shared" si="88"/>
        <v>266.11908070867173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0">
        <f t="shared" si="59"/>
        <v>780.06020830988109</v>
      </c>
      <c r="AN75" s="60">
        <f ca="1">AVERAGE(OFFSET($AM$3,0,0,'Données projet'!$E$10+1,1))-AVERAGE(OFFSET($H$3,0,0,'Données projet'!$E$10+1,1))</f>
        <v>516.30971934066179</v>
      </c>
      <c r="AO75" s="60">
        <f t="shared" si="90"/>
        <v>290.84286505723571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259.7999999999999</v>
      </c>
      <c r="BE75" s="14">
        <f>BD75*VLOOKUP('Données projet'!$B$11,Paramètres!$A$1:$I$89,3,0)*VLOOKUP('Données projet'!$B$11,Paramètres!$A$1:$I$89,5,0)</f>
        <v>190.48535999999993</v>
      </c>
      <c r="BF75" s="14">
        <f t="shared" si="91"/>
        <v>47.647243117546594</v>
      </c>
      <c r="BG75" s="22">
        <f t="shared" si="61"/>
        <v>414.74761709639353</v>
      </c>
      <c r="BH75" s="60">
        <f t="shared" si="62"/>
        <v>682.07933133391464</v>
      </c>
      <c r="BI75" s="60">
        <f ca="1">AVERAGE(OFFSET($BH$3,0,0,'Données projet'!$E$11+1,1))-AVERAGE(OFFSET($H$3,0,0,'Données projet'!$E$11+1,1))</f>
        <v>314.75847268052081</v>
      </c>
      <c r="BJ75" s="60">
        <f t="shared" si="92"/>
        <v>337.77701316755338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9.9551282051282044</v>
      </c>
      <c r="BY75" s="13">
        <f>IF('Données projet'!$A$114&gt;35,BY74+BX75-CG74,IF(A75&lt;'Données projet'!$A$114,$BV$205^A75,IF(A75='Données projet'!$A$114,'Données projet'!$B$114,BY74+BX75-CG74)))</f>
        <v>330.61153846153832</v>
      </c>
      <c r="BZ75" s="14">
        <f>BY75*VLOOKUP('Données projet'!$B$12,Paramètres!$A$1:$I$89,3,0)*VLOOKUP('Données projet'!$B$12,Paramètres!$A$1:$I$89,5,0)</f>
        <v>154.72619999999992</v>
      </c>
      <c r="CA75" s="14">
        <f t="shared" si="93"/>
        <v>39.650684697457002</v>
      </c>
      <c r="CB75" s="22">
        <f t="shared" si="64"/>
        <v>338.53974084807078</v>
      </c>
      <c r="CC75" s="60">
        <f t="shared" si="65"/>
        <v>605.87145508559183</v>
      </c>
      <c r="CD75" s="60">
        <f ca="1">AVERAGE(OFFSET($CC$3,0,0,'Données projet'!$E$12+1,1))-AVERAGE(OFFSET($H$3,0,0,'Données projet'!$E$12+1,1))</f>
        <v>277.77877239988635</v>
      </c>
      <c r="CE75" s="60">
        <f t="shared" si="94"/>
        <v>164.65640238394164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0" t="e">
        <f t="shared" si="68"/>
        <v>#NUM!</v>
      </c>
      <c r="CY75" s="60">
        <f ca="1">AVERAGE(OFFSET($CX$3,0,0,'Données projet'!$E$13+1,1))-AVERAGE(OFFSET($H$3,0,0,'Données projet'!$E$13+1,1))</f>
        <v>334.26876877415839</v>
      </c>
      <c r="CZ75" s="60">
        <f t="shared" si="96"/>
        <v>465.65761854152913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6.0897435897435859</v>
      </c>
      <c r="DO75" s="13">
        <f>IF('Données projet'!$A$166&gt;35,DO74+DN75-DW74,IF(A75&lt;'Données projet'!$A$166,$DL$205^A75,IF(A75='Données projet'!$A$166,'Données projet'!$B$166,DO74+DN75-DW74)))</f>
        <v>329.4871794871795</v>
      </c>
      <c r="DP75" s="18">
        <f>DO75*VLOOKUP('Données projet'!$B$14,Paramètres!$A$1:$I$89,3,0)*VLOOKUP('Données projet'!$B$14,Paramètres!$A$1:$I$89,5,0)</f>
        <v>210.74</v>
      </c>
      <c r="DQ75" s="14">
        <f t="shared" si="97"/>
        <v>52.097261195710331</v>
      </c>
      <c r="DR75" s="22">
        <f t="shared" si="70"/>
        <v>457.77489658252875</v>
      </c>
      <c r="DS75" s="60">
        <f t="shared" si="71"/>
        <v>725.10661082004981</v>
      </c>
      <c r="DT75" s="60">
        <f ca="1">AVERAGE(OFFSET($DS$3,0,0,'Données projet'!$E$14+1,1))-AVERAGE(OFFSET($H$3,0,0,'Données projet'!$E$14+1,1))</f>
        <v>285.09561428624352</v>
      </c>
      <c r="DU75" s="60">
        <f t="shared" si="98"/>
        <v>261.05678516705564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-1.1368683772161603E-13</v>
      </c>
      <c r="EK75" s="18">
        <f>EJ75*VLOOKUP('Données projet'!$B$15,Paramètres!$A$1:$I$89,3,0)*VLOOKUP('Données projet'!$B$15,Paramètres!$A$1:$I$89,5,0)</f>
        <v>-9.2222762759774927E-14</v>
      </c>
      <c r="EL75" s="14" t="e">
        <f t="shared" si="99"/>
        <v>#NUM!</v>
      </c>
      <c r="EM75" s="22" t="e">
        <f t="shared" si="73"/>
        <v>#NUM!</v>
      </c>
      <c r="EN75" s="60" t="e">
        <f t="shared" si="74"/>
        <v>#NUM!</v>
      </c>
      <c r="EO75" s="60">
        <f ca="1">AVERAGE(OFFSET($EN$3,0,0,'Données projet'!$E$15+1,1))-AVERAGE(OFFSET($H$3,0,0,'Données projet'!$E$15+1,1))</f>
        <v>272.69564942740931</v>
      </c>
      <c r="EP75" s="60">
        <f t="shared" si="100"/>
        <v>316.57989180609252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0">
        <f t="shared" si="55"/>
        <v>738.39280375661042</v>
      </c>
      <c r="S76" s="60">
        <f ca="1">AVERAGE(OFFSET($R$3,0,0,'Données projet'!$E$9+1,1))-AVERAGE(OFFSET($H$3,0,0,'Données projet'!$E$9+1,1))</f>
        <v>469.67944008675863</v>
      </c>
      <c r="T76" s="60">
        <f t="shared" si="88"/>
        <v>266.11908070867173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0">
        <f t="shared" si="59"/>
        <v>793.81685349707573</v>
      </c>
      <c r="AN76" s="60">
        <f ca="1">AVERAGE(OFFSET($AM$3,0,0,'Données projet'!$E$10+1,1))-AVERAGE(OFFSET($H$3,0,0,'Données projet'!$E$10+1,1))</f>
        <v>516.30971934066179</v>
      </c>
      <c r="AO76" s="60">
        <f t="shared" si="90"/>
        <v>290.84286505723571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263.19999999999987</v>
      </c>
      <c r="BE76" s="14">
        <f>BD76*VLOOKUP('Données projet'!$B$11,Paramètres!$A$1:$I$89,3,0)*VLOOKUP('Données projet'!$B$11,Paramètres!$A$1:$I$89,5,0)</f>
        <v>192.97823999999991</v>
      </c>
      <c r="BF76" s="14">
        <f t="shared" si="91"/>
        <v>48.197802215761044</v>
      </c>
      <c r="BG76" s="22">
        <f t="shared" si="61"/>
        <v>420.0482735257836</v>
      </c>
      <c r="BH76" s="60">
        <f t="shared" si="62"/>
        <v>687.83105772370538</v>
      </c>
      <c r="BI76" s="60">
        <f ca="1">AVERAGE(OFFSET($BH$3,0,0,'Données projet'!$E$11+1,1))-AVERAGE(OFFSET($H$3,0,0,'Données projet'!$E$11+1,1))</f>
        <v>314.75847268052081</v>
      </c>
      <c r="BJ76" s="60">
        <f t="shared" si="92"/>
        <v>337.77701316755338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9.9551282051282044</v>
      </c>
      <c r="BY76" s="13">
        <f>IF('Données projet'!$A$114&gt;35,BY75+BX76-CG75,IF(A76&lt;'Données projet'!$A$114,$BV$205^A76,IF(A76='Données projet'!$A$114,'Données projet'!$B$114,BY75+BX76-CG75)))</f>
        <v>340.56666666666649</v>
      </c>
      <c r="BZ76" s="14">
        <f>BY76*VLOOKUP('Données projet'!$B$12,Paramètres!$A$1:$I$89,3,0)*VLOOKUP('Données projet'!$B$12,Paramètres!$A$1:$I$89,5,0)</f>
        <v>159.38519999999991</v>
      </c>
      <c r="CA76" s="14">
        <f t="shared" si="93"/>
        <v>40.703814494924693</v>
      </c>
      <c r="CB76" s="22">
        <f t="shared" si="64"/>
        <v>348.48836691199364</v>
      </c>
      <c r="CC76" s="60">
        <f t="shared" si="65"/>
        <v>616.27115110991542</v>
      </c>
      <c r="CD76" s="60">
        <f ca="1">AVERAGE(OFFSET($CC$3,0,0,'Données projet'!$E$12+1,1))-AVERAGE(OFFSET($H$3,0,0,'Données projet'!$E$12+1,1))</f>
        <v>277.77877239988635</v>
      </c>
      <c r="CE76" s="60">
        <f t="shared" si="94"/>
        <v>164.65640238394164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0" t="e">
        <f t="shared" si="68"/>
        <v>#NUM!</v>
      </c>
      <c r="CY76" s="60">
        <f ca="1">AVERAGE(OFFSET($CX$3,0,0,'Données projet'!$E$13+1,1))-AVERAGE(OFFSET($H$3,0,0,'Données projet'!$E$13+1,1))</f>
        <v>334.26876877415839</v>
      </c>
      <c r="CZ76" s="60">
        <f t="shared" si="96"/>
        <v>465.65761854152913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6.0897435897435859</v>
      </c>
      <c r="DO76" s="13">
        <f>IF('Données projet'!$A$166&gt;35,DO75+DN76-DW75,IF(A76&lt;'Données projet'!$A$166,$DL$205^A76,IF(A76='Données projet'!$A$166,'Données projet'!$B$166,DO75+DN76-DW75)))</f>
        <v>335.57692307692309</v>
      </c>
      <c r="DP76" s="18">
        <f>DO76*VLOOKUP('Données projet'!$B$14,Paramètres!$A$1:$I$89,3,0)*VLOOKUP('Données projet'!$B$14,Paramètres!$A$1:$I$89,5,0)</f>
        <v>214.63499999999999</v>
      </c>
      <c r="DQ76" s="14">
        <f t="shared" si="97"/>
        <v>52.94715929471738</v>
      </c>
      <c r="DR76" s="22">
        <f t="shared" si="70"/>
        <v>466.03892743829942</v>
      </c>
      <c r="DS76" s="60">
        <f t="shared" si="71"/>
        <v>733.82171163622115</v>
      </c>
      <c r="DT76" s="60">
        <f ca="1">AVERAGE(OFFSET($DS$3,0,0,'Données projet'!$E$14+1,1))-AVERAGE(OFFSET($H$3,0,0,'Données projet'!$E$14+1,1))</f>
        <v>285.09561428624352</v>
      </c>
      <c r="DU76" s="60">
        <f t="shared" si="98"/>
        <v>261.05678516705564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-1.1368683772161603E-13</v>
      </c>
      <c r="EK76" s="18">
        <f>EJ76*VLOOKUP('Données projet'!$B$15,Paramètres!$A$1:$I$89,3,0)*VLOOKUP('Données projet'!$B$15,Paramètres!$A$1:$I$89,5,0)</f>
        <v>-9.2222762759774927E-14</v>
      </c>
      <c r="EL76" s="14" t="e">
        <f t="shared" si="99"/>
        <v>#NUM!</v>
      </c>
      <c r="EM76" s="22" t="e">
        <f t="shared" si="73"/>
        <v>#NUM!</v>
      </c>
      <c r="EN76" s="60" t="e">
        <f t="shared" si="74"/>
        <v>#NUM!</v>
      </c>
      <c r="EO76" s="60">
        <f ca="1">AVERAGE(OFFSET($EN$3,0,0,'Données projet'!$E$15+1,1))-AVERAGE(OFFSET($H$3,0,0,'Données projet'!$E$15+1,1))</f>
        <v>272.69564942740931</v>
      </c>
      <c r="EP76" s="60">
        <f t="shared" si="100"/>
        <v>316.57989180609252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0">
        <f t="shared" si="55"/>
        <v>750.73037710187918</v>
      </c>
      <c r="S77" s="60">
        <f ca="1">AVERAGE(OFFSET($R$3,0,0,'Données projet'!$E$9+1,1))-AVERAGE(OFFSET($H$3,0,0,'Données projet'!$E$9+1,1))</f>
        <v>469.67944008675863</v>
      </c>
      <c r="T77" s="60">
        <f t="shared" si="88"/>
        <v>266.11908070867173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0">
        <f t="shared" si="59"/>
        <v>807.55858695417066</v>
      </c>
      <c r="AN77" s="60">
        <f ca="1">AVERAGE(OFFSET($AM$3,0,0,'Données projet'!$E$10+1,1))-AVERAGE(OFFSET($H$3,0,0,'Données projet'!$E$10+1,1))</f>
        <v>516.30971934066179</v>
      </c>
      <c r="AO77" s="60">
        <f t="shared" si="90"/>
        <v>290.84286505723571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266.59999999999985</v>
      </c>
      <c r="BE77" s="14">
        <f>BD77*VLOOKUP('Données projet'!$B$11,Paramètres!$A$1:$I$89,3,0)*VLOOKUP('Données projet'!$B$11,Paramètres!$A$1:$I$89,5,0)</f>
        <v>195.47111999999987</v>
      </c>
      <c r="BF77" s="14">
        <f t="shared" si="91"/>
        <v>48.747534064963503</v>
      </c>
      <c r="BG77" s="22">
        <f t="shared" si="61"/>
        <v>425.34748916314453</v>
      </c>
      <c r="BH77" s="60">
        <f t="shared" si="62"/>
        <v>693.57351826609533</v>
      </c>
      <c r="BI77" s="60">
        <f ca="1">AVERAGE(OFFSET($BH$3,0,0,'Données projet'!$E$11+1,1))-AVERAGE(OFFSET($H$3,0,0,'Données projet'!$E$11+1,1))</f>
        <v>314.75847268052081</v>
      </c>
      <c r="BJ77" s="60">
        <f t="shared" si="92"/>
        <v>337.77701316755338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9.9551282051282044</v>
      </c>
      <c r="BY77" s="13">
        <f>IF('Données projet'!$A$114&gt;35,BY76+BX77-CG76,IF(A77&lt;'Données projet'!$A$114,$BV$205^A77,IF(A77='Données projet'!$A$114,'Données projet'!$B$114,BY76+BX77-CG76)))</f>
        <v>350.52179487179467</v>
      </c>
      <c r="BZ77" s="14">
        <f>BY77*VLOOKUP('Données projet'!$B$12,Paramètres!$A$1:$I$89,3,0)*VLOOKUP('Données projet'!$B$12,Paramètres!$A$1:$I$89,5,0)</f>
        <v>164.0441999999999</v>
      </c>
      <c r="CA77" s="14">
        <f t="shared" si="93"/>
        <v>41.753366572621168</v>
      </c>
      <c r="CB77" s="22">
        <f t="shared" si="64"/>
        <v>358.43076178064831</v>
      </c>
      <c r="CC77" s="60">
        <f t="shared" si="65"/>
        <v>626.65679088359911</v>
      </c>
      <c r="CD77" s="60">
        <f ca="1">AVERAGE(OFFSET($CC$3,0,0,'Données projet'!$E$12+1,1))-AVERAGE(OFFSET($H$3,0,0,'Données projet'!$E$12+1,1))</f>
        <v>277.77877239988635</v>
      </c>
      <c r="CE77" s="60">
        <f t="shared" si="94"/>
        <v>164.65640238394164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0" t="e">
        <f t="shared" si="68"/>
        <v>#NUM!</v>
      </c>
      <c r="CY77" s="60">
        <f ca="1">AVERAGE(OFFSET($CX$3,0,0,'Données projet'!$E$13+1,1))-AVERAGE(OFFSET($H$3,0,0,'Données projet'!$E$13+1,1))</f>
        <v>334.26876877415839</v>
      </c>
      <c r="CZ77" s="60">
        <f t="shared" si="96"/>
        <v>465.65761854152913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6.0897435897435859</v>
      </c>
      <c r="DO77" s="13">
        <f>IF('Données projet'!$A$166&gt;35,DO76+DN77-DW76,IF(A77&lt;'Données projet'!$A$166,$DL$205^A77,IF(A77='Données projet'!$A$166,'Données projet'!$B$166,DO76+DN77-DW76)))</f>
        <v>341.66666666666669</v>
      </c>
      <c r="DP77" s="18">
        <f>DO77*VLOOKUP('Données projet'!$B$14,Paramètres!$A$1:$I$89,3,0)*VLOOKUP('Données projet'!$B$14,Paramètres!$A$1:$I$89,5,0)</f>
        <v>218.53000000000003</v>
      </c>
      <c r="DQ77" s="14">
        <f t="shared" si="97"/>
        <v>53.795263926874632</v>
      </c>
      <c r="DR77" s="22">
        <f t="shared" si="70"/>
        <v>474.29983467263992</v>
      </c>
      <c r="DS77" s="60">
        <f t="shared" si="71"/>
        <v>742.52586377559078</v>
      </c>
      <c r="DT77" s="60">
        <f ca="1">AVERAGE(OFFSET($DS$3,0,0,'Données projet'!$E$14+1,1))-AVERAGE(OFFSET($H$3,0,0,'Données projet'!$E$14+1,1))</f>
        <v>285.09561428624352</v>
      </c>
      <c r="DU77" s="60">
        <f t="shared" si="98"/>
        <v>261.05678516705564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-1.1368683772161603E-13</v>
      </c>
      <c r="EK77" s="18">
        <f>EJ77*VLOOKUP('Données projet'!$B$15,Paramètres!$A$1:$I$89,3,0)*VLOOKUP('Données projet'!$B$15,Paramètres!$A$1:$I$89,5,0)</f>
        <v>-9.2222762759774927E-14</v>
      </c>
      <c r="EL77" s="14" t="e">
        <f t="shared" si="99"/>
        <v>#NUM!</v>
      </c>
      <c r="EM77" s="22" t="e">
        <f t="shared" si="73"/>
        <v>#NUM!</v>
      </c>
      <c r="EN77" s="60" t="e">
        <f t="shared" si="74"/>
        <v>#NUM!</v>
      </c>
      <c r="EO77" s="60">
        <f ca="1">AVERAGE(OFFSET($EN$3,0,0,'Données projet'!$E$15+1,1))-AVERAGE(OFFSET($H$3,0,0,'Données projet'!$E$15+1,1))</f>
        <v>272.69564942740931</v>
      </c>
      <c r="EP77" s="60">
        <f t="shared" si="100"/>
        <v>316.57989180609252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0">
        <f t="shared" si="55"/>
        <v>763.05403343662067</v>
      </c>
      <c r="S78" s="60">
        <f ca="1">AVERAGE(OFFSET($R$3,0,0,'Données projet'!$E$9+1,1))-AVERAGE(OFFSET($H$3,0,0,'Données projet'!$E$9+1,1))</f>
        <v>469.67944008675863</v>
      </c>
      <c r="T78" s="60">
        <f t="shared" si="88"/>
        <v>266.11908070867173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0">
        <f t="shared" si="59"/>
        <v>821.28574373784795</v>
      </c>
      <c r="AN78" s="60">
        <f ca="1">AVERAGE(OFFSET($AM$3,0,0,'Données projet'!$E$10+1,1))-AVERAGE(OFFSET($H$3,0,0,'Données projet'!$E$10+1,1))</f>
        <v>516.30971934066179</v>
      </c>
      <c r="AO78" s="60">
        <f t="shared" si="90"/>
        <v>290.84286505723571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269.99999999999983</v>
      </c>
      <c r="BE78" s="14">
        <f>BD78*VLOOKUP('Données projet'!$B$11,Paramètres!$A$1:$I$89,3,0)*VLOOKUP('Données projet'!$B$11,Paramètres!$A$1:$I$89,5,0)</f>
        <v>197.96399999999986</v>
      </c>
      <c r="BF78" s="14">
        <f t="shared" si="91"/>
        <v>49.296450435147719</v>
      </c>
      <c r="BG78" s="22">
        <f t="shared" si="61"/>
        <v>430.64528450788202</v>
      </c>
      <c r="BH78" s="60">
        <f t="shared" si="62"/>
        <v>699.30686920770677</v>
      </c>
      <c r="BI78" s="60">
        <f ca="1">AVERAGE(OFFSET($BH$3,0,0,'Données projet'!$E$11+1,1))-AVERAGE(OFFSET($H$3,0,0,'Données projet'!$E$11+1,1))</f>
        <v>314.75847268052081</v>
      </c>
      <c r="BJ78" s="60">
        <f t="shared" si="92"/>
        <v>337.77701316755338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360.47692307692307</v>
      </c>
      <c r="BW78" s="13">
        <f>VLOOKUP(A78,'Données projet'!$A$113:$I$133,9,0)</f>
        <v>9.9551282051282044</v>
      </c>
      <c r="BX78" s="13">
        <f t="array" ref="BX78">INDEX(BW:BW,MIN(IF(ISNUMBER(BW78:BW274),ROW(BW78:BW274),"")))</f>
        <v>9.9551282051282044</v>
      </c>
      <c r="BY78" s="13">
        <f>IF('Données projet'!$A$114&gt;35,BY77+BX78-CG77,IF(A78&lt;'Données projet'!$A$114,$BV$205^A78,IF(A78='Données projet'!$A$114,'Données projet'!$B$114,BY77+BX78-CG77)))</f>
        <v>360.47692307692284</v>
      </c>
      <c r="BZ78" s="14">
        <f>BY78*VLOOKUP('Données projet'!$B$12,Paramètres!$A$1:$I$89,3,0)*VLOOKUP('Données projet'!$B$12,Paramètres!$A$1:$I$89,5,0)</f>
        <v>168.70319999999987</v>
      </c>
      <c r="CA78" s="14">
        <f t="shared" si="93"/>
        <v>42.799454211954576</v>
      </c>
      <c r="CB78" s="22">
        <f t="shared" si="64"/>
        <v>368.36712275248732</v>
      </c>
      <c r="CC78" s="60">
        <f t="shared" si="65"/>
        <v>637.02870745231212</v>
      </c>
      <c r="CD78" s="60">
        <f ca="1">AVERAGE(OFFSET($CC$3,0,0,'Données projet'!$E$12+1,1))-AVERAGE(OFFSET($H$3,0,0,'Données projet'!$E$12+1,1))</f>
        <v>277.77877239988635</v>
      </c>
      <c r="CE78" s="60">
        <f t="shared" si="94"/>
        <v>164.65640238394164</v>
      </c>
      <c r="CF78" s="16">
        <f>IF(ISNA(VLOOKUP(A78,'Données projet'!$A$113:$I$133,3,0)),0,VLOOKUP(A78,'Données projet'!$A$113:$I$133,3,0))</f>
        <v>3</v>
      </c>
      <c r="CG78" s="16">
        <f>IF(ISNA(VLOOKUP(A78,'Données projet'!$A$113:$I$133,4,0)),0,VLOOKUP(A78,'Données projet'!$A$113:$I$133,4,0))</f>
        <v>85.361538461538458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0" t="e">
        <f t="shared" si="68"/>
        <v>#NUM!</v>
      </c>
      <c r="CY78" s="60">
        <f ca="1">AVERAGE(OFFSET($CX$3,0,0,'Données projet'!$E$13+1,1))-AVERAGE(OFFSET($H$3,0,0,'Données projet'!$E$13+1,1))</f>
        <v>334.26876877415839</v>
      </c>
      <c r="CZ78" s="60">
        <f t="shared" si="96"/>
        <v>465.65761854152913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6.0897435897435859</v>
      </c>
      <c r="DO78" s="13">
        <f>IF('Données projet'!$A$166&gt;35,DO77+DN78-DW77,IF(A78&lt;'Données projet'!$A$166,$DL$205^A78,IF(A78='Données projet'!$A$166,'Données projet'!$B$166,DO77+DN78-DW77)))</f>
        <v>347.75641025641028</v>
      </c>
      <c r="DP78" s="18">
        <f>DO78*VLOOKUP('Données projet'!$B$14,Paramètres!$A$1:$I$89,3,0)*VLOOKUP('Données projet'!$B$14,Paramètres!$A$1:$I$89,5,0)</f>
        <v>222.42500000000001</v>
      </c>
      <c r="DQ78" s="14">
        <f t="shared" si="97"/>
        <v>54.641610745956214</v>
      </c>
      <c r="DR78" s="22">
        <f t="shared" si="70"/>
        <v>482.55768038254035</v>
      </c>
      <c r="DS78" s="60">
        <f t="shared" si="71"/>
        <v>751.21926508236515</v>
      </c>
      <c r="DT78" s="60">
        <f ca="1">AVERAGE(OFFSET($DS$3,0,0,'Données projet'!$E$14+1,1))-AVERAGE(OFFSET($H$3,0,0,'Données projet'!$E$14+1,1))</f>
        <v>285.09561428624352</v>
      </c>
      <c r="DU78" s="60">
        <f t="shared" si="98"/>
        <v>261.05678516705564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-1.1368683772161603E-13</v>
      </c>
      <c r="EK78" s="18">
        <f>EJ78*VLOOKUP('Données projet'!$B$15,Paramètres!$A$1:$I$89,3,0)*VLOOKUP('Données projet'!$B$15,Paramètres!$A$1:$I$89,5,0)</f>
        <v>-9.2222762759774927E-14</v>
      </c>
      <c r="EL78" s="14" t="e">
        <f t="shared" si="99"/>
        <v>#NUM!</v>
      </c>
      <c r="EM78" s="22" t="e">
        <f t="shared" si="73"/>
        <v>#NUM!</v>
      </c>
      <c r="EN78" s="60" t="e">
        <f t="shared" si="74"/>
        <v>#NUM!</v>
      </c>
      <c r="EO78" s="60">
        <f ca="1">AVERAGE(OFFSET($EN$3,0,0,'Données projet'!$E$15+1,1))-AVERAGE(OFFSET($H$3,0,0,'Données projet'!$E$15+1,1))</f>
        <v>272.69564942740931</v>
      </c>
      <c r="EP78" s="60">
        <f t="shared" si="100"/>
        <v>316.57989180609252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0">
        <f t="shared" si="55"/>
        <v>774.98087811905521</v>
      </c>
      <c r="S79" s="60">
        <f ca="1">AVERAGE(OFFSET($R$3,0,0,'Données projet'!$E$9+1,1))-AVERAGE(OFFSET($H$3,0,0,'Données projet'!$E$9+1,1))</f>
        <v>469.67944008675863</v>
      </c>
      <c r="T79" s="60">
        <f t="shared" si="88"/>
        <v>266.11908070867173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0">
        <f t="shared" si="59"/>
        <v>834.57020362655567</v>
      </c>
      <c r="AN79" s="60">
        <f ca="1">AVERAGE(OFFSET($AM$3,0,0,'Données projet'!$E$10+1,1))-AVERAGE(OFFSET($H$3,0,0,'Données projet'!$E$10+1,1))</f>
        <v>516.30971934066179</v>
      </c>
      <c r="AO79" s="60">
        <f t="shared" si="90"/>
        <v>290.84286505723571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272.99999999999983</v>
      </c>
      <c r="BE79" s="14">
        <f>BD79*VLOOKUP('Données projet'!$B$11,Paramètres!$A$1:$I$89,3,0)*VLOOKUP('Données projet'!$B$11,Paramètres!$A$1:$I$89,5,0)</f>
        <v>200.16359999999989</v>
      </c>
      <c r="BF79" s="14">
        <f t="shared" si="91"/>
        <v>49.78012034252523</v>
      </c>
      <c r="BG79" s="22">
        <f t="shared" si="61"/>
        <v>435.31864626323119</v>
      </c>
      <c r="BH79" s="60">
        <f t="shared" si="62"/>
        <v>704.40823064408062</v>
      </c>
      <c r="BI79" s="60">
        <f ca="1">AVERAGE(OFFSET($BH$3,0,0,'Données projet'!$E$11+1,1))-AVERAGE(OFFSET($H$3,0,0,'Données projet'!$E$11+1,1))</f>
        <v>314.75847268052081</v>
      </c>
      <c r="BJ79" s="60">
        <f t="shared" si="92"/>
        <v>337.77701316755338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8.9320512820512761</v>
      </c>
      <c r="BY79" s="13">
        <f>IF('Données projet'!$A$114&gt;35,BY78+BX79-CG78,IF(A79&lt;'Données projet'!$A$114,$BV$205^A79,IF(A79='Données projet'!$A$114,'Données projet'!$B$114,BY78+BX79-CG78)))</f>
        <v>284.04743589743566</v>
      </c>
      <c r="BZ79" s="14">
        <f>BY79*VLOOKUP('Données projet'!$B$12,Paramètres!$A$1:$I$89,3,0)*VLOOKUP('Données projet'!$B$12,Paramètres!$A$1:$I$89,5,0)</f>
        <v>132.93419999999989</v>
      </c>
      <c r="CA79" s="14">
        <f t="shared" si="93"/>
        <v>34.67348355149219</v>
      </c>
      <c r="CB79" s="22">
        <f t="shared" si="64"/>
        <v>291.91671551884872</v>
      </c>
      <c r="CC79" s="60">
        <f t="shared" si="65"/>
        <v>561.00629989969821</v>
      </c>
      <c r="CD79" s="60">
        <f ca="1">AVERAGE(OFFSET($CC$3,0,0,'Données projet'!$E$12+1,1))-AVERAGE(OFFSET($H$3,0,0,'Données projet'!$E$12+1,1))</f>
        <v>277.77877239988635</v>
      </c>
      <c r="CE79" s="60">
        <f t="shared" si="94"/>
        <v>164.65640238394164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0" t="e">
        <f t="shared" si="68"/>
        <v>#NUM!</v>
      </c>
      <c r="CY79" s="60">
        <f ca="1">AVERAGE(OFFSET($CX$3,0,0,'Données projet'!$E$13+1,1))-AVERAGE(OFFSET($H$3,0,0,'Données projet'!$E$13+1,1))</f>
        <v>334.26876877415839</v>
      </c>
      <c r="CZ79" s="60">
        <f t="shared" si="96"/>
        <v>465.65761854152913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6.0897435897435859</v>
      </c>
      <c r="DO79" s="13">
        <f>IF('Données projet'!$A$166&gt;35,DO78+DN79-DW78,IF(A79&lt;'Données projet'!$A$166,$DL$205^A79,IF(A79='Données projet'!$A$166,'Données projet'!$B$166,DO78+DN79-DW78)))</f>
        <v>353.84615384615387</v>
      </c>
      <c r="DP79" s="18">
        <f>DO79*VLOOKUP('Données projet'!$B$14,Paramètres!$A$1:$I$89,3,0)*VLOOKUP('Données projet'!$B$14,Paramètres!$A$1:$I$89,5,0)</f>
        <v>226.32</v>
      </c>
      <c r="DQ79" s="14">
        <f t="shared" si="97"/>
        <v>55.486234085502232</v>
      </c>
      <c r="DR79" s="22">
        <f t="shared" si="70"/>
        <v>490.8125243655831</v>
      </c>
      <c r="DS79" s="60">
        <f t="shared" si="71"/>
        <v>759.90210874643253</v>
      </c>
      <c r="DT79" s="60">
        <f ca="1">AVERAGE(OFFSET($DS$3,0,0,'Données projet'!$E$14+1,1))-AVERAGE(OFFSET($H$3,0,0,'Données projet'!$E$14+1,1))</f>
        <v>285.09561428624352</v>
      </c>
      <c r="DU79" s="60">
        <f t="shared" si="98"/>
        <v>261.05678516705564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-1.1368683772161603E-13</v>
      </c>
      <c r="EK79" s="18">
        <f>EJ79*VLOOKUP('Données projet'!$B$15,Paramètres!$A$1:$I$89,3,0)*VLOOKUP('Données projet'!$B$15,Paramètres!$A$1:$I$89,5,0)</f>
        <v>-9.2222762759774927E-14</v>
      </c>
      <c r="EL79" s="14" t="e">
        <f t="shared" si="99"/>
        <v>#NUM!</v>
      </c>
      <c r="EM79" s="22" t="e">
        <f t="shared" si="73"/>
        <v>#NUM!</v>
      </c>
      <c r="EN79" s="60" t="e">
        <f t="shared" si="74"/>
        <v>#NUM!</v>
      </c>
      <c r="EO79" s="60">
        <f ca="1">AVERAGE(OFFSET($EN$3,0,0,'Données projet'!$E$15+1,1))-AVERAGE(OFFSET($H$3,0,0,'Données projet'!$E$15+1,1))</f>
        <v>272.69564942740931</v>
      </c>
      <c r="EP79" s="60">
        <f t="shared" si="100"/>
        <v>316.57989180609252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0">
        <f t="shared" si="55"/>
        <v>786.8947727107618</v>
      </c>
      <c r="S80" s="60">
        <f ca="1">AVERAGE(OFFSET($R$3,0,0,'Données projet'!$E$9+1,1))-AVERAGE(OFFSET($H$3,0,0,'Données projet'!$E$9+1,1))</f>
        <v>469.67944008675863</v>
      </c>
      <c r="T80" s="60">
        <f t="shared" si="88"/>
        <v>266.11908070867173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0">
        <f t="shared" si="59"/>
        <v>847.84112816785</v>
      </c>
      <c r="AN80" s="60">
        <f ca="1">AVERAGE(OFFSET($AM$3,0,0,'Données projet'!$E$10+1,1))-AVERAGE(OFFSET($H$3,0,0,'Données projet'!$E$10+1,1))</f>
        <v>516.30971934066179</v>
      </c>
      <c r="AO80" s="60">
        <f t="shared" si="90"/>
        <v>290.84286505723571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275.99999999999983</v>
      </c>
      <c r="BE80" s="14">
        <f>BD80*VLOOKUP('Données projet'!$B$11,Paramètres!$A$1:$I$89,3,0)*VLOOKUP('Données projet'!$B$11,Paramètres!$A$1:$I$89,5,0)</f>
        <v>202.36319999999986</v>
      </c>
      <c r="BF80" s="14">
        <f t="shared" si="91"/>
        <v>50.263171959975132</v>
      </c>
      <c r="BG80" s="22">
        <f t="shared" si="61"/>
        <v>439.99093116362309</v>
      </c>
      <c r="BH80" s="60">
        <f t="shared" si="62"/>
        <v>709.50109038789537</v>
      </c>
      <c r="BI80" s="60">
        <f ca="1">AVERAGE(OFFSET($BH$3,0,0,'Données projet'!$E$11+1,1))-AVERAGE(OFFSET($H$3,0,0,'Données projet'!$E$11+1,1))</f>
        <v>314.75847268052081</v>
      </c>
      <c r="BJ80" s="60">
        <f t="shared" si="92"/>
        <v>337.77701316755338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8.9320512820512761</v>
      </c>
      <c r="BY80" s="13">
        <f>IF('Données projet'!$A$114&gt;35,BY79+BX80-CG79,IF(A80&lt;'Données projet'!$A$114,$BV$205^A80,IF(A80='Données projet'!$A$114,'Données projet'!$B$114,BY79+BX80-CG79)))</f>
        <v>292.97948717948691</v>
      </c>
      <c r="BZ80" s="14">
        <f>BY80*VLOOKUP('Données projet'!$B$12,Paramètres!$A$1:$I$89,3,0)*VLOOKUP('Données projet'!$B$12,Paramètres!$A$1:$I$89,5,0)</f>
        <v>137.11439999999988</v>
      </c>
      <c r="CA80" s="14">
        <f t="shared" si="93"/>
        <v>35.635155920090774</v>
      </c>
      <c r="CB80" s="22">
        <f t="shared" si="64"/>
        <v>300.87214322749122</v>
      </c>
      <c r="CC80" s="60">
        <f t="shared" si="65"/>
        <v>570.38230245176351</v>
      </c>
      <c r="CD80" s="60">
        <f ca="1">AVERAGE(OFFSET($CC$3,0,0,'Données projet'!$E$12+1,1))-AVERAGE(OFFSET($H$3,0,0,'Données projet'!$E$12+1,1))</f>
        <v>277.77877239988635</v>
      </c>
      <c r="CE80" s="60">
        <f t="shared" si="94"/>
        <v>164.65640238394164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0" t="e">
        <f t="shared" si="68"/>
        <v>#NUM!</v>
      </c>
      <c r="CY80" s="60">
        <f ca="1">AVERAGE(OFFSET($CX$3,0,0,'Données projet'!$E$13+1,1))-AVERAGE(OFFSET($H$3,0,0,'Données projet'!$E$13+1,1))</f>
        <v>334.26876877415839</v>
      </c>
      <c r="CZ80" s="60">
        <f t="shared" si="96"/>
        <v>465.65761854152913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6.0897435897435859</v>
      </c>
      <c r="DO80" s="13">
        <f>IF('Données projet'!$A$166&gt;35,DO79+DN80-DW79,IF(A80&lt;'Données projet'!$A$166,$DL$205^A80,IF(A80='Données projet'!$A$166,'Données projet'!$B$166,DO79+DN80-DW79)))</f>
        <v>359.93589743589746</v>
      </c>
      <c r="DP80" s="18">
        <f>DO80*VLOOKUP('Données projet'!$B$14,Paramètres!$A$1:$I$89,3,0)*VLOOKUP('Données projet'!$B$14,Paramètres!$A$1:$I$89,5,0)</f>
        <v>230.21500000000003</v>
      </c>
      <c r="DQ80" s="14">
        <f t="shared" si="97"/>
        <v>56.329167029570456</v>
      </c>
      <c r="DR80" s="22">
        <f t="shared" si="70"/>
        <v>499.06442424316856</v>
      </c>
      <c r="DS80" s="60">
        <f t="shared" si="71"/>
        <v>768.57458346744079</v>
      </c>
      <c r="DT80" s="60">
        <f ca="1">AVERAGE(OFFSET($DS$3,0,0,'Données projet'!$E$14+1,1))-AVERAGE(OFFSET($H$3,0,0,'Données projet'!$E$14+1,1))</f>
        <v>285.09561428624352</v>
      </c>
      <c r="DU80" s="60">
        <f t="shared" si="98"/>
        <v>261.05678516705564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-1.1368683772161603E-13</v>
      </c>
      <c r="EK80" s="18">
        <f>EJ80*VLOOKUP('Données projet'!$B$15,Paramètres!$A$1:$I$89,3,0)*VLOOKUP('Données projet'!$B$15,Paramètres!$A$1:$I$89,5,0)</f>
        <v>-9.2222762759774927E-14</v>
      </c>
      <c r="EL80" s="14" t="e">
        <f t="shared" si="99"/>
        <v>#NUM!</v>
      </c>
      <c r="EM80" s="22" t="e">
        <f t="shared" si="73"/>
        <v>#NUM!</v>
      </c>
      <c r="EN80" s="60" t="e">
        <f t="shared" si="74"/>
        <v>#NUM!</v>
      </c>
      <c r="EO80" s="60">
        <f ca="1">AVERAGE(OFFSET($EN$3,0,0,'Données projet'!$E$15+1,1))-AVERAGE(OFFSET($H$3,0,0,'Données projet'!$E$15+1,1))</f>
        <v>272.69564942740931</v>
      </c>
      <c r="EP80" s="60">
        <f t="shared" si="100"/>
        <v>316.57989180609252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0">
        <f t="shared" si="55"/>
        <v>798.79598604590456</v>
      </c>
      <c r="S81" s="60">
        <f ca="1">AVERAGE(OFFSET($R$3,0,0,'Données projet'!$E$9+1,1))-AVERAGE(OFFSET($H$3,0,0,'Données projet'!$E$9+1,1))</f>
        <v>469.67944008675863</v>
      </c>
      <c r="T81" s="60">
        <f t="shared" si="88"/>
        <v>266.11908070867173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0">
        <f t="shared" si="59"/>
        <v>861.0988010284093</v>
      </c>
      <c r="AN81" s="60">
        <f ca="1">AVERAGE(OFFSET($AM$3,0,0,'Données projet'!$E$10+1,1))-AVERAGE(OFFSET($H$3,0,0,'Données projet'!$E$10+1,1))</f>
        <v>516.30971934066179</v>
      </c>
      <c r="AO81" s="60">
        <f t="shared" si="90"/>
        <v>290.84286505723571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278.99999999999983</v>
      </c>
      <c r="BE81" s="14">
        <f>BD81*VLOOKUP('Données projet'!$B$11,Paramètres!$A$1:$I$89,3,0)*VLOOKUP('Données projet'!$B$11,Paramètres!$A$1:$I$89,5,0)</f>
        <v>204.56279999999987</v>
      </c>
      <c r="BF81" s="14">
        <f t="shared" si="91"/>
        <v>50.74561278586372</v>
      </c>
      <c r="BG81" s="22">
        <f t="shared" si="61"/>
        <v>444.66215226871242</v>
      </c>
      <c r="BH81" s="60">
        <f t="shared" si="62"/>
        <v>714.58559030313859</v>
      </c>
      <c r="BI81" s="60">
        <f ca="1">AVERAGE(OFFSET($BH$3,0,0,'Données projet'!$E$11+1,1))-AVERAGE(OFFSET($H$3,0,0,'Données projet'!$E$11+1,1))</f>
        <v>314.75847268052081</v>
      </c>
      <c r="BJ81" s="60">
        <f t="shared" si="92"/>
        <v>337.77701316755338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8.9320512820512761</v>
      </c>
      <c r="BY81" s="13">
        <f>IF('Données projet'!$A$114&gt;35,BY80+BX81-CG80,IF(A81&lt;'Données projet'!$A$114,$BV$205^A81,IF(A81='Données projet'!$A$114,'Données projet'!$B$114,BY80+BX81-CG80)))</f>
        <v>301.91153846153816</v>
      </c>
      <c r="BZ81" s="14">
        <f>BY81*VLOOKUP('Données projet'!$B$12,Paramètres!$A$1:$I$89,3,0)*VLOOKUP('Données projet'!$B$12,Paramètres!$A$1:$I$89,5,0)</f>
        <v>141.29459999999986</v>
      </c>
      <c r="CA81" s="14">
        <f t="shared" si="93"/>
        <v>36.593421110553088</v>
      </c>
      <c r="CB81" s="22">
        <f t="shared" si="64"/>
        <v>309.82163676754641</v>
      </c>
      <c r="CC81" s="60">
        <f t="shared" si="65"/>
        <v>579.74507480197258</v>
      </c>
      <c r="CD81" s="60">
        <f ca="1">AVERAGE(OFFSET($CC$3,0,0,'Données projet'!$E$12+1,1))-AVERAGE(OFFSET($H$3,0,0,'Données projet'!$E$12+1,1))</f>
        <v>277.77877239988635</v>
      </c>
      <c r="CE81" s="60">
        <f t="shared" si="94"/>
        <v>164.65640238394164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0" t="e">
        <f t="shared" si="68"/>
        <v>#NUM!</v>
      </c>
      <c r="CY81" s="60">
        <f ca="1">AVERAGE(OFFSET($CX$3,0,0,'Données projet'!$E$13+1,1))-AVERAGE(OFFSET($H$3,0,0,'Données projet'!$E$13+1,1))</f>
        <v>334.26876877415839</v>
      </c>
      <c r="CZ81" s="60">
        <f t="shared" si="96"/>
        <v>465.65761854152913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6.0897435897435859</v>
      </c>
      <c r="DO81" s="13">
        <f>IF('Données projet'!$A$166&gt;35,DO80+DN81-DW80,IF(A81&lt;'Données projet'!$A$166,$DL$205^A81,IF(A81='Données projet'!$A$166,'Données projet'!$B$166,DO80+DN81-DW80)))</f>
        <v>366.02564102564105</v>
      </c>
      <c r="DP81" s="18">
        <f>DO81*VLOOKUP('Données projet'!$B$14,Paramètres!$A$1:$I$89,3,0)*VLOOKUP('Données projet'!$B$14,Paramètres!$A$1:$I$89,5,0)</f>
        <v>234.11</v>
      </c>
      <c r="DQ81" s="14">
        <f t="shared" si="97"/>
        <v>57.170441478564811</v>
      </c>
      <c r="DR81" s="22">
        <f t="shared" si="70"/>
        <v>507.31343557516715</v>
      </c>
      <c r="DS81" s="60">
        <f t="shared" si="71"/>
        <v>777.23687360959343</v>
      </c>
      <c r="DT81" s="60">
        <f ca="1">AVERAGE(OFFSET($DS$3,0,0,'Données projet'!$E$14+1,1))-AVERAGE(OFFSET($H$3,0,0,'Données projet'!$E$14+1,1))</f>
        <v>285.09561428624352</v>
      </c>
      <c r="DU81" s="60">
        <f t="shared" si="98"/>
        <v>261.05678516705564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-1.1368683772161603E-13</v>
      </c>
      <c r="EK81" s="18">
        <f>EJ81*VLOOKUP('Données projet'!$B$15,Paramètres!$A$1:$I$89,3,0)*VLOOKUP('Données projet'!$B$15,Paramètres!$A$1:$I$89,5,0)</f>
        <v>-9.2222762759774927E-14</v>
      </c>
      <c r="EL81" s="14" t="e">
        <f t="shared" si="99"/>
        <v>#NUM!</v>
      </c>
      <c r="EM81" s="22" t="e">
        <f t="shared" si="73"/>
        <v>#NUM!</v>
      </c>
      <c r="EN81" s="60" t="e">
        <f t="shared" si="74"/>
        <v>#NUM!</v>
      </c>
      <c r="EO81" s="60">
        <f ca="1">AVERAGE(OFFSET($EN$3,0,0,'Données projet'!$E$15+1,1))-AVERAGE(OFFSET($H$3,0,0,'Données projet'!$E$15+1,1))</f>
        <v>272.69564942740931</v>
      </c>
      <c r="EP81" s="60">
        <f t="shared" si="100"/>
        <v>316.57989180609252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0">
        <f t="shared" si="55"/>
        <v>810.68477814530434</v>
      </c>
      <c r="S82" s="60">
        <f ca="1">AVERAGE(OFFSET($R$3,0,0,'Données projet'!$E$9+1,1))-AVERAGE(OFFSET($H$3,0,0,'Données projet'!$E$9+1,1))</f>
        <v>469.67944008675863</v>
      </c>
      <c r="T82" s="60">
        <f t="shared" si="88"/>
        <v>266.11908070867173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0">
        <f t="shared" si="59"/>
        <v>874.34349636470733</v>
      </c>
      <c r="AN82" s="60">
        <f ca="1">AVERAGE(OFFSET($AM$3,0,0,'Données projet'!$E$10+1,1))-AVERAGE(OFFSET($H$3,0,0,'Données projet'!$E$10+1,1))</f>
        <v>516.30971934066179</v>
      </c>
      <c r="AO82" s="60">
        <f t="shared" si="90"/>
        <v>290.84286505723571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281.99999999999983</v>
      </c>
      <c r="BE82" s="14">
        <f>BD82*VLOOKUP('Données projet'!$B$11,Paramètres!$A$1:$I$89,3,0)*VLOOKUP('Données projet'!$B$11,Paramètres!$A$1:$I$89,5,0)</f>
        <v>206.76239999999987</v>
      </c>
      <c r="BF82" s="14">
        <f t="shared" si="91"/>
        <v>51.227450148013851</v>
      </c>
      <c r="BG82" s="22">
        <f t="shared" si="61"/>
        <v>449.33232234112387</v>
      </c>
      <c r="BH82" s="60">
        <f t="shared" si="62"/>
        <v>719.66186972230082</v>
      </c>
      <c r="BI82" s="60">
        <f ca="1">AVERAGE(OFFSET($BH$3,0,0,'Données projet'!$E$11+1,1))-AVERAGE(OFFSET($H$3,0,0,'Données projet'!$E$11+1,1))</f>
        <v>314.75847268052081</v>
      </c>
      <c r="BJ82" s="60">
        <f t="shared" si="92"/>
        <v>337.77701316755338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8.9320512820512761</v>
      </c>
      <c r="BY82" s="13">
        <f>IF('Données projet'!$A$114&gt;35,BY81+BX82-CG81,IF(A82&lt;'Données projet'!$A$114,$BV$205^A82,IF(A82='Données projet'!$A$114,'Données projet'!$B$114,BY81+BX82-CG81)))</f>
        <v>310.8435897435894</v>
      </c>
      <c r="BZ82" s="14">
        <f>BY82*VLOOKUP('Données projet'!$B$12,Paramètres!$A$1:$I$89,3,0)*VLOOKUP('Données projet'!$B$12,Paramètres!$A$1:$I$89,5,0)</f>
        <v>145.47479999999985</v>
      </c>
      <c r="CA82" s="14">
        <f t="shared" si="93"/>
        <v>37.548391497194409</v>
      </c>
      <c r="CB82" s="22">
        <f t="shared" si="64"/>
        <v>318.76539185761334</v>
      </c>
      <c r="CC82" s="60">
        <f t="shared" si="65"/>
        <v>589.09493923879029</v>
      </c>
      <c r="CD82" s="60">
        <f ca="1">AVERAGE(OFFSET($CC$3,0,0,'Données projet'!$E$12+1,1))-AVERAGE(OFFSET($H$3,0,0,'Données projet'!$E$12+1,1))</f>
        <v>277.77877239988635</v>
      </c>
      <c r="CE82" s="60">
        <f t="shared" si="94"/>
        <v>164.65640238394164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0" t="e">
        <f t="shared" si="68"/>
        <v>#NUM!</v>
      </c>
      <c r="CY82" s="60">
        <f ca="1">AVERAGE(OFFSET($CX$3,0,0,'Données projet'!$E$13+1,1))-AVERAGE(OFFSET($H$3,0,0,'Données projet'!$E$13+1,1))</f>
        <v>334.26876877415839</v>
      </c>
      <c r="CZ82" s="60">
        <f t="shared" si="96"/>
        <v>465.65761854152913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6.0897435897435859</v>
      </c>
      <c r="DO82" s="13">
        <f>IF('Données projet'!$A$166&gt;35,DO81+DN82-DW81,IF(A82&lt;'Données projet'!$A$166,$DL$205^A82,IF(A82='Données projet'!$A$166,'Données projet'!$B$166,DO81+DN82-DW81)))</f>
        <v>372.11538461538464</v>
      </c>
      <c r="DP82" s="18">
        <f>DO82*VLOOKUP('Données projet'!$B$14,Paramètres!$A$1:$I$89,3,0)*VLOOKUP('Données projet'!$B$14,Paramètres!$A$1:$I$89,5,0)</f>
        <v>238.00500000000002</v>
      </c>
      <c r="DQ82" s="14">
        <f t="shared" si="97"/>
        <v>58.01008821055833</v>
      </c>
      <c r="DR82" s="22">
        <f t="shared" si="70"/>
        <v>515.5596119667224</v>
      </c>
      <c r="DS82" s="60">
        <f t="shared" si="71"/>
        <v>785.88915934789929</v>
      </c>
      <c r="DT82" s="60">
        <f ca="1">AVERAGE(OFFSET($DS$3,0,0,'Données projet'!$E$14+1,1))-AVERAGE(OFFSET($H$3,0,0,'Données projet'!$E$14+1,1))</f>
        <v>285.09561428624352</v>
      </c>
      <c r="DU82" s="60">
        <f t="shared" si="98"/>
        <v>261.05678516705564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-1.1368683772161603E-13</v>
      </c>
      <c r="EK82" s="18">
        <f>EJ82*VLOOKUP('Données projet'!$B$15,Paramètres!$A$1:$I$89,3,0)*VLOOKUP('Données projet'!$B$15,Paramètres!$A$1:$I$89,5,0)</f>
        <v>-9.2222762759774927E-14</v>
      </c>
      <c r="EL82" s="14" t="e">
        <f t="shared" si="99"/>
        <v>#NUM!</v>
      </c>
      <c r="EM82" s="22" t="e">
        <f t="shared" si="73"/>
        <v>#NUM!</v>
      </c>
      <c r="EN82" s="60" t="e">
        <f t="shared" si="74"/>
        <v>#NUM!</v>
      </c>
      <c r="EO82" s="60">
        <f ca="1">AVERAGE(OFFSET($EN$3,0,0,'Données projet'!$E$15+1,1))-AVERAGE(OFFSET($H$3,0,0,'Données projet'!$E$15+1,1))</f>
        <v>272.69564942740931</v>
      </c>
      <c r="EP82" s="60">
        <f t="shared" si="100"/>
        <v>316.57989180609252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0">
        <f t="shared" si="55"/>
        <v>822.56140070048309</v>
      </c>
      <c r="S83" s="60">
        <f ca="1">AVERAGE(OFFSET($R$3,0,0,'Données projet'!$E$9+1,1))-AVERAGE(OFFSET($H$3,0,0,'Données projet'!$E$9+1,1))</f>
        <v>469.67944008675863</v>
      </c>
      <c r="T83" s="60">
        <f t="shared" si="88"/>
        <v>266.11908070867173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0">
        <f t="shared" si="59"/>
        <v>887.57547935422576</v>
      </c>
      <c r="AN83" s="60">
        <f ca="1">AVERAGE(OFFSET($AM$3,0,0,'Données projet'!$E$10+1,1))-AVERAGE(OFFSET($H$3,0,0,'Données projet'!$E$10+1,1))</f>
        <v>516.30971934066179</v>
      </c>
      <c r="AO83" s="60">
        <f t="shared" si="90"/>
        <v>290.84286505723571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285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284.99999999999983</v>
      </c>
      <c r="BE83" s="14">
        <f>BD83*VLOOKUP('Données projet'!$B$11,Paramètres!$A$1:$I$89,3,0)*VLOOKUP('Données projet'!$B$11,Paramètres!$A$1:$I$89,5,0)</f>
        <v>208.96199999999985</v>
      </c>
      <c r="BF83" s="14">
        <f t="shared" si="91"/>
        <v>51.708691209356381</v>
      </c>
      <c r="BG83" s="22">
        <f t="shared" si="61"/>
        <v>454.00145385629543</v>
      </c>
      <c r="BH83" s="60">
        <f t="shared" si="62"/>
        <v>724.73006549498155</v>
      </c>
      <c r="BI83" s="60">
        <f ca="1">AVERAGE(OFFSET($BH$3,0,0,'Données projet'!$E$11+1,1))-AVERAGE(OFFSET($H$3,0,0,'Données projet'!$E$11+1,1))</f>
        <v>314.75847268052081</v>
      </c>
      <c r="BJ83" s="60">
        <f t="shared" si="92"/>
        <v>337.77701316755338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8.9320512820512761</v>
      </c>
      <c r="BY83" s="13">
        <f>IF('Données projet'!$A$114&gt;35,BY82+BX83-CG82,IF(A83&lt;'Données projet'!$A$114,$BV$205^A83,IF(A83='Données projet'!$A$114,'Données projet'!$B$114,BY82+BX83-CG82)))</f>
        <v>319.77564102564065</v>
      </c>
      <c r="BZ83" s="14">
        <f>BY83*VLOOKUP('Données projet'!$B$12,Paramètres!$A$1:$I$89,3,0)*VLOOKUP('Données projet'!$B$12,Paramètres!$A$1:$I$89,5,0)</f>
        <v>149.65499999999983</v>
      </c>
      <c r="CA83" s="14">
        <f t="shared" si="93"/>
        <v>38.500172628917376</v>
      </c>
      <c r="CB83" s="22">
        <f t="shared" si="64"/>
        <v>327.70359232869743</v>
      </c>
      <c r="CC83" s="60">
        <f t="shared" si="65"/>
        <v>598.43220396738354</v>
      </c>
      <c r="CD83" s="60">
        <f ca="1">AVERAGE(OFFSET($CC$3,0,0,'Données projet'!$E$12+1,1))-AVERAGE(OFFSET($H$3,0,0,'Données projet'!$E$12+1,1))</f>
        <v>277.77877239988635</v>
      </c>
      <c r="CE83" s="60">
        <f t="shared" si="94"/>
        <v>164.65640238394164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0" t="e">
        <f t="shared" si="68"/>
        <v>#NUM!</v>
      </c>
      <c r="CY83" s="60">
        <f ca="1">AVERAGE(OFFSET($CX$3,0,0,'Données projet'!$E$13+1,1))-AVERAGE(OFFSET($H$3,0,0,'Données projet'!$E$13+1,1))</f>
        <v>334.26876877415839</v>
      </c>
      <c r="CZ83" s="60">
        <f t="shared" si="96"/>
        <v>465.65761854152913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378.20512820512818</v>
      </c>
      <c r="DM83" s="13">
        <f>VLOOKUP(A83,'Données projet'!$A$165:$I$185,9,0)</f>
        <v>6.0897435897435859</v>
      </c>
      <c r="DN83" s="13">
        <f t="array" ref="DN83">INDEX(DM:DM,MIN(IF(ISNUMBER(DM83:DM279),ROW(DM83:DM279),"")))</f>
        <v>6.0897435897435859</v>
      </c>
      <c r="DO83" s="13">
        <f>IF('Données projet'!$A$166&gt;35,DO82+DN83-DW82,IF(A83&lt;'Données projet'!$A$166,$DL$205^A83,IF(A83='Données projet'!$A$166,'Données projet'!$B$166,DO82+DN83-DW82)))</f>
        <v>378.20512820512823</v>
      </c>
      <c r="DP83" s="18">
        <f>DO83*VLOOKUP('Données projet'!$B$14,Paramètres!$A$1:$I$89,3,0)*VLOOKUP('Données projet'!$B$14,Paramètres!$A$1:$I$89,5,0)</f>
        <v>241.9</v>
      </c>
      <c r="DQ83" s="14">
        <f t="shared" si="97"/>
        <v>58.848136938488487</v>
      </c>
      <c r="DR83" s="22">
        <f t="shared" si="70"/>
        <v>523.80300516786735</v>
      </c>
      <c r="DS83" s="60">
        <f t="shared" si="71"/>
        <v>794.53161680655353</v>
      </c>
      <c r="DT83" s="60">
        <f ca="1">AVERAGE(OFFSET($DS$3,0,0,'Données projet'!$E$14+1,1))-AVERAGE(OFFSET($H$3,0,0,'Données projet'!$E$14+1,1))</f>
        <v>285.09561428624352</v>
      </c>
      <c r="DU83" s="60">
        <f t="shared" si="98"/>
        <v>261.05678516705564</v>
      </c>
      <c r="DV83" s="16">
        <f>IF(ISNA(VLOOKUP(A83,'Données projet'!$A$165:$I$185,3,0)),0,VLOOKUP(A83,'Données projet'!$A$165:$I$185,3,0))</f>
        <v>4</v>
      </c>
      <c r="DW83" s="16">
        <f>IF(ISNA(VLOOKUP(A83,'Données projet'!$A$165:$I$185,4,0)),0,VLOOKUP(A83,'Données projet'!$A$165:$I$185,4,0))</f>
        <v>378.20512820512818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-1.1368683772161603E-13</v>
      </c>
      <c r="EK83" s="18">
        <f>EJ83*VLOOKUP('Données projet'!$B$15,Paramètres!$A$1:$I$89,3,0)*VLOOKUP('Données projet'!$B$15,Paramètres!$A$1:$I$89,5,0)</f>
        <v>-9.2222762759774927E-14</v>
      </c>
      <c r="EL83" s="14" t="e">
        <f t="shared" si="99"/>
        <v>#NUM!</v>
      </c>
      <c r="EM83" s="22" t="e">
        <f t="shared" si="73"/>
        <v>#NUM!</v>
      </c>
      <c r="EN83" s="60" t="e">
        <f t="shared" si="74"/>
        <v>#NUM!</v>
      </c>
      <c r="EO83" s="60">
        <f ca="1">AVERAGE(OFFSET($EN$3,0,0,'Données projet'!$E$15+1,1))-AVERAGE(OFFSET($H$3,0,0,'Données projet'!$E$15+1,1))</f>
        <v>272.69564942740931</v>
      </c>
      <c r="EP83" s="60">
        <f t="shared" si="100"/>
        <v>316.57989180609252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0">
        <f t="shared" si="55"/>
        <v>753.24151115717973</v>
      </c>
      <c r="S84" s="60">
        <f ca="1">AVERAGE(OFFSET($R$3,0,0,'Données projet'!$E$9+1,1))-AVERAGE(OFFSET($H$3,0,0,'Données projet'!$E$9+1,1))</f>
        <v>469.67944008675863</v>
      </c>
      <c r="T84" s="60">
        <f t="shared" si="88"/>
        <v>266.11908070867173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0">
        <f t="shared" si="59"/>
        <v>810.02443591831843</v>
      </c>
      <c r="AN84" s="60">
        <f ca="1">AVERAGE(OFFSET($AM$3,0,0,'Données projet'!$E$10+1,1))-AVERAGE(OFFSET($H$3,0,0,'Données projet'!$E$10+1,1))</f>
        <v>516.30971934066179</v>
      </c>
      <c r="AO84" s="60">
        <f t="shared" si="90"/>
        <v>290.84286505723571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-1.7053025658242404E-13</v>
      </c>
      <c r="BE84" s="14">
        <f>BD84*VLOOKUP('Données projet'!$B$11,Paramètres!$A$1:$I$89,3,0)*VLOOKUP('Données projet'!$B$11,Paramètres!$A$1:$I$89,5,0)</f>
        <v>-1.250327841262333E-13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314.75847268052081</v>
      </c>
      <c r="BJ84" s="60">
        <f t="shared" si="92"/>
        <v>337.77701316755338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>
        <f>VLOOKUP(A84,'Données projet'!$A$113:$I$133,2,0)</f>
        <v>328.7076923076923</v>
      </c>
      <c r="BW84" s="13">
        <f>VLOOKUP(A84,'Données projet'!$A$113:$I$133,9,0)</f>
        <v>8.9320512820512761</v>
      </c>
      <c r="BX84" s="13">
        <f t="array" ref="BX84">INDEX(BW:BW,MIN(IF(ISNUMBER(BW84:BW280),ROW(BW84:BW280),"")))</f>
        <v>8.9320512820512761</v>
      </c>
      <c r="BY84" s="13">
        <f>IF('Données projet'!$A$114&gt;35,BY83+BX84-CG83,IF(A84&lt;'Données projet'!$A$114,$BV$205^A84,IF(A84='Données projet'!$A$114,'Données projet'!$B$114,BY83+BX84-CG83)))</f>
        <v>328.7076923076919</v>
      </c>
      <c r="BZ84" s="14">
        <f>BY84*VLOOKUP('Données projet'!$B$12,Paramètres!$A$1:$I$89,3,0)*VLOOKUP('Données projet'!$B$12,Paramètres!$A$1:$I$89,5,0)</f>
        <v>153.83519999999982</v>
      </c>
      <c r="CA84" s="14">
        <f t="shared" si="93"/>
        <v>39.44886382269889</v>
      </c>
      <c r="CB84" s="22">
        <f t="shared" si="64"/>
        <v>336.63641115786692</v>
      </c>
      <c r="CC84" s="60">
        <f t="shared" si="65"/>
        <v>607.75716418136835</v>
      </c>
      <c r="CD84" s="60">
        <f ca="1">AVERAGE(OFFSET($CC$3,0,0,'Données projet'!$E$12+1,1))-AVERAGE(OFFSET($H$3,0,0,'Données projet'!$E$12+1,1))</f>
        <v>277.77877239988635</v>
      </c>
      <c r="CE84" s="60">
        <f t="shared" si="94"/>
        <v>164.65640238394164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0" t="e">
        <f t="shared" si="68"/>
        <v>#NUM!</v>
      </c>
      <c r="CY84" s="60">
        <f ca="1">AVERAGE(OFFSET($CX$3,0,0,'Données projet'!$E$13+1,1))-AVERAGE(OFFSET($H$3,0,0,'Données projet'!$E$13+1,1))</f>
        <v>334.26876877415839</v>
      </c>
      <c r="CZ84" s="60">
        <f t="shared" si="96"/>
        <v>465.65761854152913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5.6843418860808015E-14</v>
      </c>
      <c r="DP84" s="18">
        <f>DO84*VLOOKUP('Données projet'!$B$14,Paramètres!$A$1:$I$89,3,0)*VLOOKUP('Données projet'!$B$14,Paramètres!$A$1:$I$89,5,0)</f>
        <v>3.6357050703372803E-14</v>
      </c>
      <c r="DQ84" s="14">
        <f t="shared" si="97"/>
        <v>6.1445232567661395E-13</v>
      </c>
      <c r="DR84" s="22">
        <f t="shared" si="70"/>
        <v>1.1334929971951436E-12</v>
      </c>
      <c r="DS84" s="60">
        <f t="shared" si="71"/>
        <v>271.12075302350257</v>
      </c>
      <c r="DT84" s="60">
        <f ca="1">AVERAGE(OFFSET($DS$3,0,0,'Données projet'!$E$14+1,1))-AVERAGE(OFFSET($H$3,0,0,'Données projet'!$E$14+1,1))</f>
        <v>285.09561428624352</v>
      </c>
      <c r="DU84" s="60">
        <f t="shared" si="98"/>
        <v>261.05678516705564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-1.1368683772161603E-13</v>
      </c>
      <c r="EK84" s="18">
        <f>EJ84*VLOOKUP('Données projet'!$B$15,Paramètres!$A$1:$I$89,3,0)*VLOOKUP('Données projet'!$B$15,Paramètres!$A$1:$I$89,5,0)</f>
        <v>-9.2222762759774927E-14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272.69564942740931</v>
      </c>
      <c r="EP84" s="60">
        <f t="shared" si="100"/>
        <v>316.57989180609252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0">
        <f t="shared" si="55"/>
        <v>764.36493575445309</v>
      </c>
      <c r="S85" s="60">
        <f ca="1">AVERAGE(OFFSET($R$3,0,0,'Données projet'!$E$9+1,1))-AVERAGE(OFFSET($H$3,0,0,'Données projet'!$E$9+1,1))</f>
        <v>469.67944008675863</v>
      </c>
      <c r="T85" s="60">
        <f t="shared" si="88"/>
        <v>266.11908070867173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0">
        <f t="shared" si="59"/>
        <v>822.41558564741683</v>
      </c>
      <c r="AN85" s="60">
        <f ca="1">AVERAGE(OFFSET($AM$3,0,0,'Données projet'!$E$10+1,1))-AVERAGE(OFFSET($H$3,0,0,'Données projet'!$E$10+1,1))</f>
        <v>516.30971934066179</v>
      </c>
      <c r="AO85" s="60">
        <f t="shared" si="90"/>
        <v>290.84286505723571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-1.7053025658242404E-13</v>
      </c>
      <c r="BE85" s="14">
        <f>BD85*VLOOKUP('Données projet'!$B$11,Paramètres!$A$1:$I$89,3,0)*VLOOKUP('Données projet'!$B$11,Paramètres!$A$1:$I$89,5,0)</f>
        <v>-1.250327841262333E-13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314.75847268052081</v>
      </c>
      <c r="BJ85" s="60">
        <f t="shared" si="92"/>
        <v>337.77701316755338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9.0717948717948698</v>
      </c>
      <c r="BY85" s="13">
        <f>IF('Données projet'!$A$114&gt;35,BY84+BX85-CG84,IF(A85&lt;'Données projet'!$A$114,$BV$205^A85,IF(A85='Données projet'!$A$114,'Données projet'!$B$114,BY84+BX85-CG84)))</f>
        <v>337.77948717948675</v>
      </c>
      <c r="BZ85" s="14">
        <f>BY85*VLOOKUP('Données projet'!$B$12,Paramètres!$A$1:$I$89,3,0)*VLOOKUP('Données projet'!$B$12,Paramètres!$A$1:$I$89,5,0)</f>
        <v>158.08079999999978</v>
      </c>
      <c r="CA85" s="14">
        <f t="shared" si="93"/>
        <v>40.409330933945405</v>
      </c>
      <c r="CB85" s="22">
        <f t="shared" si="64"/>
        <v>345.70364470995446</v>
      </c>
      <c r="CC85" s="60">
        <f t="shared" si="65"/>
        <v>617.20973634194149</v>
      </c>
      <c r="CD85" s="60">
        <f ca="1">AVERAGE(OFFSET($CC$3,0,0,'Données projet'!$E$12+1,1))-AVERAGE(OFFSET($H$3,0,0,'Données projet'!$E$12+1,1))</f>
        <v>277.77877239988635</v>
      </c>
      <c r="CE85" s="60">
        <f t="shared" si="94"/>
        <v>164.65640238394164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0" t="e">
        <f t="shared" si="68"/>
        <v>#NUM!</v>
      </c>
      <c r="CY85" s="60">
        <f ca="1">AVERAGE(OFFSET($CX$3,0,0,'Données projet'!$E$13+1,1))-AVERAGE(OFFSET($H$3,0,0,'Données projet'!$E$13+1,1))</f>
        <v>334.26876877415839</v>
      </c>
      <c r="CZ85" s="60">
        <f t="shared" si="96"/>
        <v>465.65761854152913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5.6843418860808015E-14</v>
      </c>
      <c r="DP85" s="18">
        <f>DO85*VLOOKUP('Données projet'!$B$14,Paramètres!$A$1:$I$89,3,0)*VLOOKUP('Données projet'!$B$14,Paramètres!$A$1:$I$89,5,0)</f>
        <v>3.6357050703372803E-14</v>
      </c>
      <c r="DQ85" s="14">
        <f t="shared" si="97"/>
        <v>6.1445232567661395E-13</v>
      </c>
      <c r="DR85" s="22">
        <f t="shared" si="70"/>
        <v>1.1334929971951436E-12</v>
      </c>
      <c r="DS85" s="60">
        <f t="shared" si="71"/>
        <v>271.50609163198817</v>
      </c>
      <c r="DT85" s="60">
        <f ca="1">AVERAGE(OFFSET($DS$3,0,0,'Données projet'!$E$14+1,1))-AVERAGE(OFFSET($H$3,0,0,'Données projet'!$E$14+1,1))</f>
        <v>285.09561428624352</v>
      </c>
      <c r="DU85" s="60">
        <f t="shared" si="98"/>
        <v>261.05678516705564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-1.1368683772161603E-13</v>
      </c>
      <c r="EK85" s="18">
        <f>EJ85*VLOOKUP('Données projet'!$B$15,Paramètres!$A$1:$I$89,3,0)*VLOOKUP('Données projet'!$B$15,Paramètres!$A$1:$I$89,5,0)</f>
        <v>-9.2222762759774927E-14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272.69564942740931</v>
      </c>
      <c r="EP85" s="60">
        <f t="shared" si="100"/>
        <v>316.57989180609252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0">
        <f t="shared" si="55"/>
        <v>775.47671683736985</v>
      </c>
      <c r="S86" s="60">
        <f ca="1">AVERAGE(OFFSET($R$3,0,0,'Données projet'!$E$9+1,1))-AVERAGE(OFFSET($H$3,0,0,'Données projet'!$E$9+1,1))</f>
        <v>469.67944008675863</v>
      </c>
      <c r="T86" s="60">
        <f t="shared" si="88"/>
        <v>266.11908070867173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0">
        <f t="shared" si="59"/>
        <v>834.79456661162237</v>
      </c>
      <c r="AN86" s="60">
        <f ca="1">AVERAGE(OFFSET($AM$3,0,0,'Données projet'!$E$10+1,1))-AVERAGE(OFFSET($H$3,0,0,'Données projet'!$E$10+1,1))</f>
        <v>516.30971934066179</v>
      </c>
      <c r="AO86" s="60">
        <f t="shared" si="90"/>
        <v>290.84286505723571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-1.7053025658242404E-13</v>
      </c>
      <c r="BE86" s="14">
        <f>BD86*VLOOKUP('Données projet'!$B$11,Paramètres!$A$1:$I$89,3,0)*VLOOKUP('Données projet'!$B$11,Paramètres!$A$1:$I$89,5,0)</f>
        <v>-1.250327841262333E-13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314.75847268052081</v>
      </c>
      <c r="BJ86" s="60">
        <f t="shared" si="92"/>
        <v>337.77701316755338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9.0717948717948698</v>
      </c>
      <c r="BY86" s="13">
        <f>IF('Données projet'!$A$114&gt;35,BY85+BX86-CG85,IF(A86&lt;'Données projet'!$A$114,$BV$205^A86,IF(A86='Données projet'!$A$114,'Données projet'!$B$114,BY85+BX86-CG85)))</f>
        <v>346.8512820512816</v>
      </c>
      <c r="BZ86" s="14">
        <f>BY86*VLOOKUP('Données projet'!$B$12,Paramètres!$A$1:$I$89,3,0)*VLOOKUP('Données projet'!$B$12,Paramètres!$A$1:$I$89,5,0)</f>
        <v>162.32639999999978</v>
      </c>
      <c r="CA86" s="14">
        <f t="shared" si="93"/>
        <v>41.366799766899412</v>
      </c>
      <c r="CB86" s="22">
        <f t="shared" si="64"/>
        <v>354.76565626068276</v>
      </c>
      <c r="CC86" s="60">
        <f t="shared" si="65"/>
        <v>626.6504017377863</v>
      </c>
      <c r="CD86" s="60">
        <f ca="1">AVERAGE(OFFSET($CC$3,0,0,'Données projet'!$E$12+1,1))-AVERAGE(OFFSET($H$3,0,0,'Données projet'!$E$12+1,1))</f>
        <v>277.77877239988635</v>
      </c>
      <c r="CE86" s="60">
        <f t="shared" si="94"/>
        <v>164.65640238394164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0" t="e">
        <f t="shared" si="68"/>
        <v>#NUM!</v>
      </c>
      <c r="CY86" s="60">
        <f ca="1">AVERAGE(OFFSET($CX$3,0,0,'Données projet'!$E$13+1,1))-AVERAGE(OFFSET($H$3,0,0,'Données projet'!$E$13+1,1))</f>
        <v>334.26876877415839</v>
      </c>
      <c r="CZ86" s="60">
        <f t="shared" si="96"/>
        <v>465.65761854152913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5.6843418860808015E-14</v>
      </c>
      <c r="DP86" s="18">
        <f>DO86*VLOOKUP('Données projet'!$B$14,Paramètres!$A$1:$I$89,3,0)*VLOOKUP('Données projet'!$B$14,Paramètres!$A$1:$I$89,5,0)</f>
        <v>3.6357050703372803E-14</v>
      </c>
      <c r="DQ86" s="14">
        <f t="shared" si="97"/>
        <v>6.1445232567661395E-13</v>
      </c>
      <c r="DR86" s="22">
        <f t="shared" si="70"/>
        <v>1.1334929971951436E-12</v>
      </c>
      <c r="DS86" s="60">
        <f t="shared" si="71"/>
        <v>271.88474547710462</v>
      </c>
      <c r="DT86" s="60">
        <f ca="1">AVERAGE(OFFSET($DS$3,0,0,'Données projet'!$E$14+1,1))-AVERAGE(OFFSET($H$3,0,0,'Données projet'!$E$14+1,1))</f>
        <v>285.09561428624352</v>
      </c>
      <c r="DU86" s="60">
        <f t="shared" si="98"/>
        <v>261.05678516705564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-1.1368683772161603E-13</v>
      </c>
      <c r="EK86" s="18">
        <f>EJ86*VLOOKUP('Données projet'!$B$15,Paramètres!$A$1:$I$89,3,0)*VLOOKUP('Données projet'!$B$15,Paramètres!$A$1:$I$89,5,0)</f>
        <v>-9.2222762759774927E-14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272.69564942740931</v>
      </c>
      <c r="EP86" s="60">
        <f t="shared" si="100"/>
        <v>316.57989180609252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0">
        <f t="shared" si="55"/>
        <v>786.57709095949235</v>
      </c>
      <c r="S87" s="60">
        <f ca="1">AVERAGE(OFFSET($R$3,0,0,'Données projet'!$E$9+1,1))-AVERAGE(OFFSET($H$3,0,0,'Données projet'!$E$9+1,1))</f>
        <v>469.67944008675863</v>
      </c>
      <c r="T87" s="60">
        <f t="shared" si="88"/>
        <v>266.11908070867173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0">
        <f t="shared" si="59"/>
        <v>847.16162813764129</v>
      </c>
      <c r="AN87" s="60">
        <f ca="1">AVERAGE(OFFSET($AM$3,0,0,'Données projet'!$E$10+1,1))-AVERAGE(OFFSET($H$3,0,0,'Données projet'!$E$10+1,1))</f>
        <v>516.30971934066179</v>
      </c>
      <c r="AO87" s="60">
        <f t="shared" si="90"/>
        <v>290.84286505723571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-1.7053025658242404E-13</v>
      </c>
      <c r="BE87" s="14">
        <f>BD87*VLOOKUP('Données projet'!$B$11,Paramètres!$A$1:$I$89,3,0)*VLOOKUP('Données projet'!$B$11,Paramètres!$A$1:$I$89,5,0)</f>
        <v>-1.250327841262333E-13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314.75847268052081</v>
      </c>
      <c r="BJ87" s="60">
        <f t="shared" si="92"/>
        <v>337.77701316755338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9.0717948717948698</v>
      </c>
      <c r="BY87" s="13">
        <f>IF('Données projet'!$A$114&gt;35,BY86+BX87-CG86,IF(A87&lt;'Données projet'!$A$114,$BV$205^A87,IF(A87='Données projet'!$A$114,'Données projet'!$B$114,BY86+BX87-CG86)))</f>
        <v>355.92307692307645</v>
      </c>
      <c r="BZ87" s="14">
        <f>BY87*VLOOKUP('Données projet'!$B$12,Paramètres!$A$1:$I$89,3,0)*VLOOKUP('Données projet'!$B$12,Paramètres!$A$1:$I$89,5,0)</f>
        <v>166.57199999999978</v>
      </c>
      <c r="CA87" s="14">
        <f t="shared" si="93"/>
        <v>42.321357755693079</v>
      </c>
      <c r="CB87" s="22">
        <f t="shared" si="64"/>
        <v>363.82259809116505</v>
      </c>
      <c r="CC87" s="60">
        <f t="shared" si="65"/>
        <v>636.07942861571541</v>
      </c>
      <c r="CD87" s="60">
        <f ca="1">AVERAGE(OFFSET($CC$3,0,0,'Données projet'!$E$12+1,1))-AVERAGE(OFFSET($H$3,0,0,'Données projet'!$E$12+1,1))</f>
        <v>277.77877239988635</v>
      </c>
      <c r="CE87" s="60">
        <f t="shared" si="94"/>
        <v>164.65640238394164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0" t="e">
        <f t="shared" si="68"/>
        <v>#NUM!</v>
      </c>
      <c r="CY87" s="60">
        <f ca="1">AVERAGE(OFFSET($CX$3,0,0,'Données projet'!$E$13+1,1))-AVERAGE(OFFSET($H$3,0,0,'Données projet'!$E$13+1,1))</f>
        <v>334.26876877415839</v>
      </c>
      <c r="CZ87" s="60">
        <f t="shared" si="96"/>
        <v>465.65761854152913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5.6843418860808015E-14</v>
      </c>
      <c r="DP87" s="18">
        <f>DO87*VLOOKUP('Données projet'!$B$14,Paramètres!$A$1:$I$89,3,0)*VLOOKUP('Données projet'!$B$14,Paramètres!$A$1:$I$89,5,0)</f>
        <v>3.6357050703372803E-14</v>
      </c>
      <c r="DQ87" s="14">
        <f t="shared" si="97"/>
        <v>6.1445232567661395E-13</v>
      </c>
      <c r="DR87" s="22">
        <f t="shared" si="70"/>
        <v>1.1334929971951436E-12</v>
      </c>
      <c r="DS87" s="60">
        <f t="shared" si="71"/>
        <v>272.25683052455145</v>
      </c>
      <c r="DT87" s="60">
        <f ca="1">AVERAGE(OFFSET($DS$3,0,0,'Données projet'!$E$14+1,1))-AVERAGE(OFFSET($H$3,0,0,'Données projet'!$E$14+1,1))</f>
        <v>285.09561428624352</v>
      </c>
      <c r="DU87" s="60">
        <f t="shared" si="98"/>
        <v>261.05678516705564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-1.1368683772161603E-13</v>
      </c>
      <c r="EK87" s="18">
        <f>EJ87*VLOOKUP('Données projet'!$B$15,Paramètres!$A$1:$I$89,3,0)*VLOOKUP('Données projet'!$B$15,Paramètres!$A$1:$I$89,5,0)</f>
        <v>-9.2222762759774927E-14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272.69564942740931</v>
      </c>
      <c r="EP87" s="60">
        <f t="shared" si="100"/>
        <v>316.57989180609252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0">
        <f t="shared" si="55"/>
        <v>797.66628722155497</v>
      </c>
      <c r="S88" s="60">
        <f ca="1">AVERAGE(OFFSET($R$3,0,0,'Données projet'!$E$9+1,1))-AVERAGE(OFFSET($H$3,0,0,'Données projet'!$E$9+1,1))</f>
        <v>469.67944008675863</v>
      </c>
      <c r="T88" s="60">
        <f t="shared" si="88"/>
        <v>266.11908070867173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0">
        <f t="shared" si="59"/>
        <v>859.51701152301052</v>
      </c>
      <c r="AN88" s="60">
        <f ca="1">AVERAGE(OFFSET($AM$3,0,0,'Données projet'!$E$10+1,1))-AVERAGE(OFFSET($H$3,0,0,'Données projet'!$E$10+1,1))</f>
        <v>516.30971934066179</v>
      </c>
      <c r="AO88" s="60">
        <f t="shared" si="90"/>
        <v>290.84286505723571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-1.7053025658242404E-13</v>
      </c>
      <c r="BE88" s="14">
        <f>BD88*VLOOKUP('Données projet'!$B$11,Paramètres!$A$1:$I$89,3,0)*VLOOKUP('Données projet'!$B$11,Paramètres!$A$1:$I$89,5,0)</f>
        <v>-1.250327841262333E-13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314.75847268052081</v>
      </c>
      <c r="BJ88" s="60">
        <f t="shared" si="92"/>
        <v>337.77701316755338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9.0717948717948698</v>
      </c>
      <c r="BY88" s="13">
        <f>IF('Données projet'!$A$114&gt;35,BY87+BX88-CG87,IF(A88&lt;'Données projet'!$A$114,$BV$205^A88,IF(A88='Données projet'!$A$114,'Données projet'!$B$114,BY87+BX88-CG87)))</f>
        <v>364.9948717948713</v>
      </c>
      <c r="BZ88" s="14">
        <f>BY88*VLOOKUP('Données projet'!$B$12,Paramètres!$A$1:$I$89,3,0)*VLOOKUP('Données projet'!$B$12,Paramètres!$A$1:$I$89,5,0)</f>
        <v>170.81759999999977</v>
      </c>
      <c r="CA88" s="14">
        <f t="shared" si="93"/>
        <v>43.273087623453243</v>
      </c>
      <c r="CB88" s="22">
        <f t="shared" si="64"/>
        <v>372.87461427751396</v>
      </c>
      <c r="CC88" s="60">
        <f t="shared" si="65"/>
        <v>645.49707500579552</v>
      </c>
      <c r="CD88" s="60">
        <f ca="1">AVERAGE(OFFSET($CC$3,0,0,'Données projet'!$E$12+1,1))-AVERAGE(OFFSET($H$3,0,0,'Données projet'!$E$12+1,1))</f>
        <v>277.77877239988635</v>
      </c>
      <c r="CE88" s="60">
        <f t="shared" si="94"/>
        <v>164.65640238394164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0" t="e">
        <f t="shared" si="68"/>
        <v>#NUM!</v>
      </c>
      <c r="CY88" s="60">
        <f ca="1">AVERAGE(OFFSET($CX$3,0,0,'Données projet'!$E$13+1,1))-AVERAGE(OFFSET($H$3,0,0,'Données projet'!$E$13+1,1))</f>
        <v>334.26876877415839</v>
      </c>
      <c r="CZ88" s="60">
        <f t="shared" si="96"/>
        <v>465.65761854152913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5.6843418860808015E-14</v>
      </c>
      <c r="DP88" s="18">
        <f>DO88*VLOOKUP('Données projet'!$B$14,Paramètres!$A$1:$I$89,3,0)*VLOOKUP('Données projet'!$B$14,Paramètres!$A$1:$I$89,5,0)</f>
        <v>3.6357050703372803E-14</v>
      </c>
      <c r="DQ88" s="14">
        <f t="shared" si="97"/>
        <v>6.1445232567661395E-13</v>
      </c>
      <c r="DR88" s="22">
        <f t="shared" si="70"/>
        <v>1.1334929971951436E-12</v>
      </c>
      <c r="DS88" s="60">
        <f t="shared" si="71"/>
        <v>272.62246072828265</v>
      </c>
      <c r="DT88" s="60">
        <f ca="1">AVERAGE(OFFSET($DS$3,0,0,'Données projet'!$E$14+1,1))-AVERAGE(OFFSET($H$3,0,0,'Données projet'!$E$14+1,1))</f>
        <v>285.09561428624352</v>
      </c>
      <c r="DU88" s="60">
        <f t="shared" si="98"/>
        <v>261.05678516705564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-1.1368683772161603E-13</v>
      </c>
      <c r="EK88" s="18">
        <f>EJ88*VLOOKUP('Données projet'!$B$15,Paramètres!$A$1:$I$89,3,0)*VLOOKUP('Données projet'!$B$15,Paramètres!$A$1:$I$89,5,0)</f>
        <v>-9.2222762759774927E-14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272.69564942740931</v>
      </c>
      <c r="EP88" s="60">
        <f t="shared" si="100"/>
        <v>316.57989180609252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0">
        <f t="shared" si="55"/>
        <v>808.7445276603537</v>
      </c>
      <c r="S89" s="60">
        <f ca="1">AVERAGE(OFFSET($R$3,0,0,'Données projet'!$E$9+1,1))-AVERAGE(OFFSET($H$3,0,0,'Données projet'!$E$9+1,1))</f>
        <v>469.67944008675863</v>
      </c>
      <c r="T89" s="60">
        <f t="shared" si="88"/>
        <v>266.11908070867173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0">
        <f t="shared" si="59"/>
        <v>871.86095046248442</v>
      </c>
      <c r="AN89" s="60">
        <f ca="1">AVERAGE(OFFSET($AM$3,0,0,'Données projet'!$E$10+1,1))-AVERAGE(OFFSET($H$3,0,0,'Données projet'!$E$10+1,1))</f>
        <v>516.30971934066179</v>
      </c>
      <c r="AO89" s="60">
        <f t="shared" si="90"/>
        <v>290.84286505723571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-1.7053025658242404E-13</v>
      </c>
      <c r="BE89" s="14">
        <f>BD89*VLOOKUP('Données projet'!$B$11,Paramètres!$A$1:$I$89,3,0)*VLOOKUP('Données projet'!$B$11,Paramètres!$A$1:$I$89,5,0)</f>
        <v>-1.250327841262333E-13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314.75847268052081</v>
      </c>
      <c r="BJ89" s="60">
        <f t="shared" si="92"/>
        <v>337.77701316755338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9.0717948717948698</v>
      </c>
      <c r="BY89" s="13">
        <f>IF('Données projet'!$A$114&gt;35,BY88+BX89-CG88,IF(A89&lt;'Données projet'!$A$114,$BV$205^A89,IF(A89='Données projet'!$A$114,'Données projet'!$B$114,BY88+BX89-CG88)))</f>
        <v>374.06666666666615</v>
      </c>
      <c r="BZ89" s="14">
        <f>BY89*VLOOKUP('Données projet'!$B$12,Paramètres!$A$1:$I$89,3,0)*VLOOKUP('Données projet'!$B$12,Paramètres!$A$1:$I$89,5,0)</f>
        <v>175.06319999999977</v>
      </c>
      <c r="CA89" s="14">
        <f t="shared" si="93"/>
        <v>44.222067746824685</v>
      </c>
      <c r="CB89" s="22">
        <f t="shared" si="64"/>
        <v>381.92184132571924</v>
      </c>
      <c r="CC89" s="60">
        <f t="shared" si="65"/>
        <v>654.90358939112389</v>
      </c>
      <c r="CD89" s="60">
        <f ca="1">AVERAGE(OFFSET($CC$3,0,0,'Données projet'!$E$12+1,1))-AVERAGE(OFFSET($H$3,0,0,'Données projet'!$E$12+1,1))</f>
        <v>277.77877239988635</v>
      </c>
      <c r="CE89" s="60">
        <f t="shared" si="94"/>
        <v>164.65640238394164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0" t="e">
        <f t="shared" si="68"/>
        <v>#NUM!</v>
      </c>
      <c r="CY89" s="60">
        <f ca="1">AVERAGE(OFFSET($CX$3,0,0,'Données projet'!$E$13+1,1))-AVERAGE(OFFSET($H$3,0,0,'Données projet'!$E$13+1,1))</f>
        <v>334.26876877415839</v>
      </c>
      <c r="CZ89" s="60">
        <f t="shared" si="96"/>
        <v>465.65761854152913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5.6843418860808015E-14</v>
      </c>
      <c r="DP89" s="18">
        <f>DO89*VLOOKUP('Données projet'!$B$14,Paramètres!$A$1:$I$89,3,0)*VLOOKUP('Données projet'!$B$14,Paramètres!$A$1:$I$89,5,0)</f>
        <v>3.6357050703372803E-14</v>
      </c>
      <c r="DQ89" s="14">
        <f t="shared" si="97"/>
        <v>6.1445232567661395E-13</v>
      </c>
      <c r="DR89" s="22">
        <f t="shared" si="70"/>
        <v>1.1334929971951436E-12</v>
      </c>
      <c r="DS89" s="60">
        <f t="shared" si="71"/>
        <v>272.98174806540584</v>
      </c>
      <c r="DT89" s="60">
        <f ca="1">AVERAGE(OFFSET($DS$3,0,0,'Données projet'!$E$14+1,1))-AVERAGE(OFFSET($H$3,0,0,'Données projet'!$E$14+1,1))</f>
        <v>285.09561428624352</v>
      </c>
      <c r="DU89" s="60">
        <f t="shared" si="98"/>
        <v>261.05678516705564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-1.1368683772161603E-13</v>
      </c>
      <c r="EK89" s="18">
        <f>EJ89*VLOOKUP('Données projet'!$B$15,Paramètres!$A$1:$I$89,3,0)*VLOOKUP('Données projet'!$B$15,Paramètres!$A$1:$I$89,5,0)</f>
        <v>-9.2222762759774927E-14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272.69564942740931</v>
      </c>
      <c r="EP89" s="60">
        <f t="shared" si="100"/>
        <v>316.57989180609252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0">
        <f t="shared" si="55"/>
        <v>819.8120276072284</v>
      </c>
      <c r="S90" s="60">
        <f ca="1">AVERAGE(OFFSET($R$3,0,0,'Données projet'!$E$9+1,1))-AVERAGE(OFFSET($H$3,0,0,'Données projet'!$E$9+1,1))</f>
        <v>469.67944008675863</v>
      </c>
      <c r="T90" s="60">
        <f t="shared" si="88"/>
        <v>266.11908070867173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0">
        <f t="shared" si="59"/>
        <v>884.19367144085516</v>
      </c>
      <c r="AN90" s="60">
        <f ca="1">AVERAGE(OFFSET($AM$3,0,0,'Données projet'!$E$10+1,1))-AVERAGE(OFFSET($H$3,0,0,'Données projet'!$E$10+1,1))</f>
        <v>516.30971934066179</v>
      </c>
      <c r="AO90" s="60">
        <f t="shared" si="90"/>
        <v>290.84286505723571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-1.7053025658242404E-13</v>
      </c>
      <c r="BE90" s="14">
        <f>BD90*VLOOKUP('Données projet'!$B$11,Paramètres!$A$1:$I$89,3,0)*VLOOKUP('Données projet'!$B$11,Paramètres!$A$1:$I$89,5,0)</f>
        <v>-1.250327841262333E-13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314.75847268052081</v>
      </c>
      <c r="BJ90" s="60">
        <f t="shared" si="92"/>
        <v>337.77701316755338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>
        <f>VLOOKUP(A90,'Données projet'!$A$113:$I$133,2,0)</f>
        <v>383.13846153846151</v>
      </c>
      <c r="BW90" s="13">
        <f>VLOOKUP(A90,'Données projet'!$A$113:$I$133,9,0)</f>
        <v>9.0717948717948698</v>
      </c>
      <c r="BX90" s="13">
        <f t="array" ref="BX90">INDEX(BW:BW,MIN(IF(ISNUMBER(BW90:BW286),ROW(BW90:BW286),"")))</f>
        <v>9.0717948717948698</v>
      </c>
      <c r="BY90" s="13">
        <f>IF('Données projet'!$A$114&gt;35,BY89+BX90-CG89,IF(A90&lt;'Données projet'!$A$114,$BV$205^A90,IF(A90='Données projet'!$A$114,'Données projet'!$B$114,BY89+BX90-CG89)))</f>
        <v>383.138461538461</v>
      </c>
      <c r="BZ90" s="14">
        <f>BY90*VLOOKUP('Données projet'!$B$12,Paramètres!$A$1:$I$89,3,0)*VLOOKUP('Données projet'!$B$12,Paramètres!$A$1:$I$89,5,0)</f>
        <v>179.30879999999974</v>
      </c>
      <c r="CA90" s="14">
        <f t="shared" si="93"/>
        <v>45.168372484136519</v>
      </c>
      <c r="CB90" s="22">
        <f t="shared" si="64"/>
        <v>390.96440874320393</v>
      </c>
      <c r="CC90" s="60">
        <f t="shared" si="65"/>
        <v>664.29921131367882</v>
      </c>
      <c r="CD90" s="60">
        <f ca="1">AVERAGE(OFFSET($CC$3,0,0,'Données projet'!$E$12+1,1))-AVERAGE(OFFSET($H$3,0,0,'Données projet'!$E$12+1,1))</f>
        <v>277.77877239988635</v>
      </c>
      <c r="CE90" s="60">
        <f t="shared" si="94"/>
        <v>164.65640238394164</v>
      </c>
      <c r="CF90" s="16">
        <f>IF(ISNA(VLOOKUP(A90,'Données projet'!$A$113:$I$133,3,0)),0,VLOOKUP(A90,'Données projet'!$A$113:$I$133,3,0))</f>
        <v>4</v>
      </c>
      <c r="CG90" s="16">
        <f>IF(ISNA(VLOOKUP(A90,'Données projet'!$A$113:$I$133,4,0)),0,VLOOKUP(A90,'Données projet'!$A$113:$I$133,4,0))</f>
        <v>82.938461538461524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0" t="e">
        <f t="shared" si="68"/>
        <v>#NUM!</v>
      </c>
      <c r="CY90" s="60">
        <f ca="1">AVERAGE(OFFSET($CX$3,0,0,'Données projet'!$E$13+1,1))-AVERAGE(OFFSET($H$3,0,0,'Données projet'!$E$13+1,1))</f>
        <v>334.26876877415839</v>
      </c>
      <c r="CZ90" s="60">
        <f t="shared" si="96"/>
        <v>465.65761854152913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5.6843418860808015E-14</v>
      </c>
      <c r="DP90" s="18">
        <f>DO90*VLOOKUP('Données projet'!$B$14,Paramètres!$A$1:$I$89,3,0)*VLOOKUP('Données projet'!$B$14,Paramètres!$A$1:$I$89,5,0)</f>
        <v>3.6357050703372803E-14</v>
      </c>
      <c r="DQ90" s="14">
        <f t="shared" si="97"/>
        <v>6.1445232567661395E-13</v>
      </c>
      <c r="DR90" s="22">
        <f t="shared" si="70"/>
        <v>1.1334929971951436E-12</v>
      </c>
      <c r="DS90" s="60">
        <f t="shared" si="71"/>
        <v>273.33480257047597</v>
      </c>
      <c r="DT90" s="60">
        <f ca="1">AVERAGE(OFFSET($DS$3,0,0,'Données projet'!$E$14+1,1))-AVERAGE(OFFSET($H$3,0,0,'Données projet'!$E$14+1,1))</f>
        <v>285.09561428624352</v>
      </c>
      <c r="DU90" s="60">
        <f t="shared" si="98"/>
        <v>261.05678516705564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-1.1368683772161603E-13</v>
      </c>
      <c r="EK90" s="18">
        <f>EJ90*VLOOKUP('Données projet'!$B$15,Paramètres!$A$1:$I$89,3,0)*VLOOKUP('Données projet'!$B$15,Paramètres!$A$1:$I$89,5,0)</f>
        <v>-9.2222762759774927E-14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272.69564942740931</v>
      </c>
      <c r="EP90" s="60">
        <f t="shared" si="100"/>
        <v>316.57989180609252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0">
        <f t="shared" si="55"/>
        <v>830.86899601920925</v>
      </c>
      <c r="S91" s="60">
        <f ca="1">AVERAGE(OFFSET($R$3,0,0,'Données projet'!$E$9+1,1))-AVERAGE(OFFSET($H$3,0,0,'Données projet'!$E$9+1,1))</f>
        <v>469.67944008675863</v>
      </c>
      <c r="T91" s="60">
        <f t="shared" si="88"/>
        <v>266.11908070867173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0">
        <f t="shared" si="59"/>
        <v>896.51539409560598</v>
      </c>
      <c r="AN91" s="60">
        <f ca="1">AVERAGE(OFFSET($AM$3,0,0,'Données projet'!$E$10+1,1))-AVERAGE(OFFSET($H$3,0,0,'Données projet'!$E$10+1,1))</f>
        <v>516.30971934066179</v>
      </c>
      <c r="AO91" s="60">
        <f t="shared" si="90"/>
        <v>290.84286505723571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-1.7053025658242404E-13</v>
      </c>
      <c r="BE91" s="14">
        <f>BD91*VLOOKUP('Données projet'!$B$11,Paramètres!$A$1:$I$89,3,0)*VLOOKUP('Données projet'!$B$11,Paramètres!$A$1:$I$89,5,0)</f>
        <v>-1.250327841262333E-13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314.75847268052081</v>
      </c>
      <c r="BJ91" s="60">
        <f t="shared" si="92"/>
        <v>337.77701316755338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8.1205128205128201</v>
      </c>
      <c r="BY91" s="13">
        <f>IF('Données projet'!$A$114&gt;35,BY90+BX91-CG90,IF(A91&lt;'Données projet'!$A$114,$BV$205^A91,IF(A91='Données projet'!$A$114,'Données projet'!$B$114,BY90+BX91-CG90)))</f>
        <v>308.32051282051231</v>
      </c>
      <c r="BZ91" s="14">
        <f>BY91*VLOOKUP('Données projet'!$B$12,Paramètres!$A$1:$I$89,3,0)*VLOOKUP('Données projet'!$B$12,Paramètres!$A$1:$I$89,5,0)</f>
        <v>144.29399999999976</v>
      </c>
      <c r="CA91" s="14">
        <f t="shared" si="93"/>
        <v>37.278964348289335</v>
      </c>
      <c r="CB91" s="22">
        <f t="shared" si="64"/>
        <v>316.23957957327008</v>
      </c>
      <c r="CC91" s="60">
        <f t="shared" si="65"/>
        <v>589.92131194246372</v>
      </c>
      <c r="CD91" s="60">
        <f ca="1">AVERAGE(OFFSET($CC$3,0,0,'Données projet'!$E$12+1,1))-AVERAGE(OFFSET($H$3,0,0,'Données projet'!$E$12+1,1))</f>
        <v>277.77877239988635</v>
      </c>
      <c r="CE91" s="60">
        <f t="shared" si="94"/>
        <v>164.65640238394164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0" t="e">
        <f t="shared" si="68"/>
        <v>#NUM!</v>
      </c>
      <c r="CY91" s="60">
        <f ca="1">AVERAGE(OFFSET($CX$3,0,0,'Données projet'!$E$13+1,1))-AVERAGE(OFFSET($H$3,0,0,'Données projet'!$E$13+1,1))</f>
        <v>334.26876877415839</v>
      </c>
      <c r="CZ91" s="60">
        <f t="shared" si="96"/>
        <v>465.65761854152913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5.6843418860808015E-14</v>
      </c>
      <c r="DP91" s="18">
        <f>DO91*VLOOKUP('Données projet'!$B$14,Paramètres!$A$1:$I$89,3,0)*VLOOKUP('Données projet'!$B$14,Paramètres!$A$1:$I$89,5,0)</f>
        <v>3.6357050703372803E-14</v>
      </c>
      <c r="DQ91" s="14">
        <f t="shared" si="97"/>
        <v>6.1445232567661395E-13</v>
      </c>
      <c r="DR91" s="22">
        <f t="shared" si="70"/>
        <v>1.1334929971951436E-12</v>
      </c>
      <c r="DS91" s="60">
        <f t="shared" si="71"/>
        <v>273.68173236919483</v>
      </c>
      <c r="DT91" s="60">
        <f ca="1">AVERAGE(OFFSET($DS$3,0,0,'Données projet'!$E$14+1,1))-AVERAGE(OFFSET($H$3,0,0,'Données projet'!$E$14+1,1))</f>
        <v>285.09561428624352</v>
      </c>
      <c r="DU91" s="60">
        <f t="shared" si="98"/>
        <v>261.05678516705564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-1.1368683772161603E-13</v>
      </c>
      <c r="EK91" s="18">
        <f>EJ91*VLOOKUP('Données projet'!$B$15,Paramètres!$A$1:$I$89,3,0)*VLOOKUP('Données projet'!$B$15,Paramètres!$A$1:$I$89,5,0)</f>
        <v>-9.2222762759774927E-14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272.69564942740931</v>
      </c>
      <c r="EP91" s="60">
        <f t="shared" si="100"/>
        <v>316.57989180609252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0">
        <f t="shared" si="55"/>
        <v>841.91563578551791</v>
      </c>
      <c r="S92" s="60">
        <f ca="1">AVERAGE(OFFSET($R$3,0,0,'Données projet'!$E$9+1,1))-AVERAGE(OFFSET($H$3,0,0,'Données projet'!$E$9+1,1))</f>
        <v>469.67944008675863</v>
      </c>
      <c r="T92" s="60">
        <f t="shared" si="88"/>
        <v>266.11908070867173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0">
        <f t="shared" si="59"/>
        <v>908.82633155237204</v>
      </c>
      <c r="AN92" s="60">
        <f ca="1">AVERAGE(OFFSET($AM$3,0,0,'Données projet'!$E$10+1,1))-AVERAGE(OFFSET($H$3,0,0,'Données projet'!$E$10+1,1))</f>
        <v>516.30971934066179</v>
      </c>
      <c r="AO92" s="60">
        <f t="shared" si="90"/>
        <v>290.84286505723571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-1.7053025658242404E-13</v>
      </c>
      <c r="BE92" s="14">
        <f>BD92*VLOOKUP('Données projet'!$B$11,Paramètres!$A$1:$I$89,3,0)*VLOOKUP('Données projet'!$B$11,Paramètres!$A$1:$I$89,5,0)</f>
        <v>-1.250327841262333E-13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314.75847268052081</v>
      </c>
      <c r="BJ92" s="60">
        <f t="shared" si="92"/>
        <v>337.77701316755338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8.1205128205128201</v>
      </c>
      <c r="BY92" s="13">
        <f>IF('Données projet'!$A$114&gt;35,BY91+BX92-CG91,IF(A92&lt;'Données projet'!$A$114,$BV$205^A92,IF(A92='Données projet'!$A$114,'Données projet'!$B$114,BY91+BX92-CG91)))</f>
        <v>316.44102564102513</v>
      </c>
      <c r="BZ92" s="14">
        <f>BY92*VLOOKUP('Données projet'!$B$12,Paramètres!$A$1:$I$89,3,0)*VLOOKUP('Données projet'!$B$12,Paramètres!$A$1:$I$89,5,0)</f>
        <v>148.09439999999975</v>
      </c>
      <c r="CA92" s="14">
        <f t="shared" si="93"/>
        <v>38.145209470220848</v>
      </c>
      <c r="CB92" s="22">
        <f t="shared" si="64"/>
        <v>324.36731982730089</v>
      </c>
      <c r="CC92" s="60">
        <f t="shared" si="65"/>
        <v>598.38996353882453</v>
      </c>
      <c r="CD92" s="60">
        <f ca="1">AVERAGE(OFFSET($CC$3,0,0,'Données projet'!$E$12+1,1))-AVERAGE(OFFSET($H$3,0,0,'Données projet'!$E$12+1,1))</f>
        <v>277.77877239988635</v>
      </c>
      <c r="CE92" s="60">
        <f t="shared" si="94"/>
        <v>164.65640238394164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0" t="e">
        <f t="shared" si="68"/>
        <v>#NUM!</v>
      </c>
      <c r="CY92" s="60">
        <f ca="1">AVERAGE(OFFSET($CX$3,0,0,'Données projet'!$E$13+1,1))-AVERAGE(OFFSET($H$3,0,0,'Données projet'!$E$13+1,1))</f>
        <v>334.26876877415839</v>
      </c>
      <c r="CZ92" s="60">
        <f t="shared" si="96"/>
        <v>465.65761854152913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5.6843418860808015E-14</v>
      </c>
      <c r="DP92" s="18">
        <f>DO92*VLOOKUP('Données projet'!$B$14,Paramètres!$A$1:$I$89,3,0)*VLOOKUP('Données projet'!$B$14,Paramètres!$A$1:$I$89,5,0)</f>
        <v>3.6357050703372803E-14</v>
      </c>
      <c r="DQ92" s="14">
        <f t="shared" si="97"/>
        <v>6.1445232567661395E-13</v>
      </c>
      <c r="DR92" s="22">
        <f t="shared" si="70"/>
        <v>1.1334929971951436E-12</v>
      </c>
      <c r="DS92" s="60">
        <f t="shared" si="71"/>
        <v>274.02264371152472</v>
      </c>
      <c r="DT92" s="60">
        <f ca="1">AVERAGE(OFFSET($DS$3,0,0,'Données projet'!$E$14+1,1))-AVERAGE(OFFSET($H$3,0,0,'Données projet'!$E$14+1,1))</f>
        <v>285.09561428624352</v>
      </c>
      <c r="DU92" s="60">
        <f t="shared" si="98"/>
        <v>261.05678516705564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-1.1368683772161603E-13</v>
      </c>
      <c r="EK92" s="18">
        <f>EJ92*VLOOKUP('Données projet'!$B$15,Paramètres!$A$1:$I$89,3,0)*VLOOKUP('Données projet'!$B$15,Paramètres!$A$1:$I$89,5,0)</f>
        <v>-9.2222762759774927E-14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272.69564942740931</v>
      </c>
      <c r="EP92" s="60">
        <f t="shared" si="100"/>
        <v>316.57989180609252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0">
        <f t="shared" si="55"/>
        <v>852.95214401181579</v>
      </c>
      <c r="S93" s="60">
        <f ca="1">AVERAGE(OFFSET($R$3,0,0,'Données projet'!$E$9+1,1))-AVERAGE(OFFSET($H$3,0,0,'Données projet'!$E$9+1,1))</f>
        <v>469.67944008675863</v>
      </c>
      <c r="T93" s="60">
        <f t="shared" si="88"/>
        <v>266.11908070867173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0">
        <f t="shared" si="59"/>
        <v>921.12669073584834</v>
      </c>
      <c r="AN93" s="60">
        <f ca="1">AVERAGE(OFFSET($AM$3,0,0,'Données projet'!$E$10+1,1))-AVERAGE(OFFSET($H$3,0,0,'Données projet'!$E$10+1,1))</f>
        <v>516.30971934066179</v>
      </c>
      <c r="AO93" s="60">
        <f t="shared" si="90"/>
        <v>290.84286505723571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-1.7053025658242404E-13</v>
      </c>
      <c r="BE93" s="14">
        <f>BD93*VLOOKUP('Données projet'!$B$11,Paramètres!$A$1:$I$89,3,0)*VLOOKUP('Données projet'!$B$11,Paramètres!$A$1:$I$89,5,0)</f>
        <v>-1.250327841262333E-13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314.75847268052081</v>
      </c>
      <c r="BJ93" s="60">
        <f t="shared" si="92"/>
        <v>337.77701316755338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8.1205128205128201</v>
      </c>
      <c r="BY93" s="13">
        <f>IF('Données projet'!$A$114&gt;35,BY92+BX93-CG92,IF(A93&lt;'Données projet'!$A$114,$BV$205^A93,IF(A93='Données projet'!$A$114,'Données projet'!$B$114,BY92+BX93-CG92)))</f>
        <v>324.56153846153796</v>
      </c>
      <c r="BZ93" s="14">
        <f>BY93*VLOOKUP('Données projet'!$B$12,Paramètres!$A$1:$I$89,3,0)*VLOOKUP('Données projet'!$B$12,Paramètres!$A$1:$I$89,5,0)</f>
        <v>151.89479999999978</v>
      </c>
      <c r="CA93" s="14">
        <f t="shared" si="93"/>
        <v>39.008870628729497</v>
      </c>
      <c r="CB93" s="22">
        <f t="shared" si="64"/>
        <v>332.49055967837018</v>
      </c>
      <c r="CC93" s="60">
        <f t="shared" si="65"/>
        <v>606.84820068259785</v>
      </c>
      <c r="CD93" s="60">
        <f ca="1">AVERAGE(OFFSET($CC$3,0,0,'Données projet'!$E$12+1,1))-AVERAGE(OFFSET($H$3,0,0,'Données projet'!$E$12+1,1))</f>
        <v>277.77877239988635</v>
      </c>
      <c r="CE93" s="60">
        <f t="shared" si="94"/>
        <v>164.65640238394164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0" t="e">
        <f t="shared" si="68"/>
        <v>#NUM!</v>
      </c>
      <c r="CY93" s="60">
        <f ca="1">AVERAGE(OFFSET($CX$3,0,0,'Données projet'!$E$13+1,1))-AVERAGE(OFFSET($H$3,0,0,'Données projet'!$E$13+1,1))</f>
        <v>334.26876877415839</v>
      </c>
      <c r="CZ93" s="60">
        <f t="shared" si="96"/>
        <v>465.65761854152913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5.6843418860808015E-14</v>
      </c>
      <c r="DP93" s="18">
        <f>DO93*VLOOKUP('Données projet'!$B$14,Paramètres!$A$1:$I$89,3,0)*VLOOKUP('Données projet'!$B$14,Paramètres!$A$1:$I$89,5,0)</f>
        <v>3.6357050703372803E-14</v>
      </c>
      <c r="DQ93" s="14">
        <f t="shared" si="97"/>
        <v>6.1445232567661395E-13</v>
      </c>
      <c r="DR93" s="22">
        <f t="shared" si="70"/>
        <v>1.1334929971951436E-12</v>
      </c>
      <c r="DS93" s="60">
        <f t="shared" si="71"/>
        <v>274.35764100422881</v>
      </c>
      <c r="DT93" s="60">
        <f ca="1">AVERAGE(OFFSET($DS$3,0,0,'Données projet'!$E$14+1,1))-AVERAGE(OFFSET($H$3,0,0,'Données projet'!$E$14+1,1))</f>
        <v>285.09561428624352</v>
      </c>
      <c r="DU93" s="60">
        <f t="shared" si="98"/>
        <v>261.05678516705564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-1.1368683772161603E-13</v>
      </c>
      <c r="EK93" s="18">
        <f>EJ93*VLOOKUP('Données projet'!$B$15,Paramètres!$A$1:$I$89,3,0)*VLOOKUP('Données projet'!$B$15,Paramètres!$A$1:$I$89,5,0)</f>
        <v>-9.2222762759774927E-14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272.69564942740931</v>
      </c>
      <c r="EP93" s="60">
        <f t="shared" si="100"/>
        <v>316.57989180609252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0">
        <f t="shared" si="55"/>
        <v>782.30246727880171</v>
      </c>
      <c r="S94" s="60">
        <f ca="1">AVERAGE(OFFSET($R$3,0,0,'Données projet'!$E$9+1,1))-AVERAGE(OFFSET($H$3,0,0,'Données projet'!$E$9+1,1))</f>
        <v>469.67944008675863</v>
      </c>
      <c r="T94" s="60">
        <f t="shared" si="88"/>
        <v>266.11908070867173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0">
        <f t="shared" si="59"/>
        <v>842.09538421818615</v>
      </c>
      <c r="AN94" s="60">
        <f ca="1">AVERAGE(OFFSET($AM$3,0,0,'Données projet'!$E$10+1,1))-AVERAGE(OFFSET($H$3,0,0,'Données projet'!$E$10+1,1))</f>
        <v>516.30971934066179</v>
      </c>
      <c r="AO94" s="60">
        <f t="shared" si="90"/>
        <v>290.84286505723571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-1.250327841262333E-13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314.75847268052081</v>
      </c>
      <c r="BJ94" s="60">
        <f t="shared" si="92"/>
        <v>337.77701316755338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8.1205128205128201</v>
      </c>
      <c r="BY94" s="13">
        <f>IF('Données projet'!$A$114&gt;35,BY93+BX94-CG93,IF(A94&lt;'Données projet'!$A$114,$BV$205^A94,IF(A94='Données projet'!$A$114,'Données projet'!$B$114,BY93+BX94-CG93)))</f>
        <v>332.68205128205079</v>
      </c>
      <c r="BZ94" s="14">
        <f>BY94*VLOOKUP('Données projet'!$B$12,Paramètres!$A$1:$I$89,3,0)*VLOOKUP('Données projet'!$B$12,Paramètres!$A$1:$I$89,5,0)</f>
        <v>155.69519999999977</v>
      </c>
      <c r="CA94" s="14">
        <f t="shared" si="93"/>
        <v>39.870019909996607</v>
      </c>
      <c r="CB94" s="22">
        <f t="shared" si="64"/>
        <v>340.60942467657702</v>
      </c>
      <c r="CC94" s="60">
        <f t="shared" si="65"/>
        <v>615.29625151942207</v>
      </c>
      <c r="CD94" s="60">
        <f ca="1">AVERAGE(OFFSET($CC$3,0,0,'Données projet'!$E$12+1,1))-AVERAGE(OFFSET($H$3,0,0,'Données projet'!$E$12+1,1))</f>
        <v>277.77877239988635</v>
      </c>
      <c r="CE94" s="60">
        <f t="shared" si="94"/>
        <v>164.65640238394164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0" t="e">
        <f t="shared" si="68"/>
        <v>#NUM!</v>
      </c>
      <c r="CY94" s="60">
        <f ca="1">AVERAGE(OFFSET($CX$3,0,0,'Données projet'!$E$13+1,1))-AVERAGE(OFFSET($H$3,0,0,'Données projet'!$E$13+1,1))</f>
        <v>334.26876877415839</v>
      </c>
      <c r="CZ94" s="60">
        <f t="shared" si="96"/>
        <v>465.65761854152913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3.6357050703372803E-14</v>
      </c>
      <c r="DQ94" s="14">
        <f t="shared" si="97"/>
        <v>6.1445232567661395E-13</v>
      </c>
      <c r="DR94" s="22">
        <f t="shared" si="70"/>
        <v>1.1334929971951436E-12</v>
      </c>
      <c r="DS94" s="60">
        <f t="shared" si="71"/>
        <v>274.68682684284619</v>
      </c>
      <c r="DT94" s="60">
        <f ca="1">AVERAGE(OFFSET($DS$3,0,0,'Données projet'!$E$14+1,1))-AVERAGE(OFFSET($H$3,0,0,'Données projet'!$E$14+1,1))</f>
        <v>285.09561428624352</v>
      </c>
      <c r="DU94" s="60">
        <f t="shared" si="98"/>
        <v>261.05678516705564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-1.1368683772161603E-13</v>
      </c>
      <c r="EK94" s="18">
        <f>EJ94*VLOOKUP('Données projet'!$B$15,Paramètres!$A$1:$I$89,3,0)*VLOOKUP('Données projet'!$B$15,Paramètres!$A$1:$I$89,5,0)</f>
        <v>-9.2222762759774927E-14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272.69564942740931</v>
      </c>
      <c r="EP94" s="60">
        <f t="shared" si="100"/>
        <v>316.57989180609252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0">
        <f t="shared" si="55"/>
        <v>792.0118923918676</v>
      </c>
      <c r="S95" s="60">
        <f ca="1">AVERAGE(OFFSET($R$3,0,0,'Données projet'!$E$9+1,1))-AVERAGE(OFFSET($H$3,0,0,'Données projet'!$E$9+1,1))</f>
        <v>469.67944008675863</v>
      </c>
      <c r="T95" s="60">
        <f t="shared" si="88"/>
        <v>266.11908070867173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0">
        <f t="shared" si="59"/>
        <v>852.91302278782564</v>
      </c>
      <c r="AN95" s="60">
        <f ca="1">AVERAGE(OFFSET($AM$3,0,0,'Données projet'!$E$10+1,1))-AVERAGE(OFFSET($H$3,0,0,'Données projet'!$E$10+1,1))</f>
        <v>516.30971934066179</v>
      </c>
      <c r="AO95" s="60">
        <f t="shared" si="90"/>
        <v>290.84286505723571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-1.250327841262333E-13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314.75847268052081</v>
      </c>
      <c r="BJ95" s="60">
        <f t="shared" si="92"/>
        <v>337.77701316755338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8.1205128205128201</v>
      </c>
      <c r="BY95" s="13">
        <f>IF('Données projet'!$A$114&gt;35,BY94+BX95-CG94,IF(A95&lt;'Données projet'!$A$114,$BV$205^A95,IF(A95='Données projet'!$A$114,'Données projet'!$B$114,BY94+BX95-CG94)))</f>
        <v>340.80256410256362</v>
      </c>
      <c r="BZ95" s="14">
        <f>BY95*VLOOKUP('Données projet'!$B$12,Paramètres!$A$1:$I$89,3,0)*VLOOKUP('Données projet'!$B$12,Paramètres!$A$1:$I$89,5,0)</f>
        <v>159.49559999999977</v>
      </c>
      <c r="CA95" s="14">
        <f t="shared" si="93"/>
        <v>40.728725680425562</v>
      </c>
      <c r="CB95" s="22">
        <f t="shared" si="64"/>
        <v>348.72403389340735</v>
      </c>
      <c r="CC95" s="60">
        <f t="shared" si="65"/>
        <v>623.73433593651907</v>
      </c>
      <c r="CD95" s="60">
        <f ca="1">AVERAGE(OFFSET($CC$3,0,0,'Données projet'!$E$12+1,1))-AVERAGE(OFFSET($H$3,0,0,'Données projet'!$E$12+1,1))</f>
        <v>277.77877239988635</v>
      </c>
      <c r="CE95" s="60">
        <f t="shared" si="94"/>
        <v>164.65640238394164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0" t="e">
        <f t="shared" si="68"/>
        <v>#NUM!</v>
      </c>
      <c r="CY95" s="60">
        <f ca="1">AVERAGE(OFFSET($CX$3,0,0,'Données projet'!$E$13+1,1))-AVERAGE(OFFSET($H$3,0,0,'Données projet'!$E$13+1,1))</f>
        <v>334.26876877415839</v>
      </c>
      <c r="CZ95" s="60">
        <f t="shared" si="96"/>
        <v>465.65761854152913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3.6357050703372803E-14</v>
      </c>
      <c r="DQ95" s="14">
        <f t="shared" si="97"/>
        <v>6.1445232567661395E-13</v>
      </c>
      <c r="DR95" s="22">
        <f t="shared" si="70"/>
        <v>1.1334929971951436E-12</v>
      </c>
      <c r="DS95" s="60">
        <f t="shared" si="71"/>
        <v>275.01030204311286</v>
      </c>
      <c r="DT95" s="60">
        <f ca="1">AVERAGE(OFFSET($DS$3,0,0,'Données projet'!$E$14+1,1))-AVERAGE(OFFSET($H$3,0,0,'Données projet'!$E$14+1,1))</f>
        <v>285.09561428624352</v>
      </c>
      <c r="DU95" s="60">
        <f t="shared" si="98"/>
        <v>261.05678516705564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-1.1368683772161603E-13</v>
      </c>
      <c r="EK95" s="18">
        <f>EJ95*VLOOKUP('Données projet'!$B$15,Paramètres!$A$1:$I$89,3,0)*VLOOKUP('Données projet'!$B$15,Paramètres!$A$1:$I$89,5,0)</f>
        <v>-9.2222762759774927E-14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272.69564942740931</v>
      </c>
      <c r="EP95" s="60">
        <f t="shared" si="100"/>
        <v>316.57989180609252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0">
        <f t="shared" si="55"/>
        <v>801.71211136995862</v>
      </c>
      <c r="S96" s="60">
        <f ca="1">AVERAGE(OFFSET($R$3,0,0,'Données projet'!$E$9+1,1))-AVERAGE(OFFSET($H$3,0,0,'Données projet'!$E$9+1,1))</f>
        <v>469.67944008675863</v>
      </c>
      <c r="T96" s="60">
        <f t="shared" si="88"/>
        <v>266.11908070867173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0">
        <f t="shared" si="59"/>
        <v>863.7210744721001</v>
      </c>
      <c r="AN96" s="60">
        <f ca="1">AVERAGE(OFFSET($AM$3,0,0,'Données projet'!$E$10+1,1))-AVERAGE(OFFSET($H$3,0,0,'Données projet'!$E$10+1,1))</f>
        <v>516.30971934066179</v>
      </c>
      <c r="AO96" s="60">
        <f t="shared" si="90"/>
        <v>290.84286505723571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-1.250327841262333E-13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314.75847268052081</v>
      </c>
      <c r="BJ96" s="60">
        <f t="shared" si="92"/>
        <v>337.77701316755338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>
        <f>VLOOKUP(A96,'Données projet'!$A$113:$I$133,2,0)</f>
        <v>348.92307692307691</v>
      </c>
      <c r="BW96" s="13">
        <f>VLOOKUP(A96,'Données projet'!$A$113:$I$133,9,0)</f>
        <v>8.1205128205128201</v>
      </c>
      <c r="BX96" s="13">
        <f t="array" ref="BX96">INDEX(BW:BW,MIN(IF(ISNUMBER(BW96:BW292),ROW(BW96:BW292),"")))</f>
        <v>8.1205128205128201</v>
      </c>
      <c r="BY96" s="13">
        <f>IF('Données projet'!$A$114&gt;35,BY95+BX96-CG95,IF(A96&lt;'Données projet'!$A$114,$BV$205^A96,IF(A96='Données projet'!$A$114,'Données projet'!$B$114,BY95+BX96-CG95)))</f>
        <v>348.92307692307645</v>
      </c>
      <c r="BZ96" s="14">
        <f>BY96*VLOOKUP('Données projet'!$B$12,Paramètres!$A$1:$I$89,3,0)*VLOOKUP('Données projet'!$B$12,Paramètres!$A$1:$I$89,5,0)</f>
        <v>163.29599999999979</v>
      </c>
      <c r="CA96" s="14">
        <f t="shared" si="93"/>
        <v>41.585052862581854</v>
      </c>
      <c r="CB96" s="22">
        <f t="shared" si="64"/>
        <v>356.8345004023297</v>
      </c>
      <c r="CC96" s="60">
        <f t="shared" si="65"/>
        <v>632.1626660741656</v>
      </c>
      <c r="CD96" s="60">
        <f ca="1">AVERAGE(OFFSET($CC$3,0,0,'Données projet'!$E$12+1,1))-AVERAGE(OFFSET($H$3,0,0,'Données projet'!$E$12+1,1))</f>
        <v>277.77877239988635</v>
      </c>
      <c r="CE96" s="60">
        <f t="shared" si="94"/>
        <v>164.65640238394164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0" t="e">
        <f t="shared" si="68"/>
        <v>#NUM!</v>
      </c>
      <c r="CY96" s="60">
        <f ca="1">AVERAGE(OFFSET($CX$3,0,0,'Données projet'!$E$13+1,1))-AVERAGE(OFFSET($H$3,0,0,'Données projet'!$E$13+1,1))</f>
        <v>334.26876877415839</v>
      </c>
      <c r="CZ96" s="60">
        <f t="shared" si="96"/>
        <v>465.65761854152913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3.6357050703372803E-14</v>
      </c>
      <c r="DQ96" s="14">
        <f t="shared" si="97"/>
        <v>6.1445232567661395E-13</v>
      </c>
      <c r="DR96" s="22">
        <f t="shared" si="70"/>
        <v>1.1334929971951436E-12</v>
      </c>
      <c r="DS96" s="60">
        <f t="shared" si="71"/>
        <v>275.3281656718371</v>
      </c>
      <c r="DT96" s="60">
        <f ca="1">AVERAGE(OFFSET($DS$3,0,0,'Données projet'!$E$14+1,1))-AVERAGE(OFFSET($H$3,0,0,'Données projet'!$E$14+1,1))</f>
        <v>285.09561428624352</v>
      </c>
      <c r="DU96" s="60">
        <f t="shared" si="98"/>
        <v>261.05678516705564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-1.1368683772161603E-13</v>
      </c>
      <c r="EK96" s="18">
        <f>EJ96*VLOOKUP('Données projet'!$B$15,Paramètres!$A$1:$I$89,3,0)*VLOOKUP('Données projet'!$B$15,Paramètres!$A$1:$I$89,5,0)</f>
        <v>-9.2222762759774927E-14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272.69564942740931</v>
      </c>
      <c r="EP96" s="60">
        <f t="shared" si="100"/>
        <v>316.57989180609252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0">
        <f t="shared" si="55"/>
        <v>811.40329467218749</v>
      </c>
      <c r="S97" s="60">
        <f ca="1">AVERAGE(OFFSET($R$3,0,0,'Données projet'!$E$9+1,1))-AVERAGE(OFFSET($H$3,0,0,'Données projet'!$E$9+1,1))</f>
        <v>469.67944008675863</v>
      </c>
      <c r="T97" s="60">
        <f t="shared" si="88"/>
        <v>266.11908070867173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0">
        <f t="shared" si="59"/>
        <v>874.51971747431821</v>
      </c>
      <c r="AN97" s="60">
        <f ca="1">AVERAGE(OFFSET($AM$3,0,0,'Données projet'!$E$10+1,1))-AVERAGE(OFFSET($H$3,0,0,'Données projet'!$E$10+1,1))</f>
        <v>516.30971934066179</v>
      </c>
      <c r="AO97" s="60">
        <f t="shared" si="90"/>
        <v>290.84286505723571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-1.250327841262333E-13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314.75847268052081</v>
      </c>
      <c r="BJ97" s="60">
        <f t="shared" si="92"/>
        <v>337.77701316755338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8.1576923076923151</v>
      </c>
      <c r="BY97" s="13">
        <f>IF('Données projet'!$A$114&gt;35,BY96+BX97-CG96,IF(A97&lt;'Données projet'!$A$114,$BV$205^A97,IF(A97='Données projet'!$A$114,'Données projet'!$B$114,BY96+BX97-CG96)))</f>
        <v>357.08076923076874</v>
      </c>
      <c r="BZ97" s="14">
        <f>BY97*VLOOKUP('Données projet'!$B$12,Paramètres!$A$1:$I$89,3,0)*VLOOKUP('Données projet'!$B$12,Paramètres!$A$1:$I$89,5,0)</f>
        <v>167.11379999999977</v>
      </c>
      <c r="CA97" s="14">
        <f t="shared" si="93"/>
        <v>42.442968004718075</v>
      </c>
      <c r="CB97" s="22">
        <f t="shared" si="64"/>
        <v>364.97803760821688</v>
      </c>
      <c r="CC97" s="60">
        <f t="shared" si="65"/>
        <v>640.61855268545537</v>
      </c>
      <c r="CD97" s="60">
        <f ca="1">AVERAGE(OFFSET($CC$3,0,0,'Données projet'!$E$12+1,1))-AVERAGE(OFFSET($H$3,0,0,'Données projet'!$E$12+1,1))</f>
        <v>277.77877239988635</v>
      </c>
      <c r="CE97" s="60">
        <f t="shared" si="94"/>
        <v>164.65640238394164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0" t="e">
        <f t="shared" si="68"/>
        <v>#NUM!</v>
      </c>
      <c r="CY97" s="60">
        <f ca="1">AVERAGE(OFFSET($CX$3,0,0,'Données projet'!$E$13+1,1))-AVERAGE(OFFSET($H$3,0,0,'Données projet'!$E$13+1,1))</f>
        <v>334.26876877415839</v>
      </c>
      <c r="CZ97" s="60">
        <f t="shared" si="96"/>
        <v>465.65761854152913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3.6357050703372803E-14</v>
      </c>
      <c r="DQ97" s="14">
        <f t="shared" si="97"/>
        <v>6.1445232567661395E-13</v>
      </c>
      <c r="DR97" s="22">
        <f t="shared" si="70"/>
        <v>1.1334929971951436E-12</v>
      </c>
      <c r="DS97" s="60">
        <f t="shared" si="71"/>
        <v>275.64051507723963</v>
      </c>
      <c r="DT97" s="60">
        <f ca="1">AVERAGE(OFFSET($DS$3,0,0,'Données projet'!$E$14+1,1))-AVERAGE(OFFSET($H$3,0,0,'Données projet'!$E$14+1,1))</f>
        <v>285.09561428624352</v>
      </c>
      <c r="DU97" s="60">
        <f t="shared" si="98"/>
        <v>261.05678516705564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-1.1368683772161603E-13</v>
      </c>
      <c r="EK97" s="18">
        <f>EJ97*VLOOKUP('Données projet'!$B$15,Paramètres!$A$1:$I$89,3,0)*VLOOKUP('Données projet'!$B$15,Paramètres!$A$1:$I$89,5,0)</f>
        <v>-9.2222762759774927E-14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272.69564942740931</v>
      </c>
      <c r="EP97" s="60">
        <f t="shared" si="100"/>
        <v>316.57989180609252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0">
        <f t="shared" si="55"/>
        <v>821.08560830018882</v>
      </c>
      <c r="S98" s="60">
        <f ca="1">AVERAGE(OFFSET($R$3,0,0,'Données projet'!$E$9+1,1))-AVERAGE(OFFSET($H$3,0,0,'Données projet'!$E$9+1,1))</f>
        <v>469.67944008675863</v>
      </c>
      <c r="T98" s="60">
        <f t="shared" si="88"/>
        <v>266.11908070867173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0">
        <f t="shared" si="59"/>
        <v>885.30912524703763</v>
      </c>
      <c r="AN98" s="60">
        <f ca="1">AVERAGE(OFFSET($AM$3,0,0,'Données projet'!$E$10+1,1))-AVERAGE(OFFSET($H$3,0,0,'Données projet'!$E$10+1,1))</f>
        <v>516.30971934066179</v>
      </c>
      <c r="AO98" s="60">
        <f t="shared" si="90"/>
        <v>290.84286505723571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-1.250327841262333E-13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314.75847268052081</v>
      </c>
      <c r="BJ98" s="60">
        <f t="shared" si="92"/>
        <v>337.77701316755338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8.1576923076923151</v>
      </c>
      <c r="BY98" s="13">
        <f>IF('Données projet'!$A$114&gt;35,BY97+BX98-CG97,IF(A98&lt;'Données projet'!$A$114,$BV$205^A98,IF(A98='Données projet'!$A$114,'Données projet'!$B$114,BY97+BX98-CG97)))</f>
        <v>365.23846153846102</v>
      </c>
      <c r="BZ98" s="14">
        <f>BY98*VLOOKUP('Données projet'!$B$12,Paramètres!$A$1:$I$89,3,0)*VLOOKUP('Données projet'!$B$12,Paramètres!$A$1:$I$89,5,0)</f>
        <v>170.93159999999975</v>
      </c>
      <c r="CA98" s="14">
        <f t="shared" si="93"/>
        <v>43.298604585177706</v>
      </c>
      <c r="CB98" s="22">
        <f t="shared" si="64"/>
        <v>373.11760631918406</v>
      </c>
      <c r="CC98" s="60">
        <f t="shared" si="65"/>
        <v>649.06505223795</v>
      </c>
      <c r="CD98" s="60">
        <f ca="1">AVERAGE(OFFSET($CC$3,0,0,'Données projet'!$E$12+1,1))-AVERAGE(OFFSET($H$3,0,0,'Données projet'!$E$12+1,1))</f>
        <v>277.77877239988635</v>
      </c>
      <c r="CE98" s="60">
        <f t="shared" si="94"/>
        <v>164.65640238394164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0" t="e">
        <f t="shared" si="68"/>
        <v>#NUM!</v>
      </c>
      <c r="CY98" s="60">
        <f ca="1">AVERAGE(OFFSET($CX$3,0,0,'Données projet'!$E$13+1,1))-AVERAGE(OFFSET($H$3,0,0,'Données projet'!$E$13+1,1))</f>
        <v>334.26876877415839</v>
      </c>
      <c r="CZ98" s="60">
        <f t="shared" si="96"/>
        <v>465.65761854152913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3.6357050703372803E-14</v>
      </c>
      <c r="DQ98" s="14">
        <f t="shared" si="97"/>
        <v>6.1445232567661395E-13</v>
      </c>
      <c r="DR98" s="22">
        <f t="shared" si="70"/>
        <v>1.1334929971951436E-12</v>
      </c>
      <c r="DS98" s="60">
        <f t="shared" si="71"/>
        <v>275.94744591876707</v>
      </c>
      <c r="DT98" s="60">
        <f ca="1">AVERAGE(OFFSET($DS$3,0,0,'Données projet'!$E$14+1,1))-AVERAGE(OFFSET($H$3,0,0,'Données projet'!$E$14+1,1))</f>
        <v>285.09561428624352</v>
      </c>
      <c r="DU98" s="60">
        <f t="shared" si="98"/>
        <v>261.05678516705564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-1.1368683772161603E-13</v>
      </c>
      <c r="EK98" s="18">
        <f>EJ98*VLOOKUP('Données projet'!$B$15,Paramètres!$A$1:$I$89,3,0)*VLOOKUP('Données projet'!$B$15,Paramètres!$A$1:$I$89,5,0)</f>
        <v>-9.2222762759774927E-14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272.69564942740931</v>
      </c>
      <c r="EP98" s="60">
        <f t="shared" si="100"/>
        <v>316.57989180609252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0">
        <f t="shared" si="55"/>
        <v>830.75921397909997</v>
      </c>
      <c r="S99" s="60">
        <f ca="1">AVERAGE(OFFSET($R$3,0,0,'Données projet'!$E$9+1,1))-AVERAGE(OFFSET($H$3,0,0,'Données projet'!$E$9+1,1))</f>
        <v>469.67944008675863</v>
      </c>
      <c r="T99" s="60">
        <f t="shared" si="88"/>
        <v>266.11908070867173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0">
        <f t="shared" si="59"/>
        <v>896.08946668911324</v>
      </c>
      <c r="AN99" s="60">
        <f ca="1">AVERAGE(OFFSET($AM$3,0,0,'Données projet'!$E$10+1,1))-AVERAGE(OFFSET($H$3,0,0,'Données projet'!$E$10+1,1))</f>
        <v>516.30971934066179</v>
      </c>
      <c r="AO99" s="60">
        <f t="shared" si="90"/>
        <v>290.84286505723571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-1.250327841262333E-13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314.75847268052081</v>
      </c>
      <c r="BJ99" s="60">
        <f t="shared" si="92"/>
        <v>337.77701316755338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8.1576923076923151</v>
      </c>
      <c r="BY99" s="13">
        <f>IF('Données projet'!$A$114&gt;35,BY98+BX99-CG98,IF(A99&lt;'Données projet'!$A$114,$BV$205^A99,IF(A99='Données projet'!$A$114,'Données projet'!$B$114,BY98+BX99-CG98)))</f>
        <v>373.39615384615331</v>
      </c>
      <c r="BZ99" s="14">
        <f>BY99*VLOOKUP('Données projet'!$B$12,Paramètres!$A$1:$I$89,3,0)*VLOOKUP('Données projet'!$B$12,Paramètres!$A$1:$I$89,5,0)</f>
        <v>174.74939999999975</v>
      </c>
      <c r="CA99" s="14">
        <f t="shared" si="93"/>
        <v>44.152019355804249</v>
      </c>
      <c r="CB99" s="22">
        <f t="shared" si="64"/>
        <v>381.25330537802529</v>
      </c>
      <c r="CC99" s="60">
        <f t="shared" si="65"/>
        <v>657.50235757441271</v>
      </c>
      <c r="CD99" s="60">
        <f ca="1">AVERAGE(OFFSET($CC$3,0,0,'Données projet'!$E$12+1,1))-AVERAGE(OFFSET($H$3,0,0,'Données projet'!$E$12+1,1))</f>
        <v>277.77877239988635</v>
      </c>
      <c r="CE99" s="60">
        <f t="shared" si="94"/>
        <v>164.65640238394164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0" t="e">
        <f t="shared" si="68"/>
        <v>#NUM!</v>
      </c>
      <c r="CY99" s="60">
        <f ca="1">AVERAGE(OFFSET($CX$3,0,0,'Données projet'!$E$13+1,1))-AVERAGE(OFFSET($H$3,0,0,'Données projet'!$E$13+1,1))</f>
        <v>334.26876877415839</v>
      </c>
      <c r="CZ99" s="60">
        <f t="shared" si="96"/>
        <v>465.65761854152913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3.6357050703372803E-14</v>
      </c>
      <c r="DQ99" s="14">
        <f t="shared" si="97"/>
        <v>6.1445232567661395E-13</v>
      </c>
      <c r="DR99" s="22">
        <f t="shared" si="70"/>
        <v>1.1334929971951436E-12</v>
      </c>
      <c r="DS99" s="60">
        <f t="shared" si="71"/>
        <v>276.24905219638856</v>
      </c>
      <c r="DT99" s="60">
        <f ca="1">AVERAGE(OFFSET($DS$3,0,0,'Données projet'!$E$14+1,1))-AVERAGE(OFFSET($H$3,0,0,'Données projet'!$E$14+1,1))</f>
        <v>285.09561428624352</v>
      </c>
      <c r="DU99" s="60">
        <f t="shared" si="98"/>
        <v>261.05678516705564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-1.1368683772161603E-13</v>
      </c>
      <c r="EK99" s="18">
        <f>EJ99*VLOOKUP('Données projet'!$B$15,Paramètres!$A$1:$I$89,3,0)*VLOOKUP('Données projet'!$B$15,Paramètres!$A$1:$I$89,5,0)</f>
        <v>-9.2222762759774927E-14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272.69564942740931</v>
      </c>
      <c r="EP99" s="60">
        <f t="shared" si="100"/>
        <v>316.57989180609252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0">
        <f t="shared" si="55"/>
        <v>840.42426932724845</v>
      </c>
      <c r="S100" s="60">
        <f ca="1">AVERAGE(OFFSET($R$3,0,0,'Données projet'!$E$9+1,1))-AVERAGE(OFFSET($H$3,0,0,'Données projet'!$E$9+1,1))</f>
        <v>469.67944008675863</v>
      </c>
      <c r="T100" s="60">
        <f t="shared" si="88"/>
        <v>266.11908070867173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0">
        <f t="shared" si="59"/>
        <v>906.86090633030983</v>
      </c>
      <c r="AN100" s="60">
        <f ca="1">AVERAGE(OFFSET($AM$3,0,0,'Données projet'!$E$10+1,1))-AVERAGE(OFFSET($H$3,0,0,'Données projet'!$E$10+1,1))</f>
        <v>516.30971934066179</v>
      </c>
      <c r="AO100" s="60">
        <f t="shared" si="90"/>
        <v>290.84286505723571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-1.250327841262333E-13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314.75847268052081</v>
      </c>
      <c r="BJ100" s="60">
        <f t="shared" si="92"/>
        <v>337.77701316755338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8.1576923076923151</v>
      </c>
      <c r="BY100" s="13">
        <f>IF('Données projet'!$A$114&gt;35,BY99+BX100-CG99,IF(A100&lt;'Données projet'!$A$114,$BV$205^A100,IF(A100='Données projet'!$A$114,'Données projet'!$B$114,BY99+BX100-CG99)))</f>
        <v>381.5538461538456</v>
      </c>
      <c r="BZ100" s="14">
        <f>BY100*VLOOKUP('Données projet'!$B$12,Paramètres!$A$1:$I$89,3,0)*VLOOKUP('Données projet'!$B$12,Paramètres!$A$1:$I$89,5,0)</f>
        <v>178.56719999999976</v>
      </c>
      <c r="CA100" s="14">
        <f t="shared" si="93"/>
        <v>45.003266447079469</v>
      </c>
      <c r="CB100" s="22">
        <f t="shared" si="64"/>
        <v>389.38522906199631</v>
      </c>
      <c r="CC100" s="60">
        <f t="shared" si="65"/>
        <v>665.93065534137918</v>
      </c>
      <c r="CD100" s="60">
        <f ca="1">AVERAGE(OFFSET($CC$3,0,0,'Données projet'!$E$12+1,1))-AVERAGE(OFFSET($H$3,0,0,'Données projet'!$E$12+1,1))</f>
        <v>277.77877239988635</v>
      </c>
      <c r="CE100" s="60">
        <f t="shared" si="94"/>
        <v>164.65640238394164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0" t="e">
        <f t="shared" si="68"/>
        <v>#NUM!</v>
      </c>
      <c r="CY100" s="60">
        <f ca="1">AVERAGE(OFFSET($CX$3,0,0,'Données projet'!$E$13+1,1))-AVERAGE(OFFSET($H$3,0,0,'Données projet'!$E$13+1,1))</f>
        <v>334.26876877415839</v>
      </c>
      <c r="CZ100" s="60">
        <f t="shared" si="96"/>
        <v>465.65761854152913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3.6357050703372803E-14</v>
      </c>
      <c r="DQ100" s="14">
        <f t="shared" si="97"/>
        <v>6.1445232567661395E-13</v>
      </c>
      <c r="DR100" s="22">
        <f t="shared" si="70"/>
        <v>1.1334929971951436E-12</v>
      </c>
      <c r="DS100" s="60">
        <f t="shared" si="71"/>
        <v>276.54542627938395</v>
      </c>
      <c r="DT100" s="60">
        <f ca="1">AVERAGE(OFFSET($DS$3,0,0,'Données projet'!$E$14+1,1))-AVERAGE(OFFSET($H$3,0,0,'Données projet'!$E$14+1,1))</f>
        <v>285.09561428624352</v>
      </c>
      <c r="DU100" s="60">
        <f t="shared" si="98"/>
        <v>261.05678516705564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-1.1368683772161603E-13</v>
      </c>
      <c r="EK100" s="18">
        <f>EJ100*VLOOKUP('Données projet'!$B$15,Paramètres!$A$1:$I$89,3,0)*VLOOKUP('Données projet'!$B$15,Paramètres!$A$1:$I$89,5,0)</f>
        <v>-9.2222762759774927E-14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272.69564942740931</v>
      </c>
      <c r="EP100" s="60">
        <f t="shared" si="100"/>
        <v>316.57989180609252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0">
        <f t="shared" si="55"/>
        <v>850.08092801548719</v>
      </c>
      <c r="S101" s="60">
        <f ca="1">AVERAGE(OFFSET($R$3,0,0,'Données projet'!$E$9+1,1))-AVERAGE(OFFSET($H$3,0,0,'Données projet'!$E$9+1,1))</f>
        <v>469.67944008675863</v>
      </c>
      <c r="T101" s="60">
        <f t="shared" si="88"/>
        <v>266.11908070867173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0">
        <f t="shared" si="59"/>
        <v>917.62360450451877</v>
      </c>
      <c r="AN101" s="60">
        <f ca="1">AVERAGE(OFFSET($AM$3,0,0,'Données projet'!$E$10+1,1))-AVERAGE(OFFSET($H$3,0,0,'Données projet'!$E$10+1,1))</f>
        <v>516.30971934066179</v>
      </c>
      <c r="AO101" s="60">
        <f t="shared" si="90"/>
        <v>290.84286505723571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-1.250327841262333E-13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314.75847268052081</v>
      </c>
      <c r="BJ101" s="60">
        <f t="shared" si="92"/>
        <v>337.77701316755338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8.1576923076923151</v>
      </c>
      <c r="BY101" s="13">
        <f>IF('Données projet'!$A$114&gt;35,BY100+BX101-CG100,IF(A101&lt;'Données projet'!$A$114,$BV$205^A101,IF(A101='Données projet'!$A$114,'Données projet'!$B$114,BY100+BX101-CG100)))</f>
        <v>389.71153846153788</v>
      </c>
      <c r="BZ101" s="14">
        <f>BY101*VLOOKUP('Données projet'!$B$12,Paramètres!$A$1:$I$89,3,0)*VLOOKUP('Données projet'!$B$12,Paramètres!$A$1:$I$89,5,0)</f>
        <v>182.38499999999974</v>
      </c>
      <c r="CA101" s="14">
        <f t="shared" si="93"/>
        <v>45.852397542618846</v>
      </c>
      <c r="CB101" s="22">
        <f t="shared" si="64"/>
        <v>397.51346738672737</v>
      </c>
      <c r="CC101" s="60">
        <f t="shared" si="65"/>
        <v>674.35012632135874</v>
      </c>
      <c r="CD101" s="60">
        <f ca="1">AVERAGE(OFFSET($CC$3,0,0,'Données projet'!$E$12+1,1))-AVERAGE(OFFSET($H$3,0,0,'Données projet'!$E$12+1,1))</f>
        <v>277.77877239988635</v>
      </c>
      <c r="CE101" s="60">
        <f t="shared" si="94"/>
        <v>164.65640238394164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0" t="e">
        <f t="shared" si="68"/>
        <v>#NUM!</v>
      </c>
      <c r="CY101" s="60">
        <f ca="1">AVERAGE(OFFSET($CX$3,0,0,'Données projet'!$E$13+1,1))-AVERAGE(OFFSET($H$3,0,0,'Données projet'!$E$13+1,1))</f>
        <v>334.26876877415839</v>
      </c>
      <c r="CZ101" s="60">
        <f t="shared" si="96"/>
        <v>465.65761854152913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3.6357050703372803E-14</v>
      </c>
      <c r="DQ101" s="14">
        <f t="shared" si="97"/>
        <v>6.1445232567661395E-13</v>
      </c>
      <c r="DR101" s="22">
        <f t="shared" si="70"/>
        <v>1.1334929971951436E-12</v>
      </c>
      <c r="DS101" s="60">
        <f t="shared" si="71"/>
        <v>276.83665893463251</v>
      </c>
      <c r="DT101" s="60">
        <f ca="1">AVERAGE(OFFSET($DS$3,0,0,'Données projet'!$E$14+1,1))-AVERAGE(OFFSET($H$3,0,0,'Données projet'!$E$14+1,1))</f>
        <v>285.09561428624352</v>
      </c>
      <c r="DU101" s="60">
        <f t="shared" si="98"/>
        <v>261.05678516705564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-1.1368683772161603E-13</v>
      </c>
      <c r="EK101" s="18">
        <f>EJ101*VLOOKUP('Données projet'!$B$15,Paramètres!$A$1:$I$89,3,0)*VLOOKUP('Données projet'!$B$15,Paramètres!$A$1:$I$89,5,0)</f>
        <v>-9.2222762759774927E-14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272.69564942740931</v>
      </c>
      <c r="EP101" s="60">
        <f t="shared" si="100"/>
        <v>316.57989180609252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0">
        <f t="shared" si="55"/>
        <v>859.72933991703417</v>
      </c>
      <c r="S102" s="60">
        <f ca="1">AVERAGE(OFFSET($R$3,0,0,'Données projet'!$E$9+1,1))-AVERAGE(OFFSET($H$3,0,0,'Données projet'!$E$9+1,1))</f>
        <v>469.67944008675863</v>
      </c>
      <c r="T102" s="60">
        <f t="shared" si="88"/>
        <v>266.11908070867173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0">
        <f t="shared" si="59"/>
        <v>928.37771751252353</v>
      </c>
      <c r="AN102" s="60">
        <f ca="1">AVERAGE(OFFSET($AM$3,0,0,'Données projet'!$E$10+1,1))-AVERAGE(OFFSET($H$3,0,0,'Données projet'!$E$10+1,1))</f>
        <v>516.30971934066179</v>
      </c>
      <c r="AO102" s="60">
        <f t="shared" si="90"/>
        <v>290.84286505723571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-1.250327841262333E-13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314.75847268052081</v>
      </c>
      <c r="BJ102" s="60">
        <f t="shared" si="92"/>
        <v>337.77701316755338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397.8692307692308</v>
      </c>
      <c r="BW102" s="13">
        <f>VLOOKUP(A102,'Données projet'!$A$113:$I$133,9,0)</f>
        <v>8.1576923076923151</v>
      </c>
      <c r="BX102" s="13">
        <f t="array" ref="BX102">INDEX(BW:BW,MIN(IF(ISNUMBER(BW102:BW298),ROW(BW102:BW298),"")))</f>
        <v>8.1576923076923151</v>
      </c>
      <c r="BY102" s="13">
        <f>IF('Données projet'!$A$114&gt;35,BY101+BX102-CG101,IF(A102&lt;'Données projet'!$A$114,$BV$205^A102,IF(A102='Données projet'!$A$114,'Données projet'!$B$114,BY101+BX102-CG101)))</f>
        <v>397.86923076923017</v>
      </c>
      <c r="BZ102" s="14">
        <f>BY102*VLOOKUP('Données projet'!$B$12,Paramètres!$A$1:$I$89,3,0)*VLOOKUP('Données projet'!$B$12,Paramètres!$A$1:$I$89,5,0)</f>
        <v>186.20279999999971</v>
      </c>
      <c r="CA102" s="14">
        <f t="shared" si="93"/>
        <v>46.699462038644107</v>
      </c>
      <c r="CB102" s="22">
        <f t="shared" si="64"/>
        <v>405.63810638397126</v>
      </c>
      <c r="CC102" s="60">
        <f t="shared" si="65"/>
        <v>682.76094573838145</v>
      </c>
      <c r="CD102" s="60">
        <f ca="1">AVERAGE(OFFSET($CC$3,0,0,'Données projet'!$E$12+1,1))-AVERAGE(OFFSET($H$3,0,0,'Données projet'!$E$12+1,1))</f>
        <v>277.77877239988635</v>
      </c>
      <c r="CE102" s="60">
        <f t="shared" si="94"/>
        <v>164.65640238394164</v>
      </c>
      <c r="CF102" s="16">
        <f>IF(ISNA(VLOOKUP(A102,'Données projet'!$A$113:$I$133,3,0)),0,VLOOKUP(A102,'Données projet'!$A$113:$I$133,3,0))</f>
        <v>5</v>
      </c>
      <c r="CG102" s="16">
        <f>IF(ISNA(VLOOKUP(A102,'Données projet'!$A$113:$I$133,4,0)),0,VLOOKUP(A102,'Données projet'!$A$113:$I$133,4,0))</f>
        <v>198.32307692307691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0" t="e">
        <f t="shared" si="68"/>
        <v>#NUM!</v>
      </c>
      <c r="CY102" s="60">
        <f ca="1">AVERAGE(OFFSET($CX$3,0,0,'Données projet'!$E$13+1,1))-AVERAGE(OFFSET($H$3,0,0,'Données projet'!$E$13+1,1))</f>
        <v>334.26876877415839</v>
      </c>
      <c r="CZ102" s="60">
        <f t="shared" si="96"/>
        <v>465.65761854152913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3.6357050703372803E-14</v>
      </c>
      <c r="DQ102" s="14">
        <f t="shared" si="97"/>
        <v>6.1445232567661395E-13</v>
      </c>
      <c r="DR102" s="22">
        <f t="shared" si="70"/>
        <v>1.1334929971951436E-12</v>
      </c>
      <c r="DS102" s="60">
        <f t="shared" si="71"/>
        <v>277.12283935441127</v>
      </c>
      <c r="DT102" s="60">
        <f ca="1">AVERAGE(OFFSET($DS$3,0,0,'Données projet'!$E$14+1,1))-AVERAGE(OFFSET($H$3,0,0,'Données projet'!$E$14+1,1))</f>
        <v>285.09561428624352</v>
      </c>
      <c r="DU102" s="60">
        <f t="shared" si="98"/>
        <v>261.05678516705564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-1.1368683772161603E-13</v>
      </c>
      <c r="EK102" s="18">
        <f>EJ102*VLOOKUP('Données projet'!$B$15,Paramètres!$A$1:$I$89,3,0)*VLOOKUP('Données projet'!$B$15,Paramètres!$A$1:$I$89,5,0)</f>
        <v>-9.2222762759774927E-14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272.69564942740931</v>
      </c>
      <c r="EP102" s="60">
        <f t="shared" si="100"/>
        <v>316.57989180609252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0">
        <f t="shared" si="55"/>
        <v>869.36965124857375</v>
      </c>
      <c r="S103" s="60">
        <f ca="1">AVERAGE(OFFSET($R$3,0,0,'Données projet'!$E$9+1,1))-AVERAGE(OFFSET($H$3,0,0,'Données projet'!$E$9+1,1))</f>
        <v>469.67944008675863</v>
      </c>
      <c r="T103" s="60">
        <f t="shared" si="88"/>
        <v>266.11908070867173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0">
        <f t="shared" si="59"/>
        <v>939.12339777515399</v>
      </c>
      <c r="AN103" s="60">
        <f ca="1">AVERAGE(OFFSET($AM$3,0,0,'Données projet'!$E$10+1,1))-AVERAGE(OFFSET($H$3,0,0,'Données projet'!$E$10+1,1))</f>
        <v>516.30971934066179</v>
      </c>
      <c r="AO103" s="60">
        <f t="shared" si="90"/>
        <v>290.84286505723571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-1.250327841262333E-13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314.75847268052081</v>
      </c>
      <c r="BJ103" s="60">
        <f t="shared" si="92"/>
        <v>337.77701316755338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5.849230769230763</v>
      </c>
      <c r="BY103" s="13">
        <f>IF('Données projet'!$A$114&gt;35,BY102+BX103-CG102,IF(A103&lt;'Données projet'!$A$114,$BV$205^A103,IF(A103='Données projet'!$A$114,'Données projet'!$B$114,BY102+BX103-CG102)))</f>
        <v>205.39538461538402</v>
      </c>
      <c r="BZ103" s="14">
        <f>BY103*VLOOKUP('Données projet'!$B$12,Paramètres!$A$1:$I$89,3,0)*VLOOKUP('Données projet'!$B$12,Paramètres!$A$1:$I$89,5,0)</f>
        <v>96.125039999999714</v>
      </c>
      <c r="CA103" s="14">
        <f t="shared" si="93"/>
        <v>26.03672918496029</v>
      </c>
      <c r="CB103" s="22">
        <f t="shared" si="64"/>
        <v>212.76508133047199</v>
      </c>
      <c r="CC103" s="60">
        <f t="shared" si="65"/>
        <v>490.16913651418122</v>
      </c>
      <c r="CD103" s="60">
        <f ca="1">AVERAGE(OFFSET($CC$3,0,0,'Données projet'!$E$12+1,1))-AVERAGE(OFFSET($H$3,0,0,'Données projet'!$E$12+1,1))</f>
        <v>277.77877239988635</v>
      </c>
      <c r="CE103" s="60">
        <f t="shared" si="94"/>
        <v>164.65640238394164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0" t="e">
        <f t="shared" si="68"/>
        <v>#NUM!</v>
      </c>
      <c r="CY103" s="60">
        <f ca="1">AVERAGE(OFFSET($CX$3,0,0,'Données projet'!$E$13+1,1))-AVERAGE(OFFSET($H$3,0,0,'Données projet'!$E$13+1,1))</f>
        <v>334.26876877415839</v>
      </c>
      <c r="CZ103" s="60">
        <f t="shared" si="96"/>
        <v>465.65761854152913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3.6357050703372803E-14</v>
      </c>
      <c r="DQ103" s="14">
        <f t="shared" si="97"/>
        <v>6.1445232567661395E-13</v>
      </c>
      <c r="DR103" s="22">
        <f t="shared" si="70"/>
        <v>1.1334929971951436E-12</v>
      </c>
      <c r="DS103" s="60">
        <f t="shared" si="71"/>
        <v>277.40405518371034</v>
      </c>
      <c r="DT103" s="60">
        <f ca="1">AVERAGE(OFFSET($DS$3,0,0,'Données projet'!$E$14+1,1))-AVERAGE(OFFSET($H$3,0,0,'Données projet'!$E$14+1,1))</f>
        <v>285.09561428624352</v>
      </c>
      <c r="DU103" s="60">
        <f t="shared" si="98"/>
        <v>261.05678516705564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-9.2222762759774927E-14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272.69564942740931</v>
      </c>
      <c r="EP103" s="60">
        <f t="shared" si="100"/>
        <v>316.57989180609252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0">
        <f t="shared" si="55"/>
        <v>797.74600075701687</v>
      </c>
      <c r="S104" s="60">
        <f ca="1">AVERAGE(OFFSET($R$3,0,0,'Données projet'!$E$9+1,1))-AVERAGE(OFFSET($H$3,0,0,'Données projet'!$E$9+1,1))</f>
        <v>469.67944008675863</v>
      </c>
      <c r="T104" s="60">
        <f t="shared" si="88"/>
        <v>266.11908070867173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0">
        <f t="shared" si="59"/>
        <v>859.00891392722406</v>
      </c>
      <c r="AN104" s="60">
        <f ca="1">AVERAGE(OFFSET($AM$3,0,0,'Données projet'!$E$10+1,1))-AVERAGE(OFFSET($H$3,0,0,'Données projet'!$E$10+1,1))</f>
        <v>516.30971934066179</v>
      </c>
      <c r="AO104" s="60">
        <f t="shared" si="90"/>
        <v>290.84286505723571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-1.250327841262333E-13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314.75847268052081</v>
      </c>
      <c r="BJ104" s="60">
        <f t="shared" si="92"/>
        <v>337.77701316755338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5.849230769230763</v>
      </c>
      <c r="BY104" s="13">
        <f>IF('Données projet'!$A$114&gt;35,BY103+BX104-CG103,IF(A104&lt;'Données projet'!$A$114,$BV$205^A104,IF(A104='Données projet'!$A$114,'Données projet'!$B$114,BY103+BX104-CG103)))</f>
        <v>211.24461538461478</v>
      </c>
      <c r="BZ104" s="14">
        <f>BY104*VLOOKUP('Données projet'!$B$12,Paramètres!$A$1:$I$89,3,0)*VLOOKUP('Données projet'!$B$12,Paramètres!$A$1:$I$89,5,0)</f>
        <v>98.862479999999707</v>
      </c>
      <c r="CA104" s="14">
        <f t="shared" si="93"/>
        <v>26.690818919395912</v>
      </c>
      <c r="CB104" s="22">
        <f t="shared" si="64"/>
        <v>218.67199561794735</v>
      </c>
      <c r="CC104" s="60">
        <f t="shared" si="65"/>
        <v>496.35238816502175</v>
      </c>
      <c r="CD104" s="60">
        <f ca="1">AVERAGE(OFFSET($CC$3,0,0,'Données projet'!$E$12+1,1))-AVERAGE(OFFSET($H$3,0,0,'Données projet'!$E$12+1,1))</f>
        <v>277.77877239988635</v>
      </c>
      <c r="CE104" s="60">
        <f t="shared" si="94"/>
        <v>164.65640238394164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0" t="e">
        <f t="shared" si="68"/>
        <v>#NUM!</v>
      </c>
      <c r="CY104" s="60">
        <f ca="1">AVERAGE(OFFSET($CX$3,0,0,'Données projet'!$E$13+1,1))-AVERAGE(OFFSET($H$3,0,0,'Données projet'!$E$13+1,1))</f>
        <v>334.26876877415839</v>
      </c>
      <c r="CZ104" s="60">
        <f t="shared" si="96"/>
        <v>465.65761854152913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3.6357050703372803E-14</v>
      </c>
      <c r="DQ104" s="14">
        <f t="shared" si="97"/>
        <v>6.1445232567661395E-13</v>
      </c>
      <c r="DR104" s="22">
        <f t="shared" si="70"/>
        <v>1.1334929971951436E-12</v>
      </c>
      <c r="DS104" s="60">
        <f t="shared" si="71"/>
        <v>277.68039254707554</v>
      </c>
      <c r="DT104" s="60">
        <f ca="1">AVERAGE(OFFSET($DS$3,0,0,'Données projet'!$E$14+1,1))-AVERAGE(OFFSET($H$3,0,0,'Données projet'!$E$14+1,1))</f>
        <v>285.09561428624352</v>
      </c>
      <c r="DU104" s="60">
        <f t="shared" si="98"/>
        <v>261.05678516705564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-9.2222762759774927E-14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272.69564942740931</v>
      </c>
      <c r="EP104" s="60">
        <f t="shared" si="100"/>
        <v>316.57989180609252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0">
        <f t="shared" si="55"/>
        <v>806.44163827087937</v>
      </c>
      <c r="S105" s="60">
        <f ca="1">AVERAGE(OFFSET($R$3,0,0,'Données projet'!$E$9+1,1))-AVERAGE(OFFSET($H$3,0,0,'Données projet'!$E$9+1,1))</f>
        <v>469.67944008675863</v>
      </c>
      <c r="T105" s="60">
        <f t="shared" si="88"/>
        <v>266.11908070867173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0">
        <f t="shared" si="59"/>
        <v>868.69924697491797</v>
      </c>
      <c r="AN105" s="60">
        <f ca="1">AVERAGE(OFFSET($AM$3,0,0,'Données projet'!$E$10+1,1))-AVERAGE(OFFSET($H$3,0,0,'Données projet'!$E$10+1,1))</f>
        <v>516.30971934066179</v>
      </c>
      <c r="AO105" s="60">
        <f t="shared" si="90"/>
        <v>290.84286505723571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-1.250327841262333E-13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314.75847268052081</v>
      </c>
      <c r="BJ105" s="60">
        <f t="shared" si="92"/>
        <v>337.77701316755338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5.849230769230763</v>
      </c>
      <c r="BY105" s="13">
        <f>IF('Données projet'!$A$114&gt;35,BY104+BX105-CG104,IF(A105&lt;'Données projet'!$A$114,$BV$205^A105,IF(A105='Données projet'!$A$114,'Données projet'!$B$114,BY104+BX105-CG104)))</f>
        <v>217.09384615384553</v>
      </c>
      <c r="BZ105" s="14">
        <f>BY105*VLOOKUP('Données projet'!$B$12,Paramètres!$A$1:$I$89,3,0)*VLOOKUP('Données projet'!$B$12,Paramètres!$A$1:$I$89,5,0)</f>
        <v>101.59991999999971</v>
      </c>
      <c r="CA105" s="14">
        <f t="shared" si="93"/>
        <v>27.342803604001922</v>
      </c>
      <c r="CB105" s="22">
        <f t="shared" si="64"/>
        <v>224.57524361030281</v>
      </c>
      <c r="CC105" s="60">
        <f t="shared" si="65"/>
        <v>502.52717968528577</v>
      </c>
      <c r="CD105" s="60">
        <f ca="1">AVERAGE(OFFSET($CC$3,0,0,'Données projet'!$E$12+1,1))-AVERAGE(OFFSET($H$3,0,0,'Données projet'!$E$12+1,1))</f>
        <v>277.77877239988635</v>
      </c>
      <c r="CE105" s="60">
        <f t="shared" si="94"/>
        <v>164.65640238394164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0" t="e">
        <f t="shared" si="68"/>
        <v>#NUM!</v>
      </c>
      <c r="CY105" s="60">
        <f ca="1">AVERAGE(OFFSET($CX$3,0,0,'Données projet'!$E$13+1,1))-AVERAGE(OFFSET($H$3,0,0,'Données projet'!$E$13+1,1))</f>
        <v>334.26876877415839</v>
      </c>
      <c r="CZ105" s="60">
        <f t="shared" si="96"/>
        <v>465.65761854152913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3.6357050703372803E-14</v>
      </c>
      <c r="DQ105" s="14">
        <f t="shared" si="97"/>
        <v>6.1445232567661395E-13</v>
      </c>
      <c r="DR105" s="22">
        <f t="shared" si="70"/>
        <v>1.1334929971951436E-12</v>
      </c>
      <c r="DS105" s="60">
        <f t="shared" si="71"/>
        <v>277.95193607498408</v>
      </c>
      <c r="DT105" s="60">
        <f ca="1">AVERAGE(OFFSET($DS$3,0,0,'Données projet'!$E$14+1,1))-AVERAGE(OFFSET($H$3,0,0,'Données projet'!$E$14+1,1))</f>
        <v>285.09561428624352</v>
      </c>
      <c r="DU105" s="60">
        <f t="shared" si="98"/>
        <v>261.05678516705564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-9.2222762759774927E-14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272.69564942740931</v>
      </c>
      <c r="EP105" s="60">
        <f t="shared" si="100"/>
        <v>316.57989180609252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0">
        <f t="shared" si="55"/>
        <v>815.12973861458931</v>
      </c>
      <c r="S106" s="60">
        <f ca="1">AVERAGE(OFFSET($R$3,0,0,'Données projet'!$E$9+1,1))-AVERAGE(OFFSET($H$3,0,0,'Données projet'!$E$9+1,1))</f>
        <v>469.67944008675863</v>
      </c>
      <c r="T106" s="60">
        <f t="shared" si="88"/>
        <v>266.11908070867173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0">
        <f t="shared" si="59"/>
        <v>878.38174345870402</v>
      </c>
      <c r="AN106" s="60">
        <f ca="1">AVERAGE(OFFSET($AM$3,0,0,'Données projet'!$E$10+1,1))-AVERAGE(OFFSET($H$3,0,0,'Données projet'!$E$10+1,1))</f>
        <v>516.30971934066179</v>
      </c>
      <c r="AO106" s="60">
        <f t="shared" si="90"/>
        <v>290.84286505723571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-1.250327841262333E-13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314.75847268052081</v>
      </c>
      <c r="BJ106" s="60">
        <f t="shared" si="92"/>
        <v>337.77701316755338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5.849230769230763</v>
      </c>
      <c r="BY106" s="13">
        <f>IF('Données projet'!$A$114&gt;35,BY105+BX106-CG105,IF(A106&lt;'Données projet'!$A$114,$BV$205^A106,IF(A106='Données projet'!$A$114,'Données projet'!$B$114,BY105+BX106-CG105)))</f>
        <v>222.94307692307629</v>
      </c>
      <c r="BZ106" s="14">
        <f>BY106*VLOOKUP('Données projet'!$B$12,Paramètres!$A$1:$I$89,3,0)*VLOOKUP('Données projet'!$B$12,Paramètres!$A$1:$I$89,5,0)</f>
        <v>104.33735999999971</v>
      </c>
      <c r="CA106" s="14">
        <f t="shared" si="93"/>
        <v>27.992746473996831</v>
      </c>
      <c r="CB106" s="22">
        <f t="shared" si="64"/>
        <v>230.47493544221061</v>
      </c>
      <c r="CC106" s="60">
        <f t="shared" si="65"/>
        <v>508.6937043719733</v>
      </c>
      <c r="CD106" s="60">
        <f ca="1">AVERAGE(OFFSET($CC$3,0,0,'Données projet'!$E$12+1,1))-AVERAGE(OFFSET($H$3,0,0,'Données projet'!$E$12+1,1))</f>
        <v>277.77877239988635</v>
      </c>
      <c r="CE106" s="60">
        <f t="shared" si="94"/>
        <v>164.65640238394164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0" t="e">
        <f t="shared" si="68"/>
        <v>#NUM!</v>
      </c>
      <c r="CY106" s="60">
        <f ca="1">AVERAGE(OFFSET($CX$3,0,0,'Données projet'!$E$13+1,1))-AVERAGE(OFFSET($H$3,0,0,'Données projet'!$E$13+1,1))</f>
        <v>334.26876877415839</v>
      </c>
      <c r="CZ106" s="60">
        <f t="shared" si="96"/>
        <v>465.65761854152913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3.6357050703372803E-14</v>
      </c>
      <c r="DQ106" s="14">
        <f t="shared" si="97"/>
        <v>6.1445232567661395E-13</v>
      </c>
      <c r="DR106" s="22">
        <f t="shared" si="70"/>
        <v>1.1334929971951436E-12</v>
      </c>
      <c r="DS106" s="60">
        <f t="shared" si="71"/>
        <v>278.21876892976383</v>
      </c>
      <c r="DT106" s="60">
        <f ca="1">AVERAGE(OFFSET($DS$3,0,0,'Données projet'!$E$14+1,1))-AVERAGE(OFFSET($H$3,0,0,'Données projet'!$E$14+1,1))</f>
        <v>285.09561428624352</v>
      </c>
      <c r="DU106" s="60">
        <f t="shared" si="98"/>
        <v>261.05678516705564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-9.2222762759774927E-14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272.69564942740931</v>
      </c>
      <c r="EP106" s="60">
        <f t="shared" si="100"/>
        <v>316.57989180609252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0">
        <f t="shared" si="55"/>
        <v>823.8104341002304</v>
      </c>
      <c r="S107" s="60">
        <f ca="1">AVERAGE(OFFSET($R$3,0,0,'Données projet'!$E$9+1,1))-AVERAGE(OFFSET($H$3,0,0,'Données projet'!$E$9+1,1))</f>
        <v>469.67944008675863</v>
      </c>
      <c r="T107" s="60">
        <f t="shared" si="88"/>
        <v>266.11908070867173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0">
        <f t="shared" si="59"/>
        <v>888.05654104961809</v>
      </c>
      <c r="AN107" s="60">
        <f ca="1">AVERAGE(OFFSET($AM$3,0,0,'Données projet'!$E$10+1,1))-AVERAGE(OFFSET($H$3,0,0,'Données projet'!$E$10+1,1))</f>
        <v>516.30971934066179</v>
      </c>
      <c r="AO107" s="60">
        <f t="shared" si="90"/>
        <v>290.84286505723571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-1.250327841262333E-13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314.75847268052081</v>
      </c>
      <c r="BJ107" s="60">
        <f t="shared" si="92"/>
        <v>337.77701316755338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>
        <f>VLOOKUP(A107,'Données projet'!$A$113:$I$133,2,0)</f>
        <v>228.7923076923077</v>
      </c>
      <c r="BW107" s="13">
        <f>VLOOKUP(A107,'Données projet'!$A$113:$I$133,9,0)</f>
        <v>5.849230769230763</v>
      </c>
      <c r="BX107" s="13">
        <f t="array" ref="BX107">INDEX(BW:BW,MIN(IF(ISNUMBER(BW107:BW303),ROW(BW107:BW303),"")))</f>
        <v>5.849230769230763</v>
      </c>
      <c r="BY107" s="13">
        <f>IF('Données projet'!$A$114&gt;35,BY106+BX107-CG106,IF(A107&lt;'Données projet'!$A$114,$BV$205^A107,IF(A107='Données projet'!$A$114,'Données projet'!$B$114,BY106+BX107-CG106)))</f>
        <v>228.79230769230705</v>
      </c>
      <c r="BZ107" s="14">
        <f>BY107*VLOOKUP('Données projet'!$B$12,Paramètres!$A$1:$I$89,3,0)*VLOOKUP('Données projet'!$B$12,Paramètres!$A$1:$I$89,5,0)</f>
        <v>107.0747999999997</v>
      </c>
      <c r="CA107" s="14">
        <f t="shared" si="93"/>
        <v>28.640707257492455</v>
      </c>
      <c r="CB107" s="22">
        <f t="shared" si="64"/>
        <v>236.37117514013221</v>
      </c>
      <c r="CC107" s="60">
        <f t="shared" si="65"/>
        <v>514.85214797119306</v>
      </c>
      <c r="CD107" s="60">
        <f ca="1">AVERAGE(OFFSET($CC$3,0,0,'Données projet'!$E$12+1,1))-AVERAGE(OFFSET($H$3,0,0,'Données projet'!$E$12+1,1))</f>
        <v>277.77877239988635</v>
      </c>
      <c r="CE107" s="60">
        <f t="shared" si="94"/>
        <v>164.65640238394164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0" t="e">
        <f t="shared" si="68"/>
        <v>#NUM!</v>
      </c>
      <c r="CY107" s="60">
        <f ca="1">AVERAGE(OFFSET($CX$3,0,0,'Données projet'!$E$13+1,1))-AVERAGE(OFFSET($H$3,0,0,'Données projet'!$E$13+1,1))</f>
        <v>334.26876877415839</v>
      </c>
      <c r="CZ107" s="60">
        <f t="shared" si="96"/>
        <v>465.65761854152913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3.6357050703372803E-14</v>
      </c>
      <c r="DQ107" s="14">
        <f t="shared" si="97"/>
        <v>6.1445232567661395E-13</v>
      </c>
      <c r="DR107" s="22">
        <f t="shared" si="70"/>
        <v>1.1334929971951436E-12</v>
      </c>
      <c r="DS107" s="60">
        <f t="shared" si="71"/>
        <v>278.48097283106205</v>
      </c>
      <c r="DT107" s="60">
        <f ca="1">AVERAGE(OFFSET($DS$3,0,0,'Données projet'!$E$14+1,1))-AVERAGE(OFFSET($H$3,0,0,'Données projet'!$E$14+1,1))</f>
        <v>285.09561428624352</v>
      </c>
      <c r="DU107" s="60">
        <f t="shared" si="98"/>
        <v>261.05678516705564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-9.2222762759774927E-14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272.69564942740931</v>
      </c>
      <c r="EP107" s="60">
        <f t="shared" si="100"/>
        <v>316.57989180609252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0">
        <f t="shared" si="55"/>
        <v>832.48385393253454</v>
      </c>
      <c r="S108" s="60">
        <f ca="1">AVERAGE(OFFSET($R$3,0,0,'Données projet'!$E$9+1,1))-AVERAGE(OFFSET($H$3,0,0,'Données projet'!$E$9+1,1))</f>
        <v>469.67944008675863</v>
      </c>
      <c r="T108" s="60">
        <f t="shared" si="88"/>
        <v>266.11908070867173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0">
        <f t="shared" si="59"/>
        <v>897.72377413236313</v>
      </c>
      <c r="AN108" s="60">
        <f ca="1">AVERAGE(OFFSET($AM$3,0,0,'Données projet'!$E$10+1,1))-AVERAGE(OFFSET($H$3,0,0,'Données projet'!$E$10+1,1))</f>
        <v>516.30971934066179</v>
      </c>
      <c r="AO108" s="60">
        <f t="shared" si="90"/>
        <v>290.84286505723571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-1.250327841262333E-13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314.75847268052081</v>
      </c>
      <c r="BJ108" s="60">
        <f t="shared" si="92"/>
        <v>337.77701316755338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5.4600000000000026</v>
      </c>
      <c r="BY108" s="13">
        <f>IF('Données projet'!$A$114&gt;35,BY107+BX108-CG107,IF(A108&lt;'Données projet'!$A$114,$BV$205^A108,IF(A108='Données projet'!$A$114,'Données projet'!$B$114,BY107+BX108-CG107)))</f>
        <v>234.25230769230706</v>
      </c>
      <c r="BZ108" s="14">
        <f>BY108*VLOOKUP('Données projet'!$B$12,Paramètres!$A$1:$I$89,3,0)*VLOOKUP('Données projet'!$B$12,Paramètres!$A$1:$I$89,5,0)</f>
        <v>109.63007999999969</v>
      </c>
      <c r="CA108" s="14">
        <f t="shared" si="93"/>
        <v>29.243811455610157</v>
      </c>
      <c r="CB108" s="22">
        <f t="shared" si="64"/>
        <v>241.87202761852049</v>
      </c>
      <c r="CC108" s="60">
        <f t="shared" si="65"/>
        <v>520.61065569939228</v>
      </c>
      <c r="CD108" s="60">
        <f ca="1">AVERAGE(OFFSET($CC$3,0,0,'Données projet'!$E$12+1,1))-AVERAGE(OFFSET($H$3,0,0,'Données projet'!$E$12+1,1))</f>
        <v>277.77877239988635</v>
      </c>
      <c r="CE108" s="60">
        <f t="shared" si="94"/>
        <v>164.65640238394164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0" t="e">
        <f t="shared" si="68"/>
        <v>#NUM!</v>
      </c>
      <c r="CY108" s="60">
        <f ca="1">AVERAGE(OFFSET($CX$3,0,0,'Données projet'!$E$13+1,1))-AVERAGE(OFFSET($H$3,0,0,'Données projet'!$E$13+1,1))</f>
        <v>334.26876877415839</v>
      </c>
      <c r="CZ108" s="60">
        <f t="shared" si="96"/>
        <v>465.65761854152913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3.6357050703372803E-14</v>
      </c>
      <c r="DQ108" s="14">
        <f t="shared" si="97"/>
        <v>6.1445232567661395E-13</v>
      </c>
      <c r="DR108" s="22">
        <f t="shared" si="70"/>
        <v>1.1334929971951436E-12</v>
      </c>
      <c r="DS108" s="60">
        <f t="shared" si="71"/>
        <v>278.7386280808729</v>
      </c>
      <c r="DT108" s="60">
        <f ca="1">AVERAGE(OFFSET($DS$3,0,0,'Données projet'!$E$14+1,1))-AVERAGE(OFFSET($H$3,0,0,'Données projet'!$E$14+1,1))</f>
        <v>285.09561428624352</v>
      </c>
      <c r="DU108" s="60">
        <f t="shared" si="98"/>
        <v>261.05678516705564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-9.2222762759774927E-14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272.69564942740931</v>
      </c>
      <c r="EP108" s="60">
        <f t="shared" si="100"/>
        <v>316.57989180609252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0">
        <f t="shared" si="55"/>
        <v>841.15012431528203</v>
      </c>
      <c r="S109" s="60">
        <f ca="1">AVERAGE(OFFSET($R$3,0,0,'Données projet'!$E$9+1,1))-AVERAGE(OFFSET($H$3,0,0,'Données projet'!$E$9+1,1))</f>
        <v>469.67944008675863</v>
      </c>
      <c r="T109" s="60">
        <f t="shared" si="88"/>
        <v>266.11908070867173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0">
        <f t="shared" si="59"/>
        <v>907.38357392037642</v>
      </c>
      <c r="AN109" s="60">
        <f ca="1">AVERAGE(OFFSET($AM$3,0,0,'Données projet'!$E$10+1,1))-AVERAGE(OFFSET($H$3,0,0,'Données projet'!$E$10+1,1))</f>
        <v>516.30971934066179</v>
      </c>
      <c r="AO109" s="60">
        <f t="shared" si="90"/>
        <v>290.84286505723571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-1.250327841262333E-13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314.75847268052081</v>
      </c>
      <c r="BJ109" s="60">
        <f t="shared" si="92"/>
        <v>337.77701316755338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5.4600000000000026</v>
      </c>
      <c r="BY109" s="13">
        <f>IF('Données projet'!$A$114&gt;35,BY108+BX109-CG108,IF(A109&lt;'Données projet'!$A$114,$BV$205^A109,IF(A109='Données projet'!$A$114,'Données projet'!$B$114,BY108+BX109-CG108)))</f>
        <v>239.71230769230706</v>
      </c>
      <c r="BZ109" s="14">
        <f>BY109*VLOOKUP('Données projet'!$B$12,Paramètres!$A$1:$I$89,3,0)*VLOOKUP('Données projet'!$B$12,Paramètres!$A$1:$I$89,5,0)</f>
        <v>112.1853599999997</v>
      </c>
      <c r="CA109" s="14">
        <f t="shared" si="93"/>
        <v>29.84528144827167</v>
      </c>
      <c r="CB109" s="22">
        <f t="shared" si="64"/>
        <v>247.37003385573931</v>
      </c>
      <c r="CC109" s="60">
        <f t="shared" si="65"/>
        <v>526.36184744386844</v>
      </c>
      <c r="CD109" s="60">
        <f ca="1">AVERAGE(OFFSET($CC$3,0,0,'Données projet'!$E$12+1,1))-AVERAGE(OFFSET($H$3,0,0,'Données projet'!$E$12+1,1))</f>
        <v>277.77877239988635</v>
      </c>
      <c r="CE109" s="60">
        <f t="shared" si="94"/>
        <v>164.65640238394164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0" t="e">
        <f t="shared" si="68"/>
        <v>#NUM!</v>
      </c>
      <c r="CY109" s="60">
        <f ca="1">AVERAGE(OFFSET($CX$3,0,0,'Données projet'!$E$13+1,1))-AVERAGE(OFFSET($H$3,0,0,'Données projet'!$E$13+1,1))</f>
        <v>334.26876877415839</v>
      </c>
      <c r="CZ109" s="60">
        <f t="shared" si="96"/>
        <v>465.65761854152913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3.6357050703372803E-14</v>
      </c>
      <c r="DQ109" s="14">
        <f t="shared" si="97"/>
        <v>6.1445232567661395E-13</v>
      </c>
      <c r="DR109" s="22">
        <f t="shared" si="70"/>
        <v>1.1334929971951436E-12</v>
      </c>
      <c r="DS109" s="60">
        <f t="shared" si="71"/>
        <v>278.99181358813024</v>
      </c>
      <c r="DT109" s="60">
        <f ca="1">AVERAGE(OFFSET($DS$3,0,0,'Données projet'!$E$14+1,1))-AVERAGE(OFFSET($H$3,0,0,'Données projet'!$E$14+1,1))</f>
        <v>285.09561428624352</v>
      </c>
      <c r="DU109" s="60">
        <f t="shared" si="98"/>
        <v>261.05678516705564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-9.2222762759774927E-14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272.69564942740931</v>
      </c>
      <c r="EP109" s="60">
        <f t="shared" si="100"/>
        <v>316.57989180609252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0">
        <f t="shared" si="55"/>
        <v>849.80936855212667</v>
      </c>
      <c r="S110" s="60">
        <f ca="1">AVERAGE(OFFSET($R$3,0,0,'Données projet'!$E$9+1,1))-AVERAGE(OFFSET($H$3,0,0,'Données projet'!$E$9+1,1))</f>
        <v>469.67944008675863</v>
      </c>
      <c r="T110" s="60">
        <f t="shared" si="88"/>
        <v>266.11908070867173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0">
        <f t="shared" si="59"/>
        <v>917.03606856477609</v>
      </c>
      <c r="AN110" s="60">
        <f ca="1">AVERAGE(OFFSET($AM$3,0,0,'Données projet'!$E$10+1,1))-AVERAGE(OFFSET($H$3,0,0,'Données projet'!$E$10+1,1))</f>
        <v>516.30971934066179</v>
      </c>
      <c r="AO110" s="60">
        <f t="shared" si="90"/>
        <v>290.84286505723571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-1.250327841262333E-13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314.75847268052081</v>
      </c>
      <c r="BJ110" s="60">
        <f t="shared" si="92"/>
        <v>337.77701316755338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5.4600000000000026</v>
      </c>
      <c r="BY110" s="13">
        <f>IF('Données projet'!$A$114&gt;35,BY109+BX110-CG109,IF(A110&lt;'Données projet'!$A$114,$BV$205^A110,IF(A110='Données projet'!$A$114,'Données projet'!$B$114,BY109+BX110-CG109)))</f>
        <v>245.17230769230707</v>
      </c>
      <c r="BZ110" s="14">
        <f>BY110*VLOOKUP('Données projet'!$B$12,Paramètres!$A$1:$I$89,3,0)*VLOOKUP('Données projet'!$B$12,Paramètres!$A$1:$I$89,5,0)</f>
        <v>114.74063999999971</v>
      </c>
      <c r="CA110" s="14">
        <f t="shared" si="93"/>
        <v>30.445158743218197</v>
      </c>
      <c r="CB110" s="22">
        <f t="shared" si="64"/>
        <v>252.86526614443781</v>
      </c>
      <c r="CC110" s="60">
        <f t="shared" si="65"/>
        <v>532.10587303731143</v>
      </c>
      <c r="CD110" s="60">
        <f ca="1">AVERAGE(OFFSET($CC$3,0,0,'Données projet'!$E$12+1,1))-AVERAGE(OFFSET($H$3,0,0,'Données projet'!$E$12+1,1))</f>
        <v>277.77877239988635</v>
      </c>
      <c r="CE110" s="60">
        <f t="shared" si="94"/>
        <v>164.65640238394164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0" t="e">
        <f t="shared" si="68"/>
        <v>#NUM!</v>
      </c>
      <c r="CY110" s="60">
        <f ca="1">AVERAGE(OFFSET($CX$3,0,0,'Données projet'!$E$13+1,1))-AVERAGE(OFFSET($H$3,0,0,'Données projet'!$E$13+1,1))</f>
        <v>334.26876877415839</v>
      </c>
      <c r="CZ110" s="60">
        <f t="shared" si="96"/>
        <v>465.65761854152913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3.6357050703372803E-14</v>
      </c>
      <c r="DQ110" s="14">
        <f t="shared" si="97"/>
        <v>6.1445232567661395E-13</v>
      </c>
      <c r="DR110" s="22">
        <f t="shared" si="70"/>
        <v>1.1334929971951436E-12</v>
      </c>
      <c r="DS110" s="60">
        <f t="shared" si="71"/>
        <v>279.24060689287478</v>
      </c>
      <c r="DT110" s="60">
        <f ca="1">AVERAGE(OFFSET($DS$3,0,0,'Données projet'!$E$14+1,1))-AVERAGE(OFFSET($H$3,0,0,'Données projet'!$E$14+1,1))</f>
        <v>285.09561428624352</v>
      </c>
      <c r="DU110" s="60">
        <f t="shared" si="98"/>
        <v>261.05678516705564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-9.2222762759774927E-14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272.69564942740931</v>
      </c>
      <c r="EP110" s="60">
        <f t="shared" si="100"/>
        <v>316.57989180609252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0">
        <f t="shared" si="55"/>
        <v>858.46170714224695</v>
      </c>
      <c r="S111" s="60">
        <f ca="1">AVERAGE(OFFSET($R$3,0,0,'Données projet'!$E$9+1,1))-AVERAGE(OFFSET($H$3,0,0,'Données projet'!$E$9+1,1))</f>
        <v>469.67944008675863</v>
      </c>
      <c r="T111" s="60">
        <f t="shared" si="88"/>
        <v>266.11908070867173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0">
        <f t="shared" si="59"/>
        <v>926.68138325762402</v>
      </c>
      <c r="AN111" s="60">
        <f ca="1">AVERAGE(OFFSET($AM$3,0,0,'Données projet'!$E$10+1,1))-AVERAGE(OFFSET($H$3,0,0,'Données projet'!$E$10+1,1))</f>
        <v>516.30971934066179</v>
      </c>
      <c r="AO111" s="60">
        <f t="shared" si="90"/>
        <v>290.84286505723571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-1.250327841262333E-13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314.75847268052081</v>
      </c>
      <c r="BJ111" s="60">
        <f t="shared" si="92"/>
        <v>337.77701316755338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5.4600000000000026</v>
      </c>
      <c r="BY111" s="13">
        <f>IF('Données projet'!$A$114&gt;35,BY110+BX111-CG110,IF(A111&lt;'Données projet'!$A$114,$BV$205^A111,IF(A111='Données projet'!$A$114,'Données projet'!$B$114,BY110+BX111-CG110)))</f>
        <v>250.63230769230708</v>
      </c>
      <c r="BZ111" s="14">
        <f>BY111*VLOOKUP('Données projet'!$B$12,Paramètres!$A$1:$I$89,3,0)*VLOOKUP('Données projet'!$B$12,Paramètres!$A$1:$I$89,5,0)</f>
        <v>117.29591999999971</v>
      </c>
      <c r="CA111" s="14">
        <f t="shared" si="93"/>
        <v>31.043482893881698</v>
      </c>
      <c r="CB111" s="22">
        <f t="shared" si="64"/>
        <v>258.35779337351011</v>
      </c>
      <c r="CC111" s="60">
        <f t="shared" si="65"/>
        <v>537.84287756350943</v>
      </c>
      <c r="CD111" s="60">
        <f ca="1">AVERAGE(OFFSET($CC$3,0,0,'Données projet'!$E$12+1,1))-AVERAGE(OFFSET($H$3,0,0,'Données projet'!$E$12+1,1))</f>
        <v>277.77877239988635</v>
      </c>
      <c r="CE111" s="60">
        <f t="shared" si="94"/>
        <v>164.65640238394164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0" t="e">
        <f t="shared" si="68"/>
        <v>#NUM!</v>
      </c>
      <c r="CY111" s="60">
        <f ca="1">AVERAGE(OFFSET($CX$3,0,0,'Données projet'!$E$13+1,1))-AVERAGE(OFFSET($H$3,0,0,'Données projet'!$E$13+1,1))</f>
        <v>334.26876877415839</v>
      </c>
      <c r="CZ111" s="60">
        <f t="shared" si="96"/>
        <v>465.65761854152913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3.6357050703372803E-14</v>
      </c>
      <c r="DQ111" s="14">
        <f t="shared" si="97"/>
        <v>6.1445232567661395E-13</v>
      </c>
      <c r="DR111" s="22">
        <f t="shared" si="70"/>
        <v>1.1334929971951436E-12</v>
      </c>
      <c r="DS111" s="60">
        <f t="shared" si="71"/>
        <v>279.48508419000046</v>
      </c>
      <c r="DT111" s="60">
        <f ca="1">AVERAGE(OFFSET($DS$3,0,0,'Données projet'!$E$14+1,1))-AVERAGE(OFFSET($H$3,0,0,'Données projet'!$E$14+1,1))</f>
        <v>285.09561428624352</v>
      </c>
      <c r="DU111" s="60">
        <f t="shared" si="98"/>
        <v>261.05678516705564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-9.2222762759774927E-14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272.69564942740931</v>
      </c>
      <c r="EP111" s="60">
        <f t="shared" si="100"/>
        <v>316.57989180609252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0">
        <f t="shared" si="55"/>
        <v>867.1072578711877</v>
      </c>
      <c r="S112" s="60">
        <f ca="1">AVERAGE(OFFSET($R$3,0,0,'Données projet'!$E$9+1,1))-AVERAGE(OFFSET($H$3,0,0,'Données projet'!$E$9+1,1))</f>
        <v>469.67944008675863</v>
      </c>
      <c r="T112" s="60">
        <f t="shared" si="88"/>
        <v>266.11908070867173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0">
        <f t="shared" si="59"/>
        <v>936.31964032992437</v>
      </c>
      <c r="AN112" s="60">
        <f ca="1">AVERAGE(OFFSET($AM$3,0,0,'Données projet'!$E$10+1,1))-AVERAGE(OFFSET($H$3,0,0,'Données projet'!$E$10+1,1))</f>
        <v>516.30971934066179</v>
      </c>
      <c r="AO112" s="60">
        <f t="shared" si="90"/>
        <v>290.84286505723571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-1.250327841262333E-13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314.75847268052081</v>
      </c>
      <c r="BJ112" s="60">
        <f t="shared" si="92"/>
        <v>337.77701316755338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256.09230769230771</v>
      </c>
      <c r="BW112" s="13">
        <f>VLOOKUP(A112,'Données projet'!$A$113:$I$133,9,0)</f>
        <v>5.4600000000000026</v>
      </c>
      <c r="BX112" s="13">
        <f t="array" ref="BX112">INDEX(BW:BW,MIN(IF(ISNUMBER(BW112:BW308),ROW(BW112:BW308),"")))</f>
        <v>5.4600000000000026</v>
      </c>
      <c r="BY112" s="13">
        <f>IF('Données projet'!$A$114&gt;35,BY111+BX112-CG111,IF(A112&lt;'Données projet'!$A$114,$BV$205^A112,IF(A112='Données projet'!$A$114,'Données projet'!$B$114,BY111+BX112-CG111)))</f>
        <v>256.09230769230709</v>
      </c>
      <c r="BZ112" s="14">
        <f>BY112*VLOOKUP('Données projet'!$B$12,Paramètres!$A$1:$I$89,3,0)*VLOOKUP('Données projet'!$B$12,Paramètres!$A$1:$I$89,5,0)</f>
        <v>119.85119999999972</v>
      </c>
      <c r="CA112" s="14">
        <f t="shared" si="93"/>
        <v>31.640291631938162</v>
      </c>
      <c r="CB112" s="22">
        <f t="shared" si="64"/>
        <v>263.84768125895852</v>
      </c>
      <c r="CC112" s="60">
        <f t="shared" si="65"/>
        <v>543.57300161154785</v>
      </c>
      <c r="CD112" s="60">
        <f ca="1">AVERAGE(OFFSET($CC$3,0,0,'Données projet'!$E$12+1,1))-AVERAGE(OFFSET($H$3,0,0,'Données projet'!$E$12+1,1))</f>
        <v>277.77877239988635</v>
      </c>
      <c r="CE112" s="60">
        <f t="shared" si="94"/>
        <v>164.65640238394164</v>
      </c>
      <c r="CF112" s="16">
        <f>IF(ISNA(VLOOKUP(A112,'Données projet'!$A$113:$I$133,3,0)),0,VLOOKUP(A112,'Données projet'!$A$113:$I$133,3,0))</f>
        <v>6</v>
      </c>
      <c r="CG112" s="16">
        <f>IF(ISNA(VLOOKUP(A112,'Données projet'!$A$113:$I$133,4,0)),0,VLOOKUP(A112,'Données projet'!$A$113:$I$133,4,0))</f>
        <v>256.09230769230771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0" t="e">
        <f t="shared" si="68"/>
        <v>#NUM!</v>
      </c>
      <c r="CY112" s="60">
        <f ca="1">AVERAGE(OFFSET($CX$3,0,0,'Données projet'!$E$13+1,1))-AVERAGE(OFFSET($H$3,0,0,'Données projet'!$E$13+1,1))</f>
        <v>334.26876877415839</v>
      </c>
      <c r="CZ112" s="60">
        <f t="shared" si="96"/>
        <v>465.65761854152913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3.6357050703372803E-14</v>
      </c>
      <c r="DQ112" s="14">
        <f t="shared" si="97"/>
        <v>6.1445232567661395E-13</v>
      </c>
      <c r="DR112" s="22">
        <f t="shared" si="70"/>
        <v>1.1334929971951436E-12</v>
      </c>
      <c r="DS112" s="60">
        <f t="shared" si="71"/>
        <v>279.72532035259042</v>
      </c>
      <c r="DT112" s="60">
        <f ca="1">AVERAGE(OFFSET($DS$3,0,0,'Données projet'!$E$14+1,1))-AVERAGE(OFFSET($H$3,0,0,'Données projet'!$E$14+1,1))</f>
        <v>285.09561428624352</v>
      </c>
      <c r="DU112" s="60">
        <f t="shared" si="98"/>
        <v>261.05678516705564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-9.2222762759774927E-14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272.69564942740931</v>
      </c>
      <c r="EP112" s="60">
        <f t="shared" si="100"/>
        <v>316.57989180609252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0">
        <f t="shared" si="55"/>
        <v>875.74613589723822</v>
      </c>
      <c r="S113" s="60">
        <f ca="1">AVERAGE(OFFSET($R$3,0,0,'Données projet'!$E$9+1,1))-AVERAGE(OFFSET($H$3,0,0,'Données projet'!$E$9+1,1))</f>
        <v>469.67944008675863</v>
      </c>
      <c r="T113" s="60">
        <f t="shared" si="88"/>
        <v>266.11908070867173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0">
        <f t="shared" si="59"/>
        <v>945.95095934471669</v>
      </c>
      <c r="AN113" s="60">
        <f ca="1">AVERAGE(OFFSET($AM$3,0,0,'Données projet'!$E$10+1,1))-AVERAGE(OFFSET($H$3,0,0,'Données projet'!$E$10+1,1))</f>
        <v>516.30971934066179</v>
      </c>
      <c r="AO113" s="60">
        <f t="shared" si="90"/>
        <v>290.84286505723571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-1.250327841262333E-13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314.75847268052081</v>
      </c>
      <c r="BJ113" s="60">
        <f t="shared" si="92"/>
        <v>337.77701316755338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-6.2527760746888816E-13</v>
      </c>
      <c r="BZ113" s="14">
        <f>BY113*VLOOKUP('Données projet'!$B$12,Paramètres!$A$1:$I$89,3,0)*VLOOKUP('Données projet'!$B$12,Paramètres!$A$1:$I$89,5,0)</f>
        <v>-2.9262992029543964E-13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277.77877239988635</v>
      </c>
      <c r="CE113" s="60">
        <f t="shared" si="94"/>
        <v>164.65640238394164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334.26876877415839</v>
      </c>
      <c r="CZ113" s="60">
        <f t="shared" si="96"/>
        <v>465.65761854152913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3.6357050703372803E-14</v>
      </c>
      <c r="DQ113" s="14">
        <f t="shared" si="97"/>
        <v>6.1445232567661395E-13</v>
      </c>
      <c r="DR113" s="22">
        <f t="shared" si="70"/>
        <v>1.1334929971951436E-12</v>
      </c>
      <c r="DS113" s="60">
        <f t="shared" si="71"/>
        <v>279.961388954847</v>
      </c>
      <c r="DT113" s="60">
        <f ca="1">AVERAGE(OFFSET($DS$3,0,0,'Données projet'!$E$14+1,1))-AVERAGE(OFFSET($H$3,0,0,'Données projet'!$E$14+1,1))</f>
        <v>285.09561428624352</v>
      </c>
      <c r="DU113" s="60">
        <f t="shared" si="98"/>
        <v>261.05678516705564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-9.2222762759774927E-14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272.69564942740931</v>
      </c>
      <c r="EP113" s="60">
        <f t="shared" si="100"/>
        <v>316.57989180609252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0">
        <f t="shared" si="55"/>
        <v>808.49163939319442</v>
      </c>
      <c r="S114" s="60">
        <f ca="1">AVERAGE(OFFSET($R$3,0,0,'Données projet'!$E$9+1,1))-AVERAGE(OFFSET($H$3,0,0,'Données projet'!$E$9+1,1))</f>
        <v>469.67944008675863</v>
      </c>
      <c r="T114" s="60">
        <f t="shared" si="88"/>
        <v>266.11908070867173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0">
        <f t="shared" si="59"/>
        <v>870.72664472607539</v>
      </c>
      <c r="AN114" s="60">
        <f ca="1">AVERAGE(OFFSET($AM$3,0,0,'Données projet'!$E$10+1,1))-AVERAGE(OFFSET($H$3,0,0,'Données projet'!$E$10+1,1))</f>
        <v>516.30971934066179</v>
      </c>
      <c r="AO114" s="60">
        <f t="shared" si="90"/>
        <v>290.84286505723571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-1.250327841262333E-13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314.75847268052081</v>
      </c>
      <c r="BJ114" s="60">
        <f t="shared" si="92"/>
        <v>337.77701316755338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-6.2527760746888816E-13</v>
      </c>
      <c r="BZ114" s="14">
        <f>BY114*VLOOKUP('Données projet'!$B$12,Paramètres!$A$1:$I$89,3,0)*VLOOKUP('Données projet'!$B$12,Paramètres!$A$1:$I$89,5,0)</f>
        <v>-2.9262992029543964E-13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277.77877239988635</v>
      </c>
      <c r="CE114" s="60">
        <f t="shared" si="94"/>
        <v>164.65640238394164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334.26876877415839</v>
      </c>
      <c r="CZ114" s="60">
        <f t="shared" si="96"/>
        <v>465.65761854152913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3.6357050703372803E-14</v>
      </c>
      <c r="DQ114" s="14">
        <f t="shared" si="97"/>
        <v>6.1445232567661395E-13</v>
      </c>
      <c r="DR114" s="22">
        <f t="shared" si="70"/>
        <v>1.1334929971951436E-12</v>
      </c>
      <c r="DS114" s="60">
        <f t="shared" si="71"/>
        <v>280.19336229462471</v>
      </c>
      <c r="DT114" s="60">
        <f ca="1">AVERAGE(OFFSET($DS$3,0,0,'Données projet'!$E$14+1,1))-AVERAGE(OFFSET($H$3,0,0,'Données projet'!$E$14+1,1))</f>
        <v>285.09561428624352</v>
      </c>
      <c r="DU114" s="60">
        <f t="shared" si="98"/>
        <v>261.05678516705564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-9.2222762759774927E-14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272.69564942740931</v>
      </c>
      <c r="EP114" s="60">
        <f t="shared" si="100"/>
        <v>316.57989180609252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0">
        <f t="shared" si="55"/>
        <v>815.80134948862315</v>
      </c>
      <c r="S115" s="60">
        <f ca="1">AVERAGE(OFFSET($R$3,0,0,'Données projet'!$E$9+1,1))-AVERAGE(OFFSET($H$3,0,0,'Données projet'!$E$9+1,1))</f>
        <v>469.67944008675863</v>
      </c>
      <c r="T115" s="60">
        <f t="shared" si="88"/>
        <v>266.11908070867173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0">
        <f t="shared" si="59"/>
        <v>878.87257705948787</v>
      </c>
      <c r="AN115" s="60">
        <f ca="1">AVERAGE(OFFSET($AM$3,0,0,'Données projet'!$E$10+1,1))-AVERAGE(OFFSET($H$3,0,0,'Données projet'!$E$10+1,1))</f>
        <v>516.30971934066179</v>
      </c>
      <c r="AO115" s="60">
        <f t="shared" si="90"/>
        <v>290.84286505723571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-1.250327841262333E-13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314.75847268052081</v>
      </c>
      <c r="BJ115" s="60">
        <f t="shared" si="92"/>
        <v>337.77701316755338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-6.2527760746888816E-13</v>
      </c>
      <c r="BZ115" s="14">
        <f>BY115*VLOOKUP('Données projet'!$B$12,Paramètres!$A$1:$I$89,3,0)*VLOOKUP('Données projet'!$B$12,Paramètres!$A$1:$I$89,5,0)</f>
        <v>-2.9262992029543964E-13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277.77877239988635</v>
      </c>
      <c r="CE115" s="60">
        <f t="shared" si="94"/>
        <v>164.65640238394164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334.26876877415839</v>
      </c>
      <c r="CZ115" s="60">
        <f t="shared" si="96"/>
        <v>465.65761854152913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3.6357050703372803E-14</v>
      </c>
      <c r="DQ115" s="14">
        <f t="shared" si="97"/>
        <v>6.1445232567661395E-13</v>
      </c>
      <c r="DR115" s="22">
        <f t="shared" si="70"/>
        <v>1.1334929971951436E-12</v>
      </c>
      <c r="DS115" s="60">
        <f t="shared" si="71"/>
        <v>280.42131141557201</v>
      </c>
      <c r="DT115" s="60">
        <f ca="1">AVERAGE(OFFSET($DS$3,0,0,'Données projet'!$E$14+1,1))-AVERAGE(OFFSET($H$3,0,0,'Données projet'!$E$14+1,1))</f>
        <v>285.09561428624352</v>
      </c>
      <c r="DU115" s="60">
        <f t="shared" si="98"/>
        <v>261.05678516705564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-9.2222762759774927E-14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272.69564942740931</v>
      </c>
      <c r="EP115" s="60">
        <f t="shared" si="100"/>
        <v>316.57989180609252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0">
        <f t="shared" si="55"/>
        <v>823.10513587172727</v>
      </c>
      <c r="S116" s="60">
        <f ca="1">AVERAGE(OFFSET($R$3,0,0,'Données projet'!$E$9+1,1))-AVERAGE(OFFSET($H$3,0,0,'Données projet'!$E$9+1,1))</f>
        <v>469.67944008675863</v>
      </c>
      <c r="T116" s="60">
        <f t="shared" si="88"/>
        <v>266.11908070867173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0">
        <f t="shared" si="59"/>
        <v>887.01237708402596</v>
      </c>
      <c r="AN116" s="60">
        <f ca="1">AVERAGE(OFFSET($AM$3,0,0,'Données projet'!$E$10+1,1))-AVERAGE(OFFSET($H$3,0,0,'Données projet'!$E$10+1,1))</f>
        <v>516.30971934066179</v>
      </c>
      <c r="AO116" s="60">
        <f t="shared" si="90"/>
        <v>290.84286505723571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-1.250327841262333E-13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314.75847268052081</v>
      </c>
      <c r="BJ116" s="60">
        <f t="shared" si="92"/>
        <v>337.77701316755338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-6.2527760746888816E-13</v>
      </c>
      <c r="BZ116" s="14">
        <f>BY116*VLOOKUP('Données projet'!$B$12,Paramètres!$A$1:$I$89,3,0)*VLOOKUP('Données projet'!$B$12,Paramètres!$A$1:$I$89,5,0)</f>
        <v>-2.9262992029543964E-13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277.77877239988635</v>
      </c>
      <c r="CE116" s="60">
        <f t="shared" si="94"/>
        <v>164.65640238394164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334.26876877415839</v>
      </c>
      <c r="CZ116" s="60">
        <f t="shared" si="96"/>
        <v>465.65761854152913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3.6357050703372803E-14</v>
      </c>
      <c r="DQ116" s="14">
        <f t="shared" si="97"/>
        <v>6.1445232567661395E-13</v>
      </c>
      <c r="DR116" s="22">
        <f t="shared" si="70"/>
        <v>1.1334929971951436E-12</v>
      </c>
      <c r="DS116" s="60">
        <f t="shared" si="71"/>
        <v>280.64530612888876</v>
      </c>
      <c r="DT116" s="60">
        <f ca="1">AVERAGE(OFFSET($DS$3,0,0,'Données projet'!$E$14+1,1))-AVERAGE(OFFSET($H$3,0,0,'Données projet'!$E$14+1,1))</f>
        <v>285.09561428624352</v>
      </c>
      <c r="DU116" s="60">
        <f t="shared" si="98"/>
        <v>261.05678516705564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-9.2222762759774927E-14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272.69564942740931</v>
      </c>
      <c r="EP116" s="60">
        <f t="shared" si="100"/>
        <v>316.57989180609252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0">
        <f t="shared" si="55"/>
        <v>830.40309647766207</v>
      </c>
      <c r="S117" s="60">
        <f ca="1">AVERAGE(OFFSET($R$3,0,0,'Données projet'!$E$9+1,1))-AVERAGE(OFFSET($H$3,0,0,'Données projet'!$E$9+1,1))</f>
        <v>469.67944008675863</v>
      </c>
      <c r="T117" s="60">
        <f t="shared" si="88"/>
        <v>266.11908070867173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0">
        <f t="shared" si="59"/>
        <v>895.14614584212677</v>
      </c>
      <c r="AN117" s="60">
        <f ca="1">AVERAGE(OFFSET($AM$3,0,0,'Données projet'!$E$10+1,1))-AVERAGE(OFFSET($H$3,0,0,'Données projet'!$E$10+1,1))</f>
        <v>516.30971934066179</v>
      </c>
      <c r="AO117" s="60">
        <f t="shared" si="90"/>
        <v>290.84286505723571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-1.250327841262333E-13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314.75847268052081</v>
      </c>
      <c r="BJ117" s="60">
        <f t="shared" si="92"/>
        <v>337.77701316755338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-6.2527760746888816E-13</v>
      </c>
      <c r="BZ117" s="14">
        <f>BY117*VLOOKUP('Données projet'!$B$12,Paramètres!$A$1:$I$89,3,0)*VLOOKUP('Données projet'!$B$12,Paramètres!$A$1:$I$89,5,0)</f>
        <v>-2.9262992029543964E-13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277.77877239988635</v>
      </c>
      <c r="CE117" s="60">
        <f t="shared" si="94"/>
        <v>164.65640238394164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334.26876877415839</v>
      </c>
      <c r="CZ117" s="60">
        <f t="shared" si="96"/>
        <v>465.65761854152913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3.6357050703372803E-14</v>
      </c>
      <c r="DQ117" s="14">
        <f t="shared" si="97"/>
        <v>6.1445232567661395E-13</v>
      </c>
      <c r="DR117" s="22">
        <f t="shared" si="70"/>
        <v>1.1334929971951436E-12</v>
      </c>
      <c r="DS117" s="60">
        <f t="shared" si="71"/>
        <v>280.86541503470659</v>
      </c>
      <c r="DT117" s="60">
        <f ca="1">AVERAGE(OFFSET($DS$3,0,0,'Données projet'!$E$14+1,1))-AVERAGE(OFFSET($H$3,0,0,'Données projet'!$E$14+1,1))</f>
        <v>285.09561428624352</v>
      </c>
      <c r="DU117" s="60">
        <f t="shared" si="98"/>
        <v>261.05678516705564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-9.2222762759774927E-14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272.69564942740931</v>
      </c>
      <c r="EP117" s="60">
        <f t="shared" si="100"/>
        <v>316.57989180609252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0">
        <f t="shared" si="55"/>
        <v>837.69532723401494</v>
      </c>
      <c r="S118" s="60">
        <f ca="1">AVERAGE(OFFSET($R$3,0,0,'Données projet'!$E$9+1,1))-AVERAGE(OFFSET($H$3,0,0,'Données projet'!$E$9+1,1))</f>
        <v>469.67944008675863</v>
      </c>
      <c r="T118" s="60">
        <f t="shared" si="88"/>
        <v>266.11908070867173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0">
        <f t="shared" si="59"/>
        <v>903.27398228206562</v>
      </c>
      <c r="AN118" s="60">
        <f ca="1">AVERAGE(OFFSET($AM$3,0,0,'Données projet'!$E$10+1,1))-AVERAGE(OFFSET($H$3,0,0,'Données projet'!$E$10+1,1))</f>
        <v>516.30971934066179</v>
      </c>
      <c r="AO118" s="60">
        <f t="shared" si="90"/>
        <v>290.84286505723571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-1.250327841262333E-13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314.75847268052081</v>
      </c>
      <c r="BJ118" s="60">
        <f t="shared" si="92"/>
        <v>337.77701316755338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-6.2527760746888816E-13</v>
      </c>
      <c r="BZ118" s="14">
        <f>BY118*VLOOKUP('Données projet'!$B$12,Paramètres!$A$1:$I$89,3,0)*VLOOKUP('Données projet'!$B$12,Paramètres!$A$1:$I$89,5,0)</f>
        <v>-2.9262992029543964E-13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277.77877239988635</v>
      </c>
      <c r="CE118" s="60">
        <f t="shared" si="94"/>
        <v>164.65640238394164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334.26876877415839</v>
      </c>
      <c r="CZ118" s="60">
        <f t="shared" si="96"/>
        <v>465.65761854152913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3.6357050703372803E-14</v>
      </c>
      <c r="DQ118" s="14">
        <f t="shared" si="97"/>
        <v>6.1445232567661395E-13</v>
      </c>
      <c r="DR118" s="22">
        <f t="shared" si="70"/>
        <v>1.1334929971951436E-12</v>
      </c>
      <c r="DS118" s="60">
        <f t="shared" si="71"/>
        <v>281.08170554309839</v>
      </c>
      <c r="DT118" s="60">
        <f ca="1">AVERAGE(OFFSET($DS$3,0,0,'Données projet'!$E$14+1,1))-AVERAGE(OFFSET($H$3,0,0,'Données projet'!$E$14+1,1))</f>
        <v>285.09561428624352</v>
      </c>
      <c r="DU118" s="60">
        <f t="shared" si="98"/>
        <v>261.05678516705564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-9.2222762759774927E-14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272.69564942740931</v>
      </c>
      <c r="EP118" s="60">
        <f t="shared" si="100"/>
        <v>316.57989180609252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0">
        <f t="shared" si="55"/>
        <v>844.98192211455967</v>
      </c>
      <c r="S119" s="60">
        <f ca="1">AVERAGE(OFFSET($R$3,0,0,'Données projet'!$E$9+1,1))-AVERAGE(OFFSET($H$3,0,0,'Données projet'!$E$9+1,1))</f>
        <v>469.67944008675863</v>
      </c>
      <c r="T119" s="60">
        <f t="shared" si="88"/>
        <v>266.11908070867173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0">
        <f t="shared" si="59"/>
        <v>911.39598331521825</v>
      </c>
      <c r="AN119" s="60">
        <f ca="1">AVERAGE(OFFSET($AM$3,0,0,'Données projet'!$E$10+1,1))-AVERAGE(OFFSET($H$3,0,0,'Données projet'!$E$10+1,1))</f>
        <v>516.30971934066179</v>
      </c>
      <c r="AO119" s="60">
        <f t="shared" si="90"/>
        <v>290.84286505723571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-1.250327841262333E-13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314.75847268052081</v>
      </c>
      <c r="BJ119" s="60">
        <f t="shared" si="92"/>
        <v>337.77701316755338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-6.2527760746888816E-13</v>
      </c>
      <c r="BZ119" s="14">
        <f>BY119*VLOOKUP('Données projet'!$B$12,Paramètres!$A$1:$I$89,3,0)*VLOOKUP('Données projet'!$B$12,Paramètres!$A$1:$I$89,5,0)</f>
        <v>-2.9262992029543964E-13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277.77877239988635</v>
      </c>
      <c r="CE119" s="60">
        <f t="shared" si="94"/>
        <v>164.65640238394164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334.26876877415839</v>
      </c>
      <c r="CZ119" s="60">
        <f t="shared" si="96"/>
        <v>465.65761854152913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3.6357050703372803E-14</v>
      </c>
      <c r="DQ119" s="14">
        <f t="shared" si="97"/>
        <v>6.1445232567661395E-13</v>
      </c>
      <c r="DR119" s="22">
        <f t="shared" si="70"/>
        <v>1.1334929971951436E-12</v>
      </c>
      <c r="DS119" s="60">
        <f t="shared" si="71"/>
        <v>281.29424389472263</v>
      </c>
      <c r="DT119" s="60">
        <f ca="1">AVERAGE(OFFSET($DS$3,0,0,'Données projet'!$E$14+1,1))-AVERAGE(OFFSET($H$3,0,0,'Données projet'!$E$14+1,1))</f>
        <v>285.09561428624352</v>
      </c>
      <c r="DU119" s="60">
        <f t="shared" si="98"/>
        <v>261.05678516705564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-9.2222762759774927E-14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272.69564942740931</v>
      </c>
      <c r="EP119" s="60">
        <f t="shared" si="100"/>
        <v>316.57989180609252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0">
        <f t="shared" si="55"/>
        <v>852.2629731909085</v>
      </c>
      <c r="S120" s="60">
        <f ca="1">AVERAGE(OFFSET($R$3,0,0,'Données projet'!$E$9+1,1))-AVERAGE(OFFSET($H$3,0,0,'Données projet'!$E$9+1,1))</f>
        <v>469.67944008675863</v>
      </c>
      <c r="T120" s="60">
        <f t="shared" si="88"/>
        <v>266.11908070867173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0">
        <f t="shared" si="59"/>
        <v>919.51224387103366</v>
      </c>
      <c r="AN120" s="60">
        <f ca="1">AVERAGE(OFFSET($AM$3,0,0,'Données projet'!$E$10+1,1))-AVERAGE(OFFSET($H$3,0,0,'Données projet'!$E$10+1,1))</f>
        <v>516.30971934066179</v>
      </c>
      <c r="AO120" s="60">
        <f t="shared" si="90"/>
        <v>290.84286505723571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-1.250327841262333E-13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314.75847268052081</v>
      </c>
      <c r="BJ120" s="60">
        <f t="shared" si="92"/>
        <v>337.77701316755338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-6.2527760746888816E-13</v>
      </c>
      <c r="BZ120" s="14">
        <f>BY120*VLOOKUP('Données projet'!$B$12,Paramètres!$A$1:$I$89,3,0)*VLOOKUP('Données projet'!$B$12,Paramètres!$A$1:$I$89,5,0)</f>
        <v>-2.9262992029543964E-13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277.77877239988635</v>
      </c>
      <c r="CE120" s="60">
        <f t="shared" si="94"/>
        <v>164.65640238394164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334.26876877415839</v>
      </c>
      <c r="CZ120" s="60">
        <f t="shared" si="96"/>
        <v>465.65761854152913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3.6357050703372803E-14</v>
      </c>
      <c r="DQ120" s="14">
        <f t="shared" si="97"/>
        <v>6.1445232567661395E-13</v>
      </c>
      <c r="DR120" s="22">
        <f t="shared" si="70"/>
        <v>1.1334929971951436E-12</v>
      </c>
      <c r="DS120" s="60">
        <f t="shared" si="71"/>
        <v>281.50309518111078</v>
      </c>
      <c r="DT120" s="60">
        <f ca="1">AVERAGE(OFFSET($DS$3,0,0,'Données projet'!$E$14+1,1))-AVERAGE(OFFSET($H$3,0,0,'Données projet'!$E$14+1,1))</f>
        <v>285.09561428624352</v>
      </c>
      <c r="DU120" s="60">
        <f t="shared" si="98"/>
        <v>261.05678516705564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-9.2222762759774927E-14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272.69564942740931</v>
      </c>
      <c r="EP120" s="60">
        <f t="shared" si="100"/>
        <v>316.57989180609252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0">
        <f t="shared" si="55"/>
        <v>859.53857068217326</v>
      </c>
      <c r="S121" s="60">
        <f ca="1">AVERAGE(OFFSET($R$3,0,0,'Données projet'!$E$9+1,1))-AVERAGE(OFFSET($H$3,0,0,'Données projet'!$E$9+1,1))</f>
        <v>469.67944008675863</v>
      </c>
      <c r="T121" s="60">
        <f t="shared" si="88"/>
        <v>266.11908070867173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0">
        <f t="shared" si="59"/>
        <v>927.62285694984485</v>
      </c>
      <c r="AN121" s="60">
        <f ca="1">AVERAGE(OFFSET($AM$3,0,0,'Données projet'!$E$10+1,1))-AVERAGE(OFFSET($H$3,0,0,'Données projet'!$E$10+1,1))</f>
        <v>516.30971934066179</v>
      </c>
      <c r="AO121" s="60">
        <f t="shared" si="90"/>
        <v>290.84286505723571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-1.250327841262333E-13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314.75847268052081</v>
      </c>
      <c r="BJ121" s="60">
        <f t="shared" si="92"/>
        <v>337.77701316755338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-6.2527760746888816E-13</v>
      </c>
      <c r="BZ121" s="14">
        <f>BY121*VLOOKUP('Données projet'!$B$12,Paramètres!$A$1:$I$89,3,0)*VLOOKUP('Données projet'!$B$12,Paramètres!$A$1:$I$89,5,0)</f>
        <v>-2.9262992029543964E-13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277.77877239988635</v>
      </c>
      <c r="CE121" s="60">
        <f t="shared" si="94"/>
        <v>164.65640238394164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334.26876877415839</v>
      </c>
      <c r="CZ121" s="60">
        <f t="shared" si="96"/>
        <v>465.65761854152913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3.6357050703372803E-14</v>
      </c>
      <c r="DQ121" s="14">
        <f t="shared" si="97"/>
        <v>6.1445232567661395E-13</v>
      </c>
      <c r="DR121" s="22">
        <f t="shared" si="70"/>
        <v>1.1334929971951436E-12</v>
      </c>
      <c r="DS121" s="60">
        <f t="shared" si="71"/>
        <v>281.70832336460154</v>
      </c>
      <c r="DT121" s="60">
        <f ca="1">AVERAGE(OFFSET($DS$3,0,0,'Données projet'!$E$14+1,1))-AVERAGE(OFFSET($H$3,0,0,'Données projet'!$E$14+1,1))</f>
        <v>285.09561428624352</v>
      </c>
      <c r="DU121" s="60">
        <f t="shared" si="98"/>
        <v>261.05678516705564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-9.2222762759774927E-14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272.69564942740931</v>
      </c>
      <c r="EP121" s="60">
        <f t="shared" si="100"/>
        <v>316.57989180609252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0">
        <f t="shared" si="55"/>
        <v>866.80880300275226</v>
      </c>
      <c r="S122" s="60">
        <f ca="1">AVERAGE(OFFSET($R$3,0,0,'Données projet'!$E$9+1,1))-AVERAGE(OFFSET($H$3,0,0,'Données projet'!$E$9+1,1))</f>
        <v>469.67944008675863</v>
      </c>
      <c r="T122" s="60">
        <f t="shared" si="88"/>
        <v>266.11908070867173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0">
        <f t="shared" si="59"/>
        <v>935.72791367364243</v>
      </c>
      <c r="AN122" s="60">
        <f ca="1">AVERAGE(OFFSET($AM$3,0,0,'Données projet'!$E$10+1,1))-AVERAGE(OFFSET($H$3,0,0,'Données projet'!$E$10+1,1))</f>
        <v>516.30971934066179</v>
      </c>
      <c r="AO122" s="60">
        <f t="shared" si="90"/>
        <v>290.84286505723571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-1.250327841262333E-13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314.75847268052081</v>
      </c>
      <c r="BJ122" s="60">
        <f t="shared" si="92"/>
        <v>337.77701316755338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-6.2527760746888816E-13</v>
      </c>
      <c r="BZ122" s="14">
        <f>BY122*VLOOKUP('Données projet'!$B$12,Paramètres!$A$1:$I$89,3,0)*VLOOKUP('Données projet'!$B$12,Paramètres!$A$1:$I$89,5,0)</f>
        <v>-2.9262992029543964E-13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277.77877239988635</v>
      </c>
      <c r="CE122" s="60">
        <f t="shared" si="94"/>
        <v>164.65640238394164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334.26876877415839</v>
      </c>
      <c r="CZ122" s="60">
        <f t="shared" si="96"/>
        <v>465.65761854152913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3.6357050703372803E-14</v>
      </c>
      <c r="DQ122" s="14">
        <f t="shared" si="97"/>
        <v>6.1445232567661395E-13</v>
      </c>
      <c r="DR122" s="22">
        <f t="shared" si="70"/>
        <v>1.1334929971951436E-12</v>
      </c>
      <c r="DS122" s="60">
        <f t="shared" si="71"/>
        <v>281.90999129793028</v>
      </c>
      <c r="DT122" s="60">
        <f ca="1">AVERAGE(OFFSET($DS$3,0,0,'Données projet'!$E$14+1,1))-AVERAGE(OFFSET($H$3,0,0,'Données projet'!$E$14+1,1))</f>
        <v>285.09561428624352</v>
      </c>
      <c r="DU122" s="60">
        <f t="shared" si="98"/>
        <v>261.05678516705564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-9.2222762759774927E-14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272.69564942740931</v>
      </c>
      <c r="EP122" s="60">
        <f t="shared" si="100"/>
        <v>316.57989180609252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0">
        <f t="shared" si="55"/>
        <v>874.0737568083407</v>
      </c>
      <c r="S123" s="60">
        <f ca="1">AVERAGE(OFFSET($R$3,0,0,'Données projet'!$E$9+1,1))-AVERAGE(OFFSET($H$3,0,0,'Données projet'!$E$9+1,1))</f>
        <v>469.67944008675863</v>
      </c>
      <c r="T123" s="60">
        <f t="shared" si="88"/>
        <v>266.11908070867173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0">
        <f t="shared" si="59"/>
        <v>943.82750333492095</v>
      </c>
      <c r="AN123" s="60">
        <f ca="1">AVERAGE(OFFSET($AM$3,0,0,'Données projet'!$E$10+1,1))-AVERAGE(OFFSET($H$3,0,0,'Données projet'!$E$10+1,1))</f>
        <v>516.30971934066179</v>
      </c>
      <c r="AO123" s="60">
        <f t="shared" si="90"/>
        <v>290.84286505723571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-1.250327841262333E-13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314.75847268052081</v>
      </c>
      <c r="BJ123" s="60">
        <f t="shared" si="92"/>
        <v>337.77701316755338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-6.2527760746888816E-13</v>
      </c>
      <c r="BZ123" s="14">
        <f>BY123*VLOOKUP('Données projet'!$B$12,Paramètres!$A$1:$I$89,3,0)*VLOOKUP('Données projet'!$B$12,Paramètres!$A$1:$I$89,5,0)</f>
        <v>-2.9262992029543964E-13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277.77877239988635</v>
      </c>
      <c r="CE123" s="60">
        <f t="shared" si="94"/>
        <v>164.65640238394164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334.26876877415839</v>
      </c>
      <c r="CZ123" s="60">
        <f t="shared" si="96"/>
        <v>465.65761854152913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3.6357050703372803E-14</v>
      </c>
      <c r="DQ123" s="14">
        <f t="shared" si="97"/>
        <v>6.1445232567661395E-13</v>
      </c>
      <c r="DR123" s="22">
        <f t="shared" si="70"/>
        <v>1.1334929971951436E-12</v>
      </c>
      <c r="DS123" s="60">
        <f t="shared" si="71"/>
        <v>282.10816074347775</v>
      </c>
      <c r="DT123" s="60">
        <f ca="1">AVERAGE(OFFSET($DS$3,0,0,'Données projet'!$E$14+1,1))-AVERAGE(OFFSET($H$3,0,0,'Données projet'!$E$14+1,1))</f>
        <v>285.09561428624352</v>
      </c>
      <c r="DU123" s="60">
        <f t="shared" si="98"/>
        <v>261.05678516705564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-9.2222762759774927E-14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272.69564942740931</v>
      </c>
      <c r="EP123" s="60">
        <f t="shared" si="100"/>
        <v>316.57989180609252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0">
        <f t="shared" si="55"/>
        <v>813.47239293618327</v>
      </c>
      <c r="S124" s="60">
        <f ca="1">AVERAGE(OFFSET($R$3,0,0,'Données projet'!$E$9+1,1))-AVERAGE(OFFSET($H$3,0,0,'Données projet'!$E$9+1,1))</f>
        <v>469.67944008675863</v>
      </c>
      <c r="T124" s="60">
        <f t="shared" si="88"/>
        <v>266.11908070867173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0">
        <f t="shared" si="59"/>
        <v>876.0464326285271</v>
      </c>
      <c r="AN124" s="60">
        <f ca="1">AVERAGE(OFFSET($AM$3,0,0,'Données projet'!$E$10+1,1))-AVERAGE(OFFSET($H$3,0,0,'Données projet'!$E$10+1,1))</f>
        <v>516.30971934066179</v>
      </c>
      <c r="AO124" s="60">
        <f t="shared" si="90"/>
        <v>290.84286505723571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-1.250327841262333E-13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314.75847268052081</v>
      </c>
      <c r="BJ124" s="60">
        <f t="shared" si="92"/>
        <v>337.77701316755338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-6.2527760746888816E-13</v>
      </c>
      <c r="BZ124" s="14">
        <f>BY124*VLOOKUP('Données projet'!$B$12,Paramètres!$A$1:$I$89,3,0)*VLOOKUP('Données projet'!$B$12,Paramètres!$A$1:$I$89,5,0)</f>
        <v>-2.9262992029543964E-13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277.77877239988635</v>
      </c>
      <c r="CE124" s="60">
        <f t="shared" si="94"/>
        <v>164.65640238394164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334.26876877415839</v>
      </c>
      <c r="CZ124" s="60">
        <f t="shared" si="96"/>
        <v>465.65761854152913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3.6357050703372803E-14</v>
      </c>
      <c r="DQ124" s="14">
        <f t="shared" si="97"/>
        <v>6.1445232567661395E-13</v>
      </c>
      <c r="DR124" s="22">
        <f t="shared" si="70"/>
        <v>1.1334929971951436E-12</v>
      </c>
      <c r="DS124" s="60">
        <f t="shared" si="71"/>
        <v>282.30289239218553</v>
      </c>
      <c r="DT124" s="60">
        <f ca="1">AVERAGE(OFFSET($DS$3,0,0,'Données projet'!$E$14+1,1))-AVERAGE(OFFSET($H$3,0,0,'Données projet'!$E$14+1,1))</f>
        <v>285.09561428624352</v>
      </c>
      <c r="DU124" s="60">
        <f t="shared" si="98"/>
        <v>261.05678516705564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-9.2222762759774927E-14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272.69564942740931</v>
      </c>
      <c r="EP124" s="60">
        <f t="shared" si="100"/>
        <v>316.57989180609252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0">
        <f t="shared" si="55"/>
        <v>819.78793412059326</v>
      </c>
      <c r="S125" s="60">
        <f ca="1">AVERAGE(OFFSET($R$3,0,0,'Données projet'!$E$9+1,1))-AVERAGE(OFFSET($H$3,0,0,'Données projet'!$E$9+1,1))</f>
        <v>469.67944008675863</v>
      </c>
      <c r="T125" s="60">
        <f t="shared" si="88"/>
        <v>266.11908070867173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0">
        <f t="shared" si="59"/>
        <v>883.08513176308429</v>
      </c>
      <c r="AN125" s="60">
        <f ca="1">AVERAGE(OFFSET($AM$3,0,0,'Données projet'!$E$10+1,1))-AVERAGE(OFFSET($H$3,0,0,'Données projet'!$E$10+1,1))</f>
        <v>516.30971934066179</v>
      </c>
      <c r="AO125" s="60">
        <f t="shared" si="90"/>
        <v>290.84286505723571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-1.250327841262333E-13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314.75847268052081</v>
      </c>
      <c r="BJ125" s="60">
        <f t="shared" si="92"/>
        <v>337.77701316755338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-6.2527760746888816E-13</v>
      </c>
      <c r="BZ125" s="14">
        <f>BY125*VLOOKUP('Données projet'!$B$12,Paramètres!$A$1:$I$89,3,0)*VLOOKUP('Données projet'!$B$12,Paramètres!$A$1:$I$89,5,0)</f>
        <v>-2.9262992029543964E-13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277.77877239988635</v>
      </c>
      <c r="CE125" s="60">
        <f t="shared" si="94"/>
        <v>164.65640238394164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334.26876877415839</v>
      </c>
      <c r="CZ125" s="60">
        <f t="shared" si="96"/>
        <v>465.65761854152913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3.6357050703372803E-14</v>
      </c>
      <c r="DQ125" s="14">
        <f t="shared" si="97"/>
        <v>6.1445232567661395E-13</v>
      </c>
      <c r="DR125" s="22">
        <f t="shared" si="70"/>
        <v>1.1334929971951436E-12</v>
      </c>
      <c r="DS125" s="60">
        <f t="shared" si="71"/>
        <v>282.49424588214293</v>
      </c>
      <c r="DT125" s="60">
        <f ca="1">AVERAGE(OFFSET($DS$3,0,0,'Données projet'!$E$14+1,1))-AVERAGE(OFFSET($H$3,0,0,'Données projet'!$E$14+1,1))</f>
        <v>285.09561428624352</v>
      </c>
      <c r="DU125" s="60">
        <f t="shared" si="98"/>
        <v>261.05678516705564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-9.2222762759774927E-14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272.69564942740931</v>
      </c>
      <c r="EP125" s="60">
        <f t="shared" si="100"/>
        <v>316.57989180609252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0">
        <f t="shared" si="55"/>
        <v>826.09868873246592</v>
      </c>
      <c r="S126" s="60">
        <f ca="1">AVERAGE(OFFSET($R$3,0,0,'Données projet'!$E$9+1,1))-AVERAGE(OFFSET($H$3,0,0,'Données projet'!$E$9+1,1))</f>
        <v>469.67944008675863</v>
      </c>
      <c r="T126" s="60">
        <f t="shared" si="88"/>
        <v>266.11908070867173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0">
        <f t="shared" si="59"/>
        <v>890.1188889328248</v>
      </c>
      <c r="AN126" s="60">
        <f ca="1">AVERAGE(OFFSET($AM$3,0,0,'Données projet'!$E$10+1,1))-AVERAGE(OFFSET($H$3,0,0,'Données projet'!$E$10+1,1))</f>
        <v>516.30971934066179</v>
      </c>
      <c r="AO126" s="60">
        <f t="shared" si="90"/>
        <v>290.84286505723571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-1.250327841262333E-13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314.75847268052081</v>
      </c>
      <c r="BJ126" s="60">
        <f t="shared" si="92"/>
        <v>337.77701316755338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-6.2527760746888816E-13</v>
      </c>
      <c r="BZ126" s="14">
        <f>BY126*VLOOKUP('Données projet'!$B$12,Paramètres!$A$1:$I$89,3,0)*VLOOKUP('Données projet'!$B$12,Paramètres!$A$1:$I$89,5,0)</f>
        <v>-2.9262992029543964E-13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277.77877239988635</v>
      </c>
      <c r="CE126" s="60">
        <f t="shared" si="94"/>
        <v>164.65640238394164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334.26876877415839</v>
      </c>
      <c r="CZ126" s="60">
        <f t="shared" si="96"/>
        <v>465.65761854152913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3.6357050703372803E-14</v>
      </c>
      <c r="DQ126" s="14">
        <f t="shared" si="97"/>
        <v>6.1445232567661395E-13</v>
      </c>
      <c r="DR126" s="22">
        <f t="shared" si="70"/>
        <v>1.1334929971951436E-12</v>
      </c>
      <c r="DS126" s="60">
        <f t="shared" si="71"/>
        <v>282.6822798168518</v>
      </c>
      <c r="DT126" s="60">
        <f ca="1">AVERAGE(OFFSET($DS$3,0,0,'Données projet'!$E$14+1,1))-AVERAGE(OFFSET($H$3,0,0,'Données projet'!$E$14+1,1))</f>
        <v>285.09561428624352</v>
      </c>
      <c r="DU126" s="60">
        <f t="shared" si="98"/>
        <v>261.05678516705564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-9.2222762759774927E-14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272.69564942740931</v>
      </c>
      <c r="EP126" s="60">
        <f t="shared" si="100"/>
        <v>316.57989180609252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0">
        <f t="shared" si="55"/>
        <v>832.40473322612968</v>
      </c>
      <c r="S127" s="60">
        <f ca="1">AVERAGE(OFFSET($R$3,0,0,'Données projet'!$E$9+1,1))-AVERAGE(OFFSET($H$3,0,0,'Données projet'!$E$9+1,1))</f>
        <v>469.67944008675863</v>
      </c>
      <c r="T127" s="60">
        <f t="shared" si="88"/>
        <v>266.11908070867173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0">
        <f t="shared" si="59"/>
        <v>897.14778259059415</v>
      </c>
      <c r="AN127" s="60">
        <f ca="1">AVERAGE(OFFSET($AM$3,0,0,'Données projet'!$E$10+1,1))-AVERAGE(OFFSET($H$3,0,0,'Données projet'!$E$10+1,1))</f>
        <v>516.30971934066179</v>
      </c>
      <c r="AO127" s="60">
        <f t="shared" si="90"/>
        <v>290.84286505723571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-1.250327841262333E-13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314.75847268052081</v>
      </c>
      <c r="BJ127" s="60">
        <f t="shared" si="92"/>
        <v>337.77701316755338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-6.2527760746888816E-13</v>
      </c>
      <c r="BZ127" s="14">
        <f>BY127*VLOOKUP('Données projet'!$B$12,Paramètres!$A$1:$I$89,3,0)*VLOOKUP('Données projet'!$B$12,Paramètres!$A$1:$I$89,5,0)</f>
        <v>-2.9262992029543964E-13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277.77877239988635</v>
      </c>
      <c r="CE127" s="60">
        <f t="shared" si="94"/>
        <v>164.65640238394164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334.26876877415839</v>
      </c>
      <c r="CZ127" s="60">
        <f t="shared" si="96"/>
        <v>465.65761854152913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3.6357050703372803E-14</v>
      </c>
      <c r="DQ127" s="14">
        <f t="shared" si="97"/>
        <v>6.1445232567661395E-13</v>
      </c>
      <c r="DR127" s="22">
        <f t="shared" si="70"/>
        <v>1.1334929971951436E-12</v>
      </c>
      <c r="DS127" s="60">
        <f t="shared" si="71"/>
        <v>282.86705178317447</v>
      </c>
      <c r="DT127" s="60">
        <f ca="1">AVERAGE(OFFSET($DS$3,0,0,'Données projet'!$E$14+1,1))-AVERAGE(OFFSET($H$3,0,0,'Données projet'!$E$14+1,1))</f>
        <v>285.09561428624352</v>
      </c>
      <c r="DU127" s="60">
        <f t="shared" si="98"/>
        <v>261.05678516705564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-9.2222762759774927E-14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272.69564942740931</v>
      </c>
      <c r="EP127" s="60">
        <f t="shared" si="100"/>
        <v>316.57989180609252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0">
        <f t="shared" si="55"/>
        <v>838.70614260212687</v>
      </c>
      <c r="S128" s="60">
        <f ca="1">AVERAGE(OFFSET($R$3,0,0,'Données projet'!$E$9+1,1))-AVERAGE(OFFSET($H$3,0,0,'Données projet'!$E$9+1,1))</f>
        <v>469.67944008675863</v>
      </c>
      <c r="T128" s="60">
        <f t="shared" si="88"/>
        <v>266.11908070867173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0">
        <f t="shared" si="59"/>
        <v>904.17188968727896</v>
      </c>
      <c r="AN128" s="60">
        <f ca="1">AVERAGE(OFFSET($AM$3,0,0,'Données projet'!$E$10+1,1))-AVERAGE(OFFSET($H$3,0,0,'Données projet'!$E$10+1,1))</f>
        <v>516.30971934066179</v>
      </c>
      <c r="AO128" s="60">
        <f t="shared" si="90"/>
        <v>290.84286505723571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-1.250327841262333E-13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314.75847268052081</v>
      </c>
      <c r="BJ128" s="60">
        <f t="shared" si="92"/>
        <v>337.77701316755338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-6.2527760746888816E-13</v>
      </c>
      <c r="BZ128" s="14">
        <f>BY128*VLOOKUP('Données projet'!$B$12,Paramètres!$A$1:$I$89,3,0)*VLOOKUP('Données projet'!$B$12,Paramètres!$A$1:$I$89,5,0)</f>
        <v>-2.9262992029543964E-13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277.77877239988635</v>
      </c>
      <c r="CE128" s="60">
        <f t="shared" si="94"/>
        <v>164.65640238394164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334.26876877415839</v>
      </c>
      <c r="CZ128" s="60">
        <f t="shared" si="96"/>
        <v>465.65761854152913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3.6357050703372803E-14</v>
      </c>
      <c r="DQ128" s="14">
        <f t="shared" si="97"/>
        <v>6.1445232567661395E-13</v>
      </c>
      <c r="DR128" s="22">
        <f t="shared" si="70"/>
        <v>1.1334929971951436E-12</v>
      </c>
      <c r="DS128" s="60">
        <f t="shared" si="71"/>
        <v>283.04861836896964</v>
      </c>
      <c r="DT128" s="60">
        <f ca="1">AVERAGE(OFFSET($DS$3,0,0,'Données projet'!$E$14+1,1))-AVERAGE(OFFSET($H$3,0,0,'Données projet'!$E$14+1,1))</f>
        <v>285.09561428624352</v>
      </c>
      <c r="DU128" s="60">
        <f t="shared" si="98"/>
        <v>261.05678516705564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-9.2222762759774927E-14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272.69564942740931</v>
      </c>
      <c r="EP128" s="60">
        <f t="shared" si="100"/>
        <v>316.57989180609252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0">
        <f t="shared" si="55"/>
        <v>845.00299044050394</v>
      </c>
      <c r="S129" s="60">
        <f ca="1">AVERAGE(OFFSET($R$3,0,0,'Données projet'!$E$9+1,1))-AVERAGE(OFFSET($H$3,0,0,'Données projet'!$E$9+1,1))</f>
        <v>469.67944008675863</v>
      </c>
      <c r="T129" s="60">
        <f t="shared" si="88"/>
        <v>266.11908070867173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0">
        <f t="shared" si="59"/>
        <v>911.19128570678799</v>
      </c>
      <c r="AN129" s="60">
        <f ca="1">AVERAGE(OFFSET($AM$3,0,0,'Données projet'!$E$10+1,1))-AVERAGE(OFFSET($H$3,0,0,'Données projet'!$E$10+1,1))</f>
        <v>516.30971934066179</v>
      </c>
      <c r="AO129" s="60">
        <f t="shared" si="90"/>
        <v>290.84286505723571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-1.250327841262333E-13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314.75847268052081</v>
      </c>
      <c r="BJ129" s="60">
        <f t="shared" si="92"/>
        <v>337.77701316755338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-6.2527760746888816E-13</v>
      </c>
      <c r="BZ129" s="14">
        <f>BY129*VLOOKUP('Données projet'!$B$12,Paramètres!$A$1:$I$89,3,0)*VLOOKUP('Données projet'!$B$12,Paramètres!$A$1:$I$89,5,0)</f>
        <v>-2.9262992029543964E-13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277.77877239988635</v>
      </c>
      <c r="CE129" s="60">
        <f t="shared" si="94"/>
        <v>164.65640238394164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334.26876877415839</v>
      </c>
      <c r="CZ129" s="60">
        <f t="shared" si="96"/>
        <v>465.65761854152913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3.6357050703372803E-14</v>
      </c>
      <c r="DQ129" s="14">
        <f t="shared" si="97"/>
        <v>6.1445232567661395E-13</v>
      </c>
      <c r="DR129" s="22">
        <f t="shared" si="70"/>
        <v>1.1334929971951436E-12</v>
      </c>
      <c r="DS129" s="60">
        <f t="shared" si="71"/>
        <v>283.22703518042334</v>
      </c>
      <c r="DT129" s="60">
        <f ca="1">AVERAGE(OFFSET($DS$3,0,0,'Données projet'!$E$14+1,1))-AVERAGE(OFFSET($H$3,0,0,'Données projet'!$E$14+1,1))</f>
        <v>285.09561428624352</v>
      </c>
      <c r="DU129" s="60">
        <f t="shared" si="98"/>
        <v>261.05678516705564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-9.2222762759774927E-14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272.69564942740931</v>
      </c>
      <c r="EP129" s="60">
        <f t="shared" si="100"/>
        <v>316.57989180609252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0">
        <f t="shared" si="55"/>
        <v>851.2953489330705</v>
      </c>
      <c r="S130" s="60">
        <f ca="1">AVERAGE(OFFSET($R$3,0,0,'Données projet'!$E$9+1,1))-AVERAGE(OFFSET($H$3,0,0,'Données projet'!$E$9+1,1))</f>
        <v>469.67944008675863</v>
      </c>
      <c r="T130" s="60">
        <f t="shared" si="88"/>
        <v>266.11908070867173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0">
        <f t="shared" si="59"/>
        <v>918.2060446999244</v>
      </c>
      <c r="AN130" s="60">
        <f ca="1">AVERAGE(OFFSET($AM$3,0,0,'Données projet'!$E$10+1,1))-AVERAGE(OFFSET($H$3,0,0,'Données projet'!$E$10+1,1))</f>
        <v>516.30971934066179</v>
      </c>
      <c r="AO130" s="60">
        <f t="shared" si="90"/>
        <v>290.84286505723571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-1.250327841262333E-13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314.75847268052081</v>
      </c>
      <c r="BJ130" s="60">
        <f t="shared" si="92"/>
        <v>337.77701316755338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-6.2527760746888816E-13</v>
      </c>
      <c r="BZ130" s="14">
        <f>BY130*VLOOKUP('Données projet'!$B$12,Paramètres!$A$1:$I$89,3,0)*VLOOKUP('Données projet'!$B$12,Paramètres!$A$1:$I$89,5,0)</f>
        <v>-2.9262992029543964E-13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277.77877239988635</v>
      </c>
      <c r="CE130" s="60">
        <f t="shared" si="94"/>
        <v>164.65640238394164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334.26876877415839</v>
      </c>
      <c r="CZ130" s="60">
        <f t="shared" si="96"/>
        <v>465.65761854152913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3.6357050703372803E-14</v>
      </c>
      <c r="DQ130" s="14">
        <f t="shared" si="97"/>
        <v>6.1445232567661395E-13</v>
      </c>
      <c r="DR130" s="22">
        <f t="shared" si="70"/>
        <v>1.1334929971951436E-12</v>
      </c>
      <c r="DS130" s="60">
        <f t="shared" si="71"/>
        <v>283.40235685907857</v>
      </c>
      <c r="DT130" s="60">
        <f ca="1">AVERAGE(OFFSET($DS$3,0,0,'Données projet'!$E$14+1,1))-AVERAGE(OFFSET($H$3,0,0,'Données projet'!$E$14+1,1))</f>
        <v>285.09561428624352</v>
      </c>
      <c r="DU130" s="60">
        <f t="shared" si="98"/>
        <v>261.05678516705564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-9.2222762759774927E-14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272.69564942740931</v>
      </c>
      <c r="EP130" s="60">
        <f t="shared" si="100"/>
        <v>316.57989180609252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0">
        <f t="shared" ref="R131:R194" si="109">Q131+(I131+J131)*44/12</f>
        <v>857.58328891467181</v>
      </c>
      <c r="S131" s="60">
        <f ca="1">AVERAGE(OFFSET($R$3,0,0,'Données projet'!$E$9+1,1))-AVERAGE(OFFSET($H$3,0,0,'Données projet'!$E$9+1,1))</f>
        <v>469.67944008675863</v>
      </c>
      <c r="T131" s="60">
        <f t="shared" si="88"/>
        <v>266.11908070867173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0">
        <f t="shared" si="59"/>
        <v>925.21623931719841</v>
      </c>
      <c r="AN131" s="60">
        <f ca="1">AVERAGE(OFFSET($AM$3,0,0,'Données projet'!$E$10+1,1))-AVERAGE(OFFSET($H$3,0,0,'Données projet'!$E$10+1,1))</f>
        <v>516.30971934066179</v>
      </c>
      <c r="AO131" s="60">
        <f t="shared" si="90"/>
        <v>290.84286505723571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-1.250327841262333E-13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314.75847268052081</v>
      </c>
      <c r="BJ131" s="60">
        <f t="shared" si="92"/>
        <v>337.77701316755338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-6.2527760746888816E-13</v>
      </c>
      <c r="BZ131" s="14">
        <f>BY131*VLOOKUP('Données projet'!$B$12,Paramètres!$A$1:$I$89,3,0)*VLOOKUP('Données projet'!$B$12,Paramètres!$A$1:$I$89,5,0)</f>
        <v>-2.9262992029543964E-13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277.77877239988635</v>
      </c>
      <c r="CE131" s="60">
        <f t="shared" si="94"/>
        <v>164.65640238394164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334.26876877415839</v>
      </c>
      <c r="CZ131" s="60">
        <f t="shared" si="96"/>
        <v>465.65761854152913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3.6357050703372803E-14</v>
      </c>
      <c r="DQ131" s="14">
        <f t="shared" si="97"/>
        <v>6.1445232567661395E-13</v>
      </c>
      <c r="DR131" s="22">
        <f t="shared" si="70"/>
        <v>1.1334929971951436E-12</v>
      </c>
      <c r="DS131" s="60">
        <f t="shared" si="71"/>
        <v>283.57463709856967</v>
      </c>
      <c r="DT131" s="60">
        <f ca="1">AVERAGE(OFFSET($DS$3,0,0,'Données projet'!$E$14+1,1))-AVERAGE(OFFSET($H$3,0,0,'Données projet'!$E$14+1,1))</f>
        <v>285.09561428624352</v>
      </c>
      <c r="DU131" s="60">
        <f t="shared" si="98"/>
        <v>261.05678516705564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-9.2222762759774927E-14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272.69564942740931</v>
      </c>
      <c r="EP131" s="60">
        <f t="shared" si="100"/>
        <v>316.57989180609252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0">
        <f t="shared" si="109"/>
        <v>863.86687989351913</v>
      </c>
      <c r="S132" s="60">
        <f ca="1">AVERAGE(OFFSET($R$3,0,0,'Données projet'!$E$9+1,1))-AVERAGE(OFFSET($H$3,0,0,'Données projet'!$E$9+1,1))</f>
        <v>469.67944008675863</v>
      </c>
      <c r="T132" s="60">
        <f t="shared" si="88"/>
        <v>266.11908070867173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0">
        <f t="shared" ref="AM132:AM195" si="113">AL132+(AD132+AE132)*44/12</f>
        <v>932.22194084062903</v>
      </c>
      <c r="AN132" s="60">
        <f ca="1">AVERAGE(OFFSET($AM$3,0,0,'Données projet'!$E$10+1,1))-AVERAGE(OFFSET($H$3,0,0,'Données projet'!$E$10+1,1))</f>
        <v>516.30971934066179</v>
      </c>
      <c r="AO132" s="60">
        <f t="shared" si="90"/>
        <v>290.84286505723571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-1.250327841262333E-13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314.75847268052081</v>
      </c>
      <c r="BJ132" s="60">
        <f t="shared" si="92"/>
        <v>337.77701316755338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-6.2527760746888816E-13</v>
      </c>
      <c r="BZ132" s="14">
        <f>BY132*VLOOKUP('Données projet'!$B$12,Paramètres!$A$1:$I$89,3,0)*VLOOKUP('Données projet'!$B$12,Paramètres!$A$1:$I$89,5,0)</f>
        <v>-2.9262992029543964E-13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277.77877239988635</v>
      </c>
      <c r="CE132" s="60">
        <f t="shared" si="94"/>
        <v>164.65640238394164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334.26876877415839</v>
      </c>
      <c r="CZ132" s="60">
        <f t="shared" si="96"/>
        <v>465.65761854152913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3.6357050703372803E-14</v>
      </c>
      <c r="DQ132" s="14">
        <f t="shared" si="97"/>
        <v>6.1445232567661395E-13</v>
      </c>
      <c r="DR132" s="22">
        <f t="shared" ref="DR132:DR153" si="124">(DP132+DQ132)*0.475*44/12</f>
        <v>1.1334929971951436E-12</v>
      </c>
      <c r="DS132" s="60">
        <f t="shared" ref="DS132:DS195" si="125">DR132+(DJ132+DK132)*44/12</f>
        <v>283.74392866106649</v>
      </c>
      <c r="DT132" s="60">
        <f ca="1">AVERAGE(OFFSET($DS$3,0,0,'Données projet'!$E$14+1,1))-AVERAGE(OFFSET($H$3,0,0,'Données projet'!$E$14+1,1))</f>
        <v>285.09561428624352</v>
      </c>
      <c r="DU132" s="60">
        <f t="shared" si="98"/>
        <v>261.05678516705564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-9.2222762759774927E-14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272.69564942740931</v>
      </c>
      <c r="EP132" s="60">
        <f t="shared" si="100"/>
        <v>316.57989180609252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0">
        <f t="shared" si="109"/>
        <v>870.14619008061925</v>
      </c>
      <c r="S133" s="60">
        <f ca="1">AVERAGE(OFFSET($R$3,0,0,'Données projet'!$E$9+1,1))-AVERAGE(OFFSET($H$3,0,0,'Données projet'!$E$9+1,1))</f>
        <v>469.67944008675863</v>
      </c>
      <c r="T133" s="60">
        <f t="shared" ref="T133:T196" si="142">$T$3</f>
        <v>266.11908070867173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0">
        <f t="shared" si="113"/>
        <v>939.22321921457694</v>
      </c>
      <c r="AN133" s="60">
        <f ca="1">AVERAGE(OFFSET($AM$3,0,0,'Données projet'!$E$10+1,1))-AVERAGE(OFFSET($H$3,0,0,'Données projet'!$E$10+1,1))</f>
        <v>516.30971934066179</v>
      </c>
      <c r="AO133" s="60">
        <f t="shared" ref="AO133:AO196" si="144">$AO$3</f>
        <v>290.84286505723571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-1.250327841262333E-13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314.75847268052081</v>
      </c>
      <c r="BJ133" s="60">
        <f t="shared" ref="BJ133:BJ196" si="146">$BJ$3</f>
        <v>337.77701316755338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-6.2527760746888816E-13</v>
      </c>
      <c r="BZ133" s="14">
        <f>BY133*VLOOKUP('Données projet'!$B$12,Paramètres!$A$1:$I$89,3,0)*VLOOKUP('Données projet'!$B$12,Paramètres!$A$1:$I$89,5,0)</f>
        <v>-2.9262992029543964E-13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277.77877239988635</v>
      </c>
      <c r="CE133" s="60">
        <f t="shared" ref="CE133:CE196" si="148">$CE$3</f>
        <v>164.65640238394164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334.26876877415839</v>
      </c>
      <c r="CZ133" s="60">
        <f t="shared" ref="CZ133:CZ196" si="150">$CZ$3</f>
        <v>465.65761854152913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3.6357050703372803E-14</v>
      </c>
      <c r="DQ133" s="14">
        <f t="shared" ref="DQ133:DQ153" si="151">EXP(-1.0587+0.8836*LN(DP133)+0.284)</f>
        <v>6.1445232567661395E-13</v>
      </c>
      <c r="DR133" s="22">
        <f t="shared" si="124"/>
        <v>1.1334929971951436E-12</v>
      </c>
      <c r="DS133" s="60">
        <f t="shared" si="125"/>
        <v>283.91028339343325</v>
      </c>
      <c r="DT133" s="60">
        <f ca="1">AVERAGE(OFFSET($DS$3,0,0,'Données projet'!$E$14+1,1))-AVERAGE(OFFSET($H$3,0,0,'Données projet'!$E$14+1,1))</f>
        <v>285.09561428624352</v>
      </c>
      <c r="DU133" s="60">
        <f t="shared" ref="DU133:DU196" si="152">$DU$3</f>
        <v>261.05678516705564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-9.2222762759774927E-14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272.69564942740931</v>
      </c>
      <c r="EP133" s="60">
        <f t="shared" ref="EP133:EP196" si="154">$EP$3</f>
        <v>316.57989180609252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0">
        <f t="shared" si="109"/>
        <v>816.20025459498834</v>
      </c>
      <c r="S134" s="60">
        <f ca="1">AVERAGE(OFFSET($R$3,0,0,'Données projet'!$E$9+1,1))-AVERAGE(OFFSET($H$3,0,0,'Données projet'!$E$9+1,1))</f>
        <v>469.67944008675863</v>
      </c>
      <c r="T134" s="60">
        <f t="shared" si="142"/>
        <v>266.11908070867173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0">
        <f t="shared" si="113"/>
        <v>878.8872980425765</v>
      </c>
      <c r="AN134" s="60">
        <f ca="1">AVERAGE(OFFSET($AM$3,0,0,'Données projet'!$E$10+1,1))-AVERAGE(OFFSET($H$3,0,0,'Données projet'!$E$10+1,1))</f>
        <v>516.30971934066179</v>
      </c>
      <c r="AO134" s="60">
        <f t="shared" si="144"/>
        <v>290.84286505723571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-1.250327841262333E-13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314.75847268052081</v>
      </c>
      <c r="BJ134" s="60">
        <f t="shared" si="146"/>
        <v>337.77701316755338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-6.2527760746888816E-13</v>
      </c>
      <c r="BZ134" s="14">
        <f>BY134*VLOOKUP('Données projet'!$B$12,Paramètres!$A$1:$I$89,3,0)*VLOOKUP('Données projet'!$B$12,Paramètres!$A$1:$I$89,5,0)</f>
        <v>-2.9262992029543964E-13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277.77877239988635</v>
      </c>
      <c r="CE134" s="60">
        <f t="shared" si="148"/>
        <v>164.65640238394164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334.26876877415839</v>
      </c>
      <c r="CZ134" s="60">
        <f t="shared" si="150"/>
        <v>465.65761854152913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3.6357050703372803E-14</v>
      </c>
      <c r="DQ134" s="14">
        <f t="shared" si="151"/>
        <v>6.1445232567661395E-13</v>
      </c>
      <c r="DR134" s="22">
        <f t="shared" si="124"/>
        <v>1.1334929971951436E-12</v>
      </c>
      <c r="DS134" s="60">
        <f t="shared" si="125"/>
        <v>284.07375224310687</v>
      </c>
      <c r="DT134" s="60">
        <f ca="1">AVERAGE(OFFSET($DS$3,0,0,'Données projet'!$E$14+1,1))-AVERAGE(OFFSET($H$3,0,0,'Données projet'!$E$14+1,1))</f>
        <v>285.09561428624352</v>
      </c>
      <c r="DU134" s="60">
        <f t="shared" si="152"/>
        <v>261.05678516705564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-9.2222762759774927E-14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272.69564942740931</v>
      </c>
      <c r="EP134" s="60">
        <f t="shared" si="154"/>
        <v>316.57989180609252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0">
        <f t="shared" si="109"/>
        <v>821.52807351215029</v>
      </c>
      <c r="S135" s="60">
        <f ca="1">AVERAGE(OFFSET($R$3,0,0,'Données projet'!$E$9+1,1))-AVERAGE(OFFSET($H$3,0,0,'Données projet'!$E$9+1,1))</f>
        <v>469.67944008675863</v>
      </c>
      <c r="T135" s="60">
        <f t="shared" si="142"/>
        <v>266.11908070867173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0">
        <f t="shared" si="113"/>
        <v>884.82527115464109</v>
      </c>
      <c r="AN135" s="60">
        <f ca="1">AVERAGE(OFFSET($AM$3,0,0,'Données projet'!$E$10+1,1))-AVERAGE(OFFSET($H$3,0,0,'Données projet'!$E$10+1,1))</f>
        <v>516.30971934066179</v>
      </c>
      <c r="AO135" s="60">
        <f t="shared" si="144"/>
        <v>290.84286505723571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-1.250327841262333E-13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314.75847268052081</v>
      </c>
      <c r="BJ135" s="60">
        <f t="shared" si="146"/>
        <v>337.77701316755338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-6.2527760746888816E-13</v>
      </c>
      <c r="BZ135" s="14">
        <f>BY135*VLOOKUP('Données projet'!$B$12,Paramètres!$A$1:$I$89,3,0)*VLOOKUP('Données projet'!$B$12,Paramètres!$A$1:$I$89,5,0)</f>
        <v>-2.9262992029543964E-13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277.77877239988635</v>
      </c>
      <c r="CE135" s="60">
        <f t="shared" si="148"/>
        <v>164.65640238394164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334.26876877415839</v>
      </c>
      <c r="CZ135" s="60">
        <f t="shared" si="150"/>
        <v>465.65761854152913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3.6357050703372803E-14</v>
      </c>
      <c r="DQ135" s="14">
        <f t="shared" si="151"/>
        <v>6.1445232567661395E-13</v>
      </c>
      <c r="DR135" s="22">
        <f t="shared" si="124"/>
        <v>1.1334929971951436E-12</v>
      </c>
      <c r="DS135" s="60">
        <f t="shared" si="125"/>
        <v>284.2343852737003</v>
      </c>
      <c r="DT135" s="60">
        <f ca="1">AVERAGE(OFFSET($DS$3,0,0,'Données projet'!$E$14+1,1))-AVERAGE(OFFSET($H$3,0,0,'Données projet'!$E$14+1,1))</f>
        <v>285.09561428624352</v>
      </c>
      <c r="DU135" s="60">
        <f t="shared" si="152"/>
        <v>261.05678516705564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-9.2222762759774927E-14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272.69564942740931</v>
      </c>
      <c r="EP135" s="60">
        <f t="shared" si="154"/>
        <v>316.57989180609252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0">
        <f t="shared" si="109"/>
        <v>826.8520614231727</v>
      </c>
      <c r="S136" s="60">
        <f ca="1">AVERAGE(OFFSET($R$3,0,0,'Données projet'!$E$9+1,1))-AVERAGE(OFFSET($H$3,0,0,'Données projet'!$E$9+1,1))</f>
        <v>469.67944008675863</v>
      </c>
      <c r="T136" s="60">
        <f t="shared" si="142"/>
        <v>266.11908070867173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0">
        <f t="shared" si="113"/>
        <v>890.75930263547093</v>
      </c>
      <c r="AN136" s="60">
        <f ca="1">AVERAGE(OFFSET($AM$3,0,0,'Données projet'!$E$10+1,1))-AVERAGE(OFFSET($H$3,0,0,'Données projet'!$E$10+1,1))</f>
        <v>516.30971934066179</v>
      </c>
      <c r="AO136" s="60">
        <f t="shared" si="144"/>
        <v>290.84286505723571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-1.250327841262333E-13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314.75847268052081</v>
      </c>
      <c r="BJ136" s="60">
        <f t="shared" si="146"/>
        <v>337.77701316755338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-6.2527760746888816E-13</v>
      </c>
      <c r="BZ136" s="14">
        <f>BY136*VLOOKUP('Données projet'!$B$12,Paramètres!$A$1:$I$89,3,0)*VLOOKUP('Données projet'!$B$12,Paramètres!$A$1:$I$89,5,0)</f>
        <v>-2.9262992029543964E-13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277.77877239988635</v>
      </c>
      <c r="CE136" s="60">
        <f t="shared" si="148"/>
        <v>164.65640238394164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334.26876877415839</v>
      </c>
      <c r="CZ136" s="60">
        <f t="shared" si="150"/>
        <v>465.65761854152913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3.6357050703372803E-14</v>
      </c>
      <c r="DQ136" s="14">
        <f t="shared" si="151"/>
        <v>6.1445232567661395E-13</v>
      </c>
      <c r="DR136" s="22">
        <f t="shared" si="124"/>
        <v>1.1334929971951436E-12</v>
      </c>
      <c r="DS136" s="60">
        <f t="shared" si="125"/>
        <v>284.39223168033453</v>
      </c>
      <c r="DT136" s="60">
        <f ca="1">AVERAGE(OFFSET($DS$3,0,0,'Données projet'!$E$14+1,1))-AVERAGE(OFFSET($H$3,0,0,'Données projet'!$E$14+1,1))</f>
        <v>285.09561428624352</v>
      </c>
      <c r="DU136" s="60">
        <f t="shared" si="152"/>
        <v>261.05678516705564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-9.2222762759774927E-14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272.69564942740931</v>
      </c>
      <c r="EP136" s="60">
        <f t="shared" si="154"/>
        <v>316.57989180609252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0">
        <f t="shared" si="109"/>
        <v>832.17227802440902</v>
      </c>
      <c r="S137" s="60">
        <f ca="1">AVERAGE(OFFSET($R$3,0,0,'Données projet'!$E$9+1,1))-AVERAGE(OFFSET($H$3,0,0,'Données projet'!$E$9+1,1))</f>
        <v>469.67944008675863</v>
      </c>
      <c r="T137" s="60">
        <f t="shared" si="142"/>
        <v>266.11908070867173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0">
        <f t="shared" si="113"/>
        <v>896.68945338415017</v>
      </c>
      <c r="AN137" s="60">
        <f ca="1">AVERAGE(OFFSET($AM$3,0,0,'Données projet'!$E$10+1,1))-AVERAGE(OFFSET($H$3,0,0,'Données projet'!$E$10+1,1))</f>
        <v>516.30971934066179</v>
      </c>
      <c r="AO137" s="60">
        <f t="shared" si="144"/>
        <v>290.84286505723571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-1.250327841262333E-13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314.75847268052081</v>
      </c>
      <c r="BJ137" s="60">
        <f t="shared" si="146"/>
        <v>337.77701316755338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-6.2527760746888816E-13</v>
      </c>
      <c r="BZ137" s="14">
        <f>BY137*VLOOKUP('Données projet'!$B$12,Paramètres!$A$1:$I$89,3,0)*VLOOKUP('Données projet'!$B$12,Paramètres!$A$1:$I$89,5,0)</f>
        <v>-2.9262992029543964E-13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277.77877239988635</v>
      </c>
      <c r="CE137" s="60">
        <f t="shared" si="148"/>
        <v>164.65640238394164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334.26876877415839</v>
      </c>
      <c r="CZ137" s="60">
        <f t="shared" si="150"/>
        <v>465.65761854152913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3.6357050703372803E-14</v>
      </c>
      <c r="DQ137" s="14">
        <f t="shared" si="151"/>
        <v>6.1445232567661395E-13</v>
      </c>
      <c r="DR137" s="22">
        <f t="shared" si="124"/>
        <v>1.1334929971951436E-12</v>
      </c>
      <c r="DS137" s="60">
        <f t="shared" si="125"/>
        <v>284.54733980470542</v>
      </c>
      <c r="DT137" s="60">
        <f ca="1">AVERAGE(OFFSET($DS$3,0,0,'Données projet'!$E$14+1,1))-AVERAGE(OFFSET($H$3,0,0,'Données projet'!$E$14+1,1))</f>
        <v>285.09561428624352</v>
      </c>
      <c r="DU137" s="60">
        <f t="shared" si="152"/>
        <v>261.05678516705564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-9.2222762759774927E-14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272.69564942740931</v>
      </c>
      <c r="EP137" s="60">
        <f t="shared" si="154"/>
        <v>316.57989180609252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0">
        <f t="shared" si="109"/>
        <v>837.48878194181952</v>
      </c>
      <c r="S138" s="60">
        <f ca="1">AVERAGE(OFFSET($R$3,0,0,'Données projet'!$E$9+1,1))-AVERAGE(OFFSET($H$3,0,0,'Données projet'!$E$9+1,1))</f>
        <v>469.67944008675863</v>
      </c>
      <c r="T138" s="60">
        <f t="shared" si="142"/>
        <v>266.11908070867173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0">
        <f t="shared" si="113"/>
        <v>902.61578320481863</v>
      </c>
      <c r="AN138" s="60">
        <f ca="1">AVERAGE(OFFSET($AM$3,0,0,'Données projet'!$E$10+1,1))-AVERAGE(OFFSET($H$3,0,0,'Données projet'!$E$10+1,1))</f>
        <v>516.30971934066179</v>
      </c>
      <c r="AO138" s="60">
        <f t="shared" si="144"/>
        <v>290.84286505723571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-1.250327841262333E-13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314.75847268052081</v>
      </c>
      <c r="BJ138" s="60">
        <f t="shared" si="146"/>
        <v>337.77701316755338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-6.2527760746888816E-13</v>
      </c>
      <c r="BZ138" s="14">
        <f>BY138*VLOOKUP('Données projet'!$B$12,Paramètres!$A$1:$I$89,3,0)*VLOOKUP('Données projet'!$B$12,Paramètres!$A$1:$I$89,5,0)</f>
        <v>-2.9262992029543964E-13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277.77877239988635</v>
      </c>
      <c r="CE138" s="60">
        <f t="shared" si="148"/>
        <v>164.65640238394164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334.26876877415839</v>
      </c>
      <c r="CZ138" s="60">
        <f t="shared" si="150"/>
        <v>465.65761854152913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3.6357050703372803E-14</v>
      </c>
      <c r="DQ138" s="14">
        <f t="shared" si="151"/>
        <v>6.1445232567661395E-13</v>
      </c>
      <c r="DR138" s="22">
        <f t="shared" si="124"/>
        <v>1.1334929971951436E-12</v>
      </c>
      <c r="DS138" s="60">
        <f t="shared" si="125"/>
        <v>284.69975714988828</v>
      </c>
      <c r="DT138" s="60">
        <f ca="1">AVERAGE(OFFSET($DS$3,0,0,'Données projet'!$E$14+1,1))-AVERAGE(OFFSET($H$3,0,0,'Données projet'!$E$14+1,1))</f>
        <v>285.09561428624352</v>
      </c>
      <c r="DU138" s="60">
        <f t="shared" si="152"/>
        <v>261.05678516705564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-9.2222762759774927E-14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272.69564942740931</v>
      </c>
      <c r="EP138" s="60">
        <f t="shared" si="154"/>
        <v>316.57989180609252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0">
        <f t="shared" si="109"/>
        <v>842.80163075241853</v>
      </c>
      <c r="S139" s="60">
        <f ca="1">AVERAGE(OFFSET($R$3,0,0,'Données projet'!$E$9+1,1))-AVERAGE(OFFSET($H$3,0,0,'Données projet'!$E$9+1,1))</f>
        <v>469.67944008675863</v>
      </c>
      <c r="T139" s="60">
        <f t="shared" si="142"/>
        <v>266.11908070867173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0">
        <f t="shared" si="113"/>
        <v>908.53835082885075</v>
      </c>
      <c r="AN139" s="60">
        <f ca="1">AVERAGE(OFFSET($AM$3,0,0,'Données projet'!$E$10+1,1))-AVERAGE(OFFSET($H$3,0,0,'Données projet'!$E$10+1,1))</f>
        <v>516.30971934066179</v>
      </c>
      <c r="AO139" s="60">
        <f t="shared" si="144"/>
        <v>290.84286505723571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-1.250327841262333E-13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314.75847268052081</v>
      </c>
      <c r="BJ139" s="60">
        <f t="shared" si="146"/>
        <v>337.77701316755338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-6.2527760746888816E-13</v>
      </c>
      <c r="BZ139" s="14">
        <f>BY139*VLOOKUP('Données projet'!$B$12,Paramètres!$A$1:$I$89,3,0)*VLOOKUP('Données projet'!$B$12,Paramètres!$A$1:$I$89,5,0)</f>
        <v>-2.9262992029543964E-13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277.77877239988635</v>
      </c>
      <c r="CE139" s="60">
        <f t="shared" si="148"/>
        <v>164.65640238394164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334.26876877415839</v>
      </c>
      <c r="CZ139" s="60">
        <f t="shared" si="150"/>
        <v>465.65761854152913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3.6357050703372803E-14</v>
      </c>
      <c r="DQ139" s="14">
        <f t="shared" si="151"/>
        <v>6.1445232567661395E-13</v>
      </c>
      <c r="DR139" s="22">
        <f t="shared" si="124"/>
        <v>1.1334929971951436E-12</v>
      </c>
      <c r="DS139" s="60">
        <f t="shared" si="125"/>
        <v>284.84953039488636</v>
      </c>
      <c r="DT139" s="60">
        <f ca="1">AVERAGE(OFFSET($DS$3,0,0,'Données projet'!$E$14+1,1))-AVERAGE(OFFSET($H$3,0,0,'Données projet'!$E$14+1,1))</f>
        <v>285.09561428624352</v>
      </c>
      <c r="DU139" s="60">
        <f t="shared" si="152"/>
        <v>261.05678516705564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-9.2222762759774927E-14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272.69564942740931</v>
      </c>
      <c r="EP139" s="60">
        <f t="shared" si="154"/>
        <v>316.57989180609252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0">
        <f t="shared" si="109"/>
        <v>848.11088100520078</v>
      </c>
      <c r="S140" s="60">
        <f ca="1">AVERAGE(OFFSET($R$3,0,0,'Données projet'!$E$9+1,1))-AVERAGE(OFFSET($H$3,0,0,'Données projet'!$E$9+1,1))</f>
        <v>469.67944008675863</v>
      </c>
      <c r="T140" s="60">
        <f t="shared" si="142"/>
        <v>266.11908070867173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0">
        <f t="shared" si="113"/>
        <v>914.45721393648523</v>
      </c>
      <c r="AN140" s="60">
        <f ca="1">AVERAGE(OFFSET($AM$3,0,0,'Données projet'!$E$10+1,1))-AVERAGE(OFFSET($H$3,0,0,'Données projet'!$E$10+1,1))</f>
        <v>516.30971934066179</v>
      </c>
      <c r="AO140" s="60">
        <f t="shared" si="144"/>
        <v>290.84286505723571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-1.250327841262333E-13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314.75847268052081</v>
      </c>
      <c r="BJ140" s="60">
        <f t="shared" si="146"/>
        <v>337.77701316755338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-6.2527760746888816E-13</v>
      </c>
      <c r="BZ140" s="14">
        <f>BY140*VLOOKUP('Données projet'!$B$12,Paramètres!$A$1:$I$89,3,0)*VLOOKUP('Données projet'!$B$12,Paramètres!$A$1:$I$89,5,0)</f>
        <v>-2.9262992029543964E-13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277.77877239988635</v>
      </c>
      <c r="CE140" s="60">
        <f t="shared" si="148"/>
        <v>164.65640238394164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334.26876877415839</v>
      </c>
      <c r="CZ140" s="60">
        <f t="shared" si="150"/>
        <v>465.65761854152913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3.6357050703372803E-14</v>
      </c>
      <c r="DQ140" s="14">
        <f t="shared" si="151"/>
        <v>6.1445232567661395E-13</v>
      </c>
      <c r="DR140" s="22">
        <f t="shared" si="124"/>
        <v>1.1334929971951436E-12</v>
      </c>
      <c r="DS140" s="60">
        <f t="shared" si="125"/>
        <v>284.99670540892652</v>
      </c>
      <c r="DT140" s="60">
        <f ca="1">AVERAGE(OFFSET($DS$3,0,0,'Données projet'!$E$14+1,1))-AVERAGE(OFFSET($H$3,0,0,'Données projet'!$E$14+1,1))</f>
        <v>285.09561428624352</v>
      </c>
      <c r="DU140" s="60">
        <f t="shared" si="152"/>
        <v>261.05678516705564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-9.2222762759774927E-14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272.69564942740931</v>
      </c>
      <c r="EP140" s="60">
        <f t="shared" si="154"/>
        <v>316.57989180609252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0">
        <f t="shared" si="109"/>
        <v>853.41658824156661</v>
      </c>
      <c r="S141" s="60">
        <f ca="1">AVERAGE(OFFSET($R$3,0,0,'Données projet'!$E$9+1,1))-AVERAGE(OFFSET($H$3,0,0,'Données projet'!$E$9+1,1))</f>
        <v>469.67944008675863</v>
      </c>
      <c r="T141" s="60">
        <f t="shared" si="142"/>
        <v>266.11908070867173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0">
        <f t="shared" si="113"/>
        <v>920.37242917792332</v>
      </c>
      <c r="AN141" s="60">
        <f ca="1">AVERAGE(OFFSET($AM$3,0,0,'Données projet'!$E$10+1,1))-AVERAGE(OFFSET($H$3,0,0,'Données projet'!$E$10+1,1))</f>
        <v>516.30971934066179</v>
      </c>
      <c r="AO141" s="60">
        <f t="shared" si="144"/>
        <v>290.84286505723571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-1.250327841262333E-13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314.75847268052081</v>
      </c>
      <c r="BJ141" s="60">
        <f t="shared" si="146"/>
        <v>337.77701316755338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-6.2527760746888816E-13</v>
      </c>
      <c r="BZ141" s="14">
        <f>BY141*VLOOKUP('Données projet'!$B$12,Paramètres!$A$1:$I$89,3,0)*VLOOKUP('Données projet'!$B$12,Paramètres!$A$1:$I$89,5,0)</f>
        <v>-2.9262992029543964E-13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277.77877239988635</v>
      </c>
      <c r="CE141" s="60">
        <f t="shared" si="148"/>
        <v>164.65640238394164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334.26876877415839</v>
      </c>
      <c r="CZ141" s="60">
        <f t="shared" si="150"/>
        <v>465.65761854152913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3.6357050703372803E-14</v>
      </c>
      <c r="DQ141" s="14">
        <f t="shared" si="151"/>
        <v>6.1445232567661395E-13</v>
      </c>
      <c r="DR141" s="22">
        <f t="shared" si="124"/>
        <v>1.1334929971951436E-12</v>
      </c>
      <c r="DS141" s="60">
        <f t="shared" si="125"/>
        <v>285.14132726550707</v>
      </c>
      <c r="DT141" s="60">
        <f ca="1">AVERAGE(OFFSET($DS$3,0,0,'Données projet'!$E$14+1,1))-AVERAGE(OFFSET($H$3,0,0,'Données projet'!$E$14+1,1))</f>
        <v>285.09561428624352</v>
      </c>
      <c r="DU141" s="60">
        <f t="shared" si="152"/>
        <v>261.05678516705564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-9.2222762759774927E-14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272.69564942740931</v>
      </c>
      <c r="EP141" s="60">
        <f t="shared" si="154"/>
        <v>316.57989180609252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0">
        <f t="shared" si="109"/>
        <v>858.71880701525538</v>
      </c>
      <c r="S142" s="60">
        <f ca="1">AVERAGE(OFFSET($R$3,0,0,'Données projet'!$E$9+1,1))-AVERAGE(OFFSET($H$3,0,0,'Données projet'!$E$9+1,1))</f>
        <v>469.67944008675863</v>
      </c>
      <c r="T142" s="60">
        <f t="shared" si="142"/>
        <v>266.11908070867173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0">
        <f t="shared" si="113"/>
        <v>926.28405219391425</v>
      </c>
      <c r="AN142" s="60">
        <f ca="1">AVERAGE(OFFSET($AM$3,0,0,'Données projet'!$E$10+1,1))-AVERAGE(OFFSET($H$3,0,0,'Données projet'!$E$10+1,1))</f>
        <v>516.30971934066179</v>
      </c>
      <c r="AO142" s="60">
        <f t="shared" si="144"/>
        <v>290.84286505723571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-1.250327841262333E-13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314.75847268052081</v>
      </c>
      <c r="BJ142" s="60">
        <f t="shared" si="146"/>
        <v>337.77701316755338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-6.2527760746888816E-13</v>
      </c>
      <c r="BZ142" s="14">
        <f>BY142*VLOOKUP('Données projet'!$B$12,Paramètres!$A$1:$I$89,3,0)*VLOOKUP('Données projet'!$B$12,Paramètres!$A$1:$I$89,5,0)</f>
        <v>-2.9262992029543964E-13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277.77877239988635</v>
      </c>
      <c r="CE142" s="60">
        <f t="shared" si="148"/>
        <v>164.65640238394164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334.26876877415839</v>
      </c>
      <c r="CZ142" s="60">
        <f t="shared" si="150"/>
        <v>465.65761854152913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3.6357050703372803E-14</v>
      </c>
      <c r="DQ142" s="14">
        <f t="shared" si="151"/>
        <v>6.1445232567661395E-13</v>
      </c>
      <c r="DR142" s="22">
        <f t="shared" si="124"/>
        <v>1.1334929971951436E-12</v>
      </c>
      <c r="DS142" s="60">
        <f t="shared" si="125"/>
        <v>285.28344025620203</v>
      </c>
      <c r="DT142" s="60">
        <f ca="1">AVERAGE(OFFSET($DS$3,0,0,'Données projet'!$E$14+1,1))-AVERAGE(OFFSET($H$3,0,0,'Données projet'!$E$14+1,1))</f>
        <v>285.09561428624352</v>
      </c>
      <c r="DU142" s="60">
        <f t="shared" si="152"/>
        <v>261.05678516705564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-9.2222762759774927E-14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272.69564942740931</v>
      </c>
      <c r="EP142" s="60">
        <f t="shared" si="154"/>
        <v>316.57989180609252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0">
        <f t="shared" si="109"/>
        <v>864.01759091181088</v>
      </c>
      <c r="S143" s="60">
        <f ca="1">AVERAGE(OFFSET($R$3,0,0,'Données projet'!$E$9+1,1))-AVERAGE(OFFSET($H$3,0,0,'Données projet'!$E$9+1,1))</f>
        <v>469.67944008675863</v>
      </c>
      <c r="T143" s="60">
        <f t="shared" si="142"/>
        <v>266.11908070867173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0">
        <f t="shared" si="113"/>
        <v>932.19213763584321</v>
      </c>
      <c r="AN143" s="60">
        <f ca="1">AVERAGE(OFFSET($AM$3,0,0,'Données projet'!$E$10+1,1))-AVERAGE(OFFSET($H$3,0,0,'Données projet'!$E$10+1,1))</f>
        <v>516.30971934066179</v>
      </c>
      <c r="AO143" s="60">
        <f t="shared" si="144"/>
        <v>290.84286505723571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-1.250327841262333E-13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314.75847268052081</v>
      </c>
      <c r="BJ143" s="60">
        <f t="shared" si="146"/>
        <v>337.77701316755338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-6.2527760746888816E-13</v>
      </c>
      <c r="BZ143" s="14">
        <f>BY143*VLOOKUP('Données projet'!$B$12,Paramètres!$A$1:$I$89,3,0)*VLOOKUP('Données projet'!$B$12,Paramètres!$A$1:$I$89,5,0)</f>
        <v>-2.9262992029543964E-13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277.77877239988635</v>
      </c>
      <c r="CE143" s="60">
        <f t="shared" si="148"/>
        <v>164.65640238394164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334.26876877415839</v>
      </c>
      <c r="CZ143" s="60">
        <f t="shared" si="150"/>
        <v>465.65761854152913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3.6357050703372803E-14</v>
      </c>
      <c r="DQ143" s="14">
        <f t="shared" si="151"/>
        <v>6.1445232567661395E-13</v>
      </c>
      <c r="DR143" s="22">
        <f t="shared" si="124"/>
        <v>1.1334929971951436E-12</v>
      </c>
      <c r="DS143" s="60">
        <f t="shared" si="125"/>
        <v>285.4230879042255</v>
      </c>
      <c r="DT143" s="60">
        <f ca="1">AVERAGE(OFFSET($DS$3,0,0,'Données projet'!$E$14+1,1))-AVERAGE(OFFSET($H$3,0,0,'Données projet'!$E$14+1,1))</f>
        <v>285.09561428624352</v>
      </c>
      <c r="DU143" s="60">
        <f t="shared" si="152"/>
        <v>261.05678516705564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-9.2222762759774927E-14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272.69564942740931</v>
      </c>
      <c r="EP143" s="60">
        <f t="shared" si="154"/>
        <v>316.57989180609252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0">
        <f t="shared" si="109"/>
        <v>817.11261859517413</v>
      </c>
      <c r="S144" s="60">
        <f ca="1">AVERAGE(OFFSET($R$3,0,0,'Données projet'!$E$9+1,1))-AVERAGE(OFFSET($H$3,0,0,'Données projet'!$E$9+1,1))</f>
        <v>469.67944008675863</v>
      </c>
      <c r="T144" s="60">
        <f t="shared" si="142"/>
        <v>266.11908070867173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0">
        <f t="shared" si="113"/>
        <v>879.73186025041241</v>
      </c>
      <c r="AN144" s="60">
        <f ca="1">AVERAGE(OFFSET($AM$3,0,0,'Données projet'!$E$10+1,1))-AVERAGE(OFFSET($H$3,0,0,'Données projet'!$E$10+1,1))</f>
        <v>516.30971934066179</v>
      </c>
      <c r="AO144" s="60">
        <f t="shared" si="144"/>
        <v>290.84286505723571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-1.250327841262333E-13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314.75847268052081</v>
      </c>
      <c r="BJ144" s="60">
        <f t="shared" si="146"/>
        <v>337.77701316755338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-6.2527760746888816E-13</v>
      </c>
      <c r="BZ144" s="14">
        <f>BY144*VLOOKUP('Données projet'!$B$12,Paramètres!$A$1:$I$89,3,0)*VLOOKUP('Données projet'!$B$12,Paramètres!$A$1:$I$89,5,0)</f>
        <v>-2.9262992029543964E-13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277.77877239988635</v>
      </c>
      <c r="CE144" s="60">
        <f t="shared" si="148"/>
        <v>164.65640238394164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334.26876877415839</v>
      </c>
      <c r="CZ144" s="60">
        <f t="shared" si="150"/>
        <v>465.65761854152913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3.6357050703372803E-14</v>
      </c>
      <c r="DQ144" s="14">
        <f t="shared" si="151"/>
        <v>6.1445232567661395E-13</v>
      </c>
      <c r="DR144" s="22">
        <f t="shared" si="124"/>
        <v>1.1334929971951436E-12</v>
      </c>
      <c r="DS144" s="60">
        <f t="shared" si="125"/>
        <v>285.56031297776116</v>
      </c>
      <c r="DT144" s="60">
        <f ca="1">AVERAGE(OFFSET($DS$3,0,0,'Données projet'!$E$14+1,1))-AVERAGE(OFFSET($H$3,0,0,'Données projet'!$E$14+1,1))</f>
        <v>285.09561428624352</v>
      </c>
      <c r="DU144" s="60">
        <f t="shared" si="152"/>
        <v>261.05678516705564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-9.2222762759774927E-14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272.69564942740931</v>
      </c>
      <c r="EP144" s="60">
        <f t="shared" si="154"/>
        <v>316.57989180609252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0">
        <f t="shared" si="109"/>
        <v>821.84067287080984</v>
      </c>
      <c r="S145" s="60">
        <f ca="1">AVERAGE(OFFSET($R$3,0,0,'Données projet'!$E$9+1,1))-AVERAGE(OFFSET($H$3,0,0,'Données projet'!$E$9+1,1))</f>
        <v>469.67944008675863</v>
      </c>
      <c r="T145" s="60">
        <f t="shared" si="142"/>
        <v>266.11908070867173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0">
        <f t="shared" si="113"/>
        <v>885.00229029524007</v>
      </c>
      <c r="AN145" s="60">
        <f ca="1">AVERAGE(OFFSET($AM$3,0,0,'Données projet'!$E$10+1,1))-AVERAGE(OFFSET($H$3,0,0,'Données projet'!$E$10+1,1))</f>
        <v>516.30971934066179</v>
      </c>
      <c r="AO145" s="60">
        <f t="shared" si="144"/>
        <v>290.84286505723571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-1.250327841262333E-13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314.75847268052081</v>
      </c>
      <c r="BJ145" s="60">
        <f t="shared" si="146"/>
        <v>337.77701316755338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-6.2527760746888816E-13</v>
      </c>
      <c r="BZ145" s="14">
        <f>BY145*VLOOKUP('Données projet'!$B$12,Paramètres!$A$1:$I$89,3,0)*VLOOKUP('Données projet'!$B$12,Paramètres!$A$1:$I$89,5,0)</f>
        <v>-2.9262992029543964E-13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277.77877239988635</v>
      </c>
      <c r="CE145" s="60">
        <f t="shared" si="148"/>
        <v>164.65640238394164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334.26876877415839</v>
      </c>
      <c r="CZ145" s="60">
        <f t="shared" si="150"/>
        <v>465.65761854152913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3.6357050703372803E-14</v>
      </c>
      <c r="DQ145" s="14">
        <f t="shared" si="151"/>
        <v>6.1445232567661395E-13</v>
      </c>
      <c r="DR145" s="22">
        <f t="shared" si="124"/>
        <v>1.1334929971951436E-12</v>
      </c>
      <c r="DS145" s="60">
        <f t="shared" si="125"/>
        <v>285.69515750306022</v>
      </c>
      <c r="DT145" s="60">
        <f ca="1">AVERAGE(OFFSET($DS$3,0,0,'Données projet'!$E$14+1,1))-AVERAGE(OFFSET($H$3,0,0,'Données projet'!$E$14+1,1))</f>
        <v>285.09561428624352</v>
      </c>
      <c r="DU145" s="60">
        <f t="shared" si="152"/>
        <v>261.05678516705564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-9.2222762759774927E-14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272.69564942740931</v>
      </c>
      <c r="EP145" s="60">
        <f t="shared" si="154"/>
        <v>316.57989180609252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0">
        <f t="shared" si="109"/>
        <v>826.56556068874397</v>
      </c>
      <c r="S146" s="60">
        <f ca="1">AVERAGE(OFFSET($R$3,0,0,'Données projet'!$E$9+1,1))-AVERAGE(OFFSET($H$3,0,0,'Données projet'!$E$9+1,1))</f>
        <v>469.67944008675863</v>
      </c>
      <c r="T146" s="60">
        <f t="shared" si="142"/>
        <v>266.11908070867173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0">
        <f t="shared" si="113"/>
        <v>890.26946626136214</v>
      </c>
      <c r="AN146" s="60">
        <f ca="1">AVERAGE(OFFSET($AM$3,0,0,'Données projet'!$E$10+1,1))-AVERAGE(OFFSET($H$3,0,0,'Données projet'!$E$10+1,1))</f>
        <v>516.30971934066179</v>
      </c>
      <c r="AO146" s="60">
        <f t="shared" si="144"/>
        <v>290.84286505723571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-1.250327841262333E-13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314.75847268052081</v>
      </c>
      <c r="BJ146" s="60">
        <f t="shared" si="146"/>
        <v>337.77701316755338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-6.2527760746888816E-13</v>
      </c>
      <c r="BZ146" s="14">
        <f>BY146*VLOOKUP('Données projet'!$B$12,Paramètres!$A$1:$I$89,3,0)*VLOOKUP('Données projet'!$B$12,Paramètres!$A$1:$I$89,5,0)</f>
        <v>-2.9262992029543964E-13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277.77877239988635</v>
      </c>
      <c r="CE146" s="60">
        <f t="shared" si="148"/>
        <v>164.65640238394164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334.26876877415839</v>
      </c>
      <c r="CZ146" s="60">
        <f t="shared" si="150"/>
        <v>465.65761854152913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3.6357050703372803E-14</v>
      </c>
      <c r="DQ146" s="14">
        <f t="shared" si="151"/>
        <v>6.1445232567661395E-13</v>
      </c>
      <c r="DR146" s="22">
        <f t="shared" si="124"/>
        <v>1.1334929971951436E-12</v>
      </c>
      <c r="DS146" s="60">
        <f t="shared" si="125"/>
        <v>285.82766277731258</v>
      </c>
      <c r="DT146" s="60">
        <f ca="1">AVERAGE(OFFSET($DS$3,0,0,'Données projet'!$E$14+1,1))-AVERAGE(OFFSET($H$3,0,0,'Données projet'!$E$14+1,1))</f>
        <v>285.09561428624352</v>
      </c>
      <c r="DU146" s="60">
        <f t="shared" si="152"/>
        <v>261.05678516705564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-9.2222762759774927E-14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272.69564942740931</v>
      </c>
      <c r="EP146" s="60">
        <f t="shared" si="154"/>
        <v>316.57989180609252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0">
        <f t="shared" si="109"/>
        <v>831.28733065046117</v>
      </c>
      <c r="S147" s="60">
        <f ca="1">AVERAGE(OFFSET($R$3,0,0,'Données projet'!$E$9+1,1))-AVERAGE(OFFSET($H$3,0,0,'Données projet'!$E$9+1,1))</f>
        <v>469.67944008675863</v>
      </c>
      <c r="T147" s="60">
        <f t="shared" si="142"/>
        <v>266.11908070867173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0">
        <f t="shared" si="113"/>
        <v>895.53343759984887</v>
      </c>
      <c r="AN147" s="60">
        <f ca="1">AVERAGE(OFFSET($AM$3,0,0,'Données projet'!$E$10+1,1))-AVERAGE(OFFSET($H$3,0,0,'Données projet'!$E$10+1,1))</f>
        <v>516.30971934066179</v>
      </c>
      <c r="AO147" s="60">
        <f t="shared" si="144"/>
        <v>290.84286505723571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-1.250327841262333E-13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314.75847268052081</v>
      </c>
      <c r="BJ147" s="60">
        <f t="shared" si="146"/>
        <v>337.77701316755338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-6.2527760746888816E-13</v>
      </c>
      <c r="BZ147" s="14">
        <f>BY147*VLOOKUP('Données projet'!$B$12,Paramètres!$A$1:$I$89,3,0)*VLOOKUP('Données projet'!$B$12,Paramètres!$A$1:$I$89,5,0)</f>
        <v>-2.9262992029543964E-13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277.77877239988635</v>
      </c>
      <c r="CE147" s="60">
        <f t="shared" si="148"/>
        <v>164.65640238394164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334.26876877415839</v>
      </c>
      <c r="CZ147" s="60">
        <f t="shared" si="150"/>
        <v>465.65761854152913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3.6357050703372803E-14</v>
      </c>
      <c r="DQ147" s="14">
        <f t="shared" si="151"/>
        <v>6.1445232567661395E-13</v>
      </c>
      <c r="DR147" s="22">
        <f t="shared" si="124"/>
        <v>1.1334929971951436E-12</v>
      </c>
      <c r="DS147" s="60">
        <f t="shared" si="125"/>
        <v>285.95786938129402</v>
      </c>
      <c r="DT147" s="60">
        <f ca="1">AVERAGE(OFFSET($DS$3,0,0,'Données projet'!$E$14+1,1))-AVERAGE(OFFSET($H$3,0,0,'Données projet'!$E$14+1,1))</f>
        <v>285.09561428624352</v>
      </c>
      <c r="DU147" s="60">
        <f t="shared" si="152"/>
        <v>261.05678516705564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-9.2222762759774927E-14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272.69564942740931</v>
      </c>
      <c r="EP147" s="60">
        <f t="shared" si="154"/>
        <v>316.57989180609252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0">
        <f t="shared" si="109"/>
        <v>836.00603050729785</v>
      </c>
      <c r="S148" s="60">
        <f ca="1">AVERAGE(OFFSET($R$3,0,0,'Données projet'!$E$9+1,1))-AVERAGE(OFFSET($H$3,0,0,'Données projet'!$E$9+1,1))</f>
        <v>469.67944008675863</v>
      </c>
      <c r="T148" s="60">
        <f t="shared" si="142"/>
        <v>266.11908070867173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0">
        <f t="shared" si="113"/>
        <v>900.79425289613948</v>
      </c>
      <c r="AN148" s="60">
        <f ca="1">AVERAGE(OFFSET($AM$3,0,0,'Données projet'!$E$10+1,1))-AVERAGE(OFFSET($H$3,0,0,'Données projet'!$E$10+1,1))</f>
        <v>516.30971934066179</v>
      </c>
      <c r="AO148" s="60">
        <f t="shared" si="144"/>
        <v>290.84286505723571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-1.250327841262333E-13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314.75847268052081</v>
      </c>
      <c r="BJ148" s="60">
        <f t="shared" si="146"/>
        <v>337.77701316755338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-6.2527760746888816E-13</v>
      </c>
      <c r="BZ148" s="14">
        <f>BY148*VLOOKUP('Données projet'!$B$12,Paramètres!$A$1:$I$89,3,0)*VLOOKUP('Données projet'!$B$12,Paramètres!$A$1:$I$89,5,0)</f>
        <v>-2.9262992029543964E-13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277.77877239988635</v>
      </c>
      <c r="CE148" s="60">
        <f t="shared" si="148"/>
        <v>164.65640238394164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334.26876877415839</v>
      </c>
      <c r="CZ148" s="60">
        <f t="shared" si="150"/>
        <v>465.65761854152913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3.6357050703372803E-14</v>
      </c>
      <c r="DQ148" s="14">
        <f t="shared" si="151"/>
        <v>6.1445232567661395E-13</v>
      </c>
      <c r="DR148" s="22">
        <f t="shared" si="124"/>
        <v>1.1334929971951436E-12</v>
      </c>
      <c r="DS148" s="60">
        <f t="shared" si="125"/>
        <v>286.08581719179472</v>
      </c>
      <c r="DT148" s="60">
        <f ca="1">AVERAGE(OFFSET($DS$3,0,0,'Données projet'!$E$14+1,1))-AVERAGE(OFFSET($H$3,0,0,'Données projet'!$E$14+1,1))</f>
        <v>285.09561428624352</v>
      </c>
      <c r="DU148" s="60">
        <f t="shared" si="152"/>
        <v>261.05678516705564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-9.2222762759774927E-14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272.69564942740931</v>
      </c>
      <c r="EP148" s="60">
        <f t="shared" si="154"/>
        <v>316.57989180609252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0">
        <f t="shared" si="109"/>
        <v>840.72170717654171</v>
      </c>
      <c r="S149" s="60">
        <f ca="1">AVERAGE(OFFSET($R$3,0,0,'Données projet'!$E$9+1,1))-AVERAGE(OFFSET($H$3,0,0,'Données projet'!$E$9+1,1))</f>
        <v>469.67944008675863</v>
      </c>
      <c r="T149" s="60">
        <f t="shared" si="142"/>
        <v>266.11908070867173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0">
        <f t="shared" si="113"/>
        <v>906.05195988655476</v>
      </c>
      <c r="AN149" s="60">
        <f ca="1">AVERAGE(OFFSET($AM$3,0,0,'Données projet'!$E$10+1,1))-AVERAGE(OFFSET($H$3,0,0,'Données projet'!$E$10+1,1))</f>
        <v>516.30971934066179</v>
      </c>
      <c r="AO149" s="60">
        <f t="shared" si="144"/>
        <v>290.84286505723571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-1.250327841262333E-13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314.75847268052081</v>
      </c>
      <c r="BJ149" s="60">
        <f t="shared" si="146"/>
        <v>337.77701316755338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-6.2527760746888816E-13</v>
      </c>
      <c r="BZ149" s="14">
        <f>BY149*VLOOKUP('Données projet'!$B$12,Paramètres!$A$1:$I$89,3,0)*VLOOKUP('Données projet'!$B$12,Paramètres!$A$1:$I$89,5,0)</f>
        <v>-2.9262992029543964E-13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277.77877239988635</v>
      </c>
      <c r="CE149" s="60">
        <f t="shared" si="148"/>
        <v>164.65640238394164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334.26876877415839</v>
      </c>
      <c r="CZ149" s="60">
        <f t="shared" si="150"/>
        <v>465.65761854152913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3.6357050703372803E-14</v>
      </c>
      <c r="DQ149" s="14">
        <f t="shared" si="151"/>
        <v>6.1445232567661395E-13</v>
      </c>
      <c r="DR149" s="22">
        <f t="shared" si="124"/>
        <v>1.1334929971951436E-12</v>
      </c>
      <c r="DS149" s="60">
        <f t="shared" si="125"/>
        <v>286.21154539383178</v>
      </c>
      <c r="DT149" s="60">
        <f ca="1">AVERAGE(OFFSET($DS$3,0,0,'Données projet'!$E$14+1,1))-AVERAGE(OFFSET($H$3,0,0,'Données projet'!$E$14+1,1))</f>
        <v>285.09561428624352</v>
      </c>
      <c r="DU149" s="60">
        <f t="shared" si="152"/>
        <v>261.05678516705564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-9.2222762759774927E-14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272.69564942740931</v>
      </c>
      <c r="EP149" s="60">
        <f t="shared" si="154"/>
        <v>316.57989180609252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0">
        <f t="shared" si="109"/>
        <v>845.43440675718682</v>
      </c>
      <c r="S150" s="60">
        <f ca="1">AVERAGE(OFFSET($R$3,0,0,'Données projet'!$E$9+1,1))-AVERAGE(OFFSET($H$3,0,0,'Données projet'!$E$9+1,1))</f>
        <v>469.67944008675863</v>
      </c>
      <c r="T150" s="60">
        <f t="shared" si="142"/>
        <v>266.11908070867173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0">
        <f t="shared" si="113"/>
        <v>911.30660547444836</v>
      </c>
      <c r="AN150" s="60">
        <f ca="1">AVERAGE(OFFSET($AM$3,0,0,'Données projet'!$E$10+1,1))-AVERAGE(OFFSET($H$3,0,0,'Données projet'!$E$10+1,1))</f>
        <v>516.30971934066179</v>
      </c>
      <c r="AO150" s="60">
        <f t="shared" si="144"/>
        <v>290.84286505723571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-1.250327841262333E-13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314.75847268052081</v>
      </c>
      <c r="BJ150" s="60">
        <f t="shared" si="146"/>
        <v>337.77701316755338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-6.2527760746888816E-13</v>
      </c>
      <c r="BZ150" s="14">
        <f>BY150*VLOOKUP('Données projet'!$B$12,Paramètres!$A$1:$I$89,3,0)*VLOOKUP('Données projet'!$B$12,Paramètres!$A$1:$I$89,5,0)</f>
        <v>-2.9262992029543964E-13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277.77877239988635</v>
      </c>
      <c r="CE150" s="60">
        <f t="shared" si="148"/>
        <v>164.65640238394164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334.26876877415839</v>
      </c>
      <c r="CZ150" s="60">
        <f t="shared" si="150"/>
        <v>465.65761854152913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3.6357050703372803E-14</v>
      </c>
      <c r="DQ150" s="14">
        <f t="shared" si="151"/>
        <v>6.1445232567661395E-13</v>
      </c>
      <c r="DR150" s="22">
        <f t="shared" si="124"/>
        <v>1.1334929971951436E-12</v>
      </c>
      <c r="DS150" s="60">
        <f t="shared" si="125"/>
        <v>286.33509249264955</v>
      </c>
      <c r="DT150" s="60">
        <f ca="1">AVERAGE(OFFSET($DS$3,0,0,'Données projet'!$E$14+1,1))-AVERAGE(OFFSET($H$3,0,0,'Données projet'!$E$14+1,1))</f>
        <v>285.09561428624352</v>
      </c>
      <c r="DU150" s="60">
        <f t="shared" si="152"/>
        <v>261.05678516705564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-9.2222762759774927E-14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272.69564942740931</v>
      </c>
      <c r="EP150" s="60">
        <f t="shared" si="154"/>
        <v>316.57989180609252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0">
        <f t="shared" si="109"/>
        <v>850.14417454534896</v>
      </c>
      <c r="S151" s="60">
        <f ca="1">AVERAGE(OFFSET($R$3,0,0,'Données projet'!$E$9+1,1))-AVERAGE(OFFSET($H$3,0,0,'Données projet'!$E$9+1,1))</f>
        <v>469.67944008675863</v>
      </c>
      <c r="T151" s="60">
        <f t="shared" si="142"/>
        <v>266.11908070867173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0">
        <f t="shared" si="113"/>
        <v>916.55823574600754</v>
      </c>
      <c r="AN151" s="60">
        <f ca="1">AVERAGE(OFFSET($AM$3,0,0,'Données projet'!$E$10+1,1))-AVERAGE(OFFSET($H$3,0,0,'Données projet'!$E$10+1,1))</f>
        <v>516.30971934066179</v>
      </c>
      <c r="AO151" s="60">
        <f t="shared" si="144"/>
        <v>290.84286505723571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-1.250327841262333E-13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314.75847268052081</v>
      </c>
      <c r="BJ151" s="60">
        <f t="shared" si="146"/>
        <v>337.77701316755338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-6.2527760746888816E-13</v>
      </c>
      <c r="BZ151" s="14">
        <f>BY151*VLOOKUP('Données projet'!$B$12,Paramètres!$A$1:$I$89,3,0)*VLOOKUP('Données projet'!$B$12,Paramètres!$A$1:$I$89,5,0)</f>
        <v>-2.9262992029543964E-13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277.77877239988635</v>
      </c>
      <c r="CE151" s="60">
        <f t="shared" si="148"/>
        <v>164.65640238394164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334.26876877415839</v>
      </c>
      <c r="CZ151" s="60">
        <f t="shared" si="150"/>
        <v>465.65761854152913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3.6357050703372803E-14</v>
      </c>
      <c r="DQ151" s="14">
        <f t="shared" si="151"/>
        <v>6.1445232567661395E-13</v>
      </c>
      <c r="DR151" s="22">
        <f t="shared" si="124"/>
        <v>1.1334929971951436E-12</v>
      </c>
      <c r="DS151" s="60">
        <f t="shared" si="125"/>
        <v>286.45649632551283</v>
      </c>
      <c r="DT151" s="60">
        <f ca="1">AVERAGE(OFFSET($DS$3,0,0,'Données projet'!$E$14+1,1))-AVERAGE(OFFSET($H$3,0,0,'Données projet'!$E$14+1,1))</f>
        <v>285.09561428624352</v>
      </c>
      <c r="DU151" s="60">
        <f t="shared" si="152"/>
        <v>261.05678516705564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-9.2222762759774927E-14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272.69564942740931</v>
      </c>
      <c r="EP151" s="60">
        <f t="shared" si="154"/>
        <v>316.57989180609252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0">
        <f t="shared" si="109"/>
        <v>854.85105504935336</v>
      </c>
      <c r="S152" s="60">
        <f ca="1">AVERAGE(OFFSET($R$3,0,0,'Données projet'!$E$9+1,1))-AVERAGE(OFFSET($H$3,0,0,'Données projet'!$E$9+1,1))</f>
        <v>469.67944008675863</v>
      </c>
      <c r="T152" s="60">
        <f t="shared" si="142"/>
        <v>266.11908070867173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0">
        <f t="shared" si="113"/>
        <v>921.80689598570996</v>
      </c>
      <c r="AN152" s="60">
        <f ca="1">AVERAGE(OFFSET($AM$3,0,0,'Données projet'!$E$10+1,1))-AVERAGE(OFFSET($H$3,0,0,'Données projet'!$E$10+1,1))</f>
        <v>516.30971934066179</v>
      </c>
      <c r="AO152" s="60">
        <f t="shared" si="144"/>
        <v>290.84286505723571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-1.250327841262333E-13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314.75847268052081</v>
      </c>
      <c r="BJ152" s="60">
        <f t="shared" si="146"/>
        <v>337.77701316755338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-6.2527760746888816E-13</v>
      </c>
      <c r="BZ152" s="14">
        <f>BY152*VLOOKUP('Données projet'!$B$12,Paramètres!$A$1:$I$89,3,0)*VLOOKUP('Données projet'!$B$12,Paramètres!$A$1:$I$89,5,0)</f>
        <v>-2.9262992029543964E-13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277.77877239988635</v>
      </c>
      <c r="CE152" s="60">
        <f t="shared" si="148"/>
        <v>164.65640238394164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334.26876877415839</v>
      </c>
      <c r="CZ152" s="60">
        <f t="shared" si="150"/>
        <v>465.65761854152913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3.6357050703372803E-14</v>
      </c>
      <c r="DQ152" s="14">
        <f t="shared" si="151"/>
        <v>6.1445232567661395E-13</v>
      </c>
      <c r="DR152" s="22">
        <f t="shared" si="124"/>
        <v>1.1334929971951436E-12</v>
      </c>
      <c r="DS152" s="60">
        <f t="shared" si="125"/>
        <v>286.57579407329422</v>
      </c>
      <c r="DT152" s="60">
        <f ca="1">AVERAGE(OFFSET($DS$3,0,0,'Données projet'!$E$14+1,1))-AVERAGE(OFFSET($H$3,0,0,'Données projet'!$E$14+1,1))</f>
        <v>285.09561428624352</v>
      </c>
      <c r="DU152" s="60">
        <f t="shared" si="152"/>
        <v>261.05678516705564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-9.2222762759774927E-14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272.69564942740931</v>
      </c>
      <c r="EP152" s="60">
        <f t="shared" si="154"/>
        <v>316.57989180609252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0">
        <f t="shared" si="109"/>
        <v>859.5550920045016</v>
      </c>
      <c r="S153" s="60">
        <f ca="1">AVERAGE(OFFSET($R$3,0,0,'Données projet'!$E$9+1,1))-AVERAGE(OFFSET($H$3,0,0,'Données projet'!$E$9+1,1))</f>
        <v>469.67944008675863</v>
      </c>
      <c r="T153" s="60">
        <f t="shared" si="142"/>
        <v>266.11908070867173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0">
        <f t="shared" si="113"/>
        <v>927.0526306914503</v>
      </c>
      <c r="AN153" s="60">
        <f ca="1">AVERAGE(OFFSET($AM$3,0,0,'Données projet'!$E$10+1,1))-AVERAGE(OFFSET($H$3,0,0,'Données projet'!$E$10+1,1))</f>
        <v>516.30971934066179</v>
      </c>
      <c r="AO153" s="60">
        <f t="shared" si="144"/>
        <v>290.84286505723571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-1.250327841262333E-13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314.75847268052081</v>
      </c>
      <c r="BJ153" s="60">
        <f t="shared" si="146"/>
        <v>337.77701316755338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-6.2527760746888816E-13</v>
      </c>
      <c r="BZ153" s="14">
        <f>BY153*VLOOKUP('Données projet'!$B$12,Paramètres!$A$1:$I$89,3,0)*VLOOKUP('Données projet'!$B$12,Paramètres!$A$1:$I$89,5,0)</f>
        <v>-2.9262992029543964E-13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277.77877239988635</v>
      </c>
      <c r="CE153" s="60">
        <f t="shared" si="148"/>
        <v>164.65640238394164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334.26876877415839</v>
      </c>
      <c r="CZ153" s="60">
        <f t="shared" si="150"/>
        <v>465.65761854152913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3.6357050703372803E-14</v>
      </c>
      <c r="DQ153" s="14">
        <f t="shared" si="151"/>
        <v>6.1445232567661395E-13</v>
      </c>
      <c r="DR153" s="22">
        <f t="shared" si="124"/>
        <v>1.1334929971951436E-12</v>
      </c>
      <c r="DS153" s="60">
        <f t="shared" si="125"/>
        <v>286.69302227186148</v>
      </c>
      <c r="DT153" s="60">
        <f ca="1">AVERAGE(OFFSET($DS$3,0,0,'Données projet'!$E$14+1,1))-AVERAGE(OFFSET($H$3,0,0,'Données projet'!$E$14+1,1))</f>
        <v>285.09561428624352</v>
      </c>
      <c r="DU153" s="60">
        <f t="shared" si="152"/>
        <v>261.05678516705564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-9.2222762759774927E-14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272.69564942740931</v>
      </c>
      <c r="EP153" s="60">
        <f t="shared" si="154"/>
        <v>316.57989180609252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469.67944008675863</v>
      </c>
      <c r="T154" s="60">
        <f t="shared" si="142"/>
        <v>266.11908070867173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516.30971934066179</v>
      </c>
      <c r="AO154" s="60">
        <f t="shared" si="144"/>
        <v>290.84286505723571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-1.250327841262333E-13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314.75847268052081</v>
      </c>
      <c r="BJ154" s="60">
        <f t="shared" si="146"/>
        <v>337.77701316755338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-6.2527760746888816E-13</v>
      </c>
      <c r="BZ154" s="14">
        <f>BY154*VLOOKUP('Données projet'!$B$12,Paramètres!$A$1:$I$89,3,0)*VLOOKUP('Données projet'!$B$12,Paramètres!$A$1:$I$89,5,0)</f>
        <v>-2.9262992029543964E-13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277.77877239988635</v>
      </c>
      <c r="CE154" s="60">
        <f t="shared" si="148"/>
        <v>164.65640238394164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334.26876877415839</v>
      </c>
      <c r="CZ154" s="60">
        <f t="shared" si="150"/>
        <v>465.65761854152913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3.6357050703372803E-14</v>
      </c>
      <c r="DQ154" s="14">
        <f t="shared" ref="DQ154:DQ203" si="176">EXP(-1.0587+0.8836*LN(DP154)+0.284)</f>
        <v>6.1445232567661395E-13</v>
      </c>
      <c r="DR154" s="22">
        <f t="shared" ref="DR154:DR203" si="177">(DP154+DQ154)*0.475*44/12</f>
        <v>1.1334929971951436E-12</v>
      </c>
      <c r="DS154" s="60">
        <f t="shared" si="125"/>
        <v>286.80821682326649</v>
      </c>
      <c r="DT154" s="60">
        <f ca="1">AVERAGE(OFFSET($DS$3,0,0,'Données projet'!$E$14+1,1))-AVERAGE(OFFSET($H$3,0,0,'Données projet'!$E$14+1,1))</f>
        <v>285.09561428624352</v>
      </c>
      <c r="DU154" s="60">
        <f t="shared" si="152"/>
        <v>261.05678516705564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-9.2222762759774927E-14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272.69564942740931</v>
      </c>
      <c r="EP154" s="60">
        <f t="shared" si="154"/>
        <v>316.57989180609252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469.67944008675863</v>
      </c>
      <c r="T155" s="60">
        <f t="shared" si="142"/>
        <v>266.11908070867173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516.30971934066179</v>
      </c>
      <c r="AO155" s="60">
        <f t="shared" si="144"/>
        <v>290.84286505723571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-1.250327841262333E-13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314.75847268052081</v>
      </c>
      <c r="BJ155" s="60">
        <f t="shared" si="146"/>
        <v>337.77701316755338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-6.2527760746888816E-13</v>
      </c>
      <c r="BZ155" s="14">
        <f>BY155*VLOOKUP('Données projet'!$B$12,Paramètres!$A$1:$I$89,3,0)*VLOOKUP('Données projet'!$B$12,Paramètres!$A$1:$I$89,5,0)</f>
        <v>-2.9262992029543964E-13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277.77877239988635</v>
      </c>
      <c r="CE155" s="60">
        <f t="shared" si="148"/>
        <v>164.65640238394164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334.26876877415839</v>
      </c>
      <c r="CZ155" s="60">
        <f t="shared" si="150"/>
        <v>465.65761854152913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3.6357050703372803E-14</v>
      </c>
      <c r="DQ155" s="14">
        <f t="shared" si="176"/>
        <v>6.1445232567661395E-13</v>
      </c>
      <c r="DR155" s="22">
        <f t="shared" si="177"/>
        <v>1.1334929971951436E-12</v>
      </c>
      <c r="DS155" s="60">
        <f t="shared" si="125"/>
        <v>286.92141300674103</v>
      </c>
      <c r="DT155" s="60">
        <f ca="1">AVERAGE(OFFSET($DS$3,0,0,'Données projet'!$E$14+1,1))-AVERAGE(OFFSET($H$3,0,0,'Données projet'!$E$14+1,1))</f>
        <v>285.09561428624352</v>
      </c>
      <c r="DU155" s="60">
        <f t="shared" si="152"/>
        <v>261.05678516705564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-9.2222762759774927E-14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272.69564942740931</v>
      </c>
      <c r="EP155" s="60">
        <f t="shared" si="154"/>
        <v>316.57989180609252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469.67944008675863</v>
      </c>
      <c r="T156" s="60">
        <f t="shared" si="142"/>
        <v>266.11908070867173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516.30971934066179</v>
      </c>
      <c r="AO156" s="60">
        <f t="shared" si="144"/>
        <v>290.84286505723571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-1.250327841262333E-13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314.75847268052081</v>
      </c>
      <c r="BJ156" s="60">
        <f t="shared" si="146"/>
        <v>337.77701316755338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-6.2527760746888816E-13</v>
      </c>
      <c r="BZ156" s="14">
        <f>BY156*VLOOKUP('Données projet'!$B$12,Paramètres!$A$1:$I$89,3,0)*VLOOKUP('Données projet'!$B$12,Paramètres!$A$1:$I$89,5,0)</f>
        <v>-2.9262992029543964E-13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277.77877239988635</v>
      </c>
      <c r="CE156" s="60">
        <f t="shared" si="148"/>
        <v>164.65640238394164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334.26876877415839</v>
      </c>
      <c r="CZ156" s="60">
        <f t="shared" si="150"/>
        <v>465.65761854152913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3.6357050703372803E-14</v>
      </c>
      <c r="DQ156" s="14">
        <f t="shared" si="176"/>
        <v>6.1445232567661395E-13</v>
      </c>
      <c r="DR156" s="22">
        <f t="shared" si="177"/>
        <v>1.1334929971951436E-12</v>
      </c>
      <c r="DS156" s="60">
        <f t="shared" si="125"/>
        <v>287.03264548950114</v>
      </c>
      <c r="DT156" s="60">
        <f ca="1">AVERAGE(OFFSET($DS$3,0,0,'Données projet'!$E$14+1,1))-AVERAGE(OFFSET($H$3,0,0,'Données projet'!$E$14+1,1))</f>
        <v>285.09561428624352</v>
      </c>
      <c r="DU156" s="60">
        <f t="shared" si="152"/>
        <v>261.05678516705564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-9.2222762759774927E-14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272.69564942740931</v>
      </c>
      <c r="EP156" s="60">
        <f t="shared" si="154"/>
        <v>316.57989180609252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469.67944008675863</v>
      </c>
      <c r="T157" s="60">
        <f t="shared" si="142"/>
        <v>266.11908070867173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516.30971934066179</v>
      </c>
      <c r="AO157" s="60">
        <f t="shared" si="144"/>
        <v>290.84286505723571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-1.250327841262333E-13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314.75847268052081</v>
      </c>
      <c r="BJ157" s="60">
        <f t="shared" si="146"/>
        <v>337.77701316755338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-6.2527760746888816E-13</v>
      </c>
      <c r="BZ157" s="14">
        <f>BY157*VLOOKUP('Données projet'!$B$12,Paramètres!$A$1:$I$89,3,0)*VLOOKUP('Données projet'!$B$12,Paramètres!$A$1:$I$89,5,0)</f>
        <v>-2.9262992029543964E-13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277.77877239988635</v>
      </c>
      <c r="CE157" s="60">
        <f t="shared" si="148"/>
        <v>164.65640238394164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334.26876877415839</v>
      </c>
      <c r="CZ157" s="60">
        <f t="shared" si="150"/>
        <v>465.65761854152913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3.6357050703372803E-14</v>
      </c>
      <c r="DQ157" s="14">
        <f t="shared" si="176"/>
        <v>6.1445232567661395E-13</v>
      </c>
      <c r="DR157" s="22">
        <f t="shared" si="177"/>
        <v>1.1334929971951436E-12</v>
      </c>
      <c r="DS157" s="60">
        <f t="shared" si="125"/>
        <v>287.14194833736389</v>
      </c>
      <c r="DT157" s="60">
        <f ca="1">AVERAGE(OFFSET($DS$3,0,0,'Données projet'!$E$14+1,1))-AVERAGE(OFFSET($H$3,0,0,'Données projet'!$E$14+1,1))</f>
        <v>285.09561428624352</v>
      </c>
      <c r="DU157" s="60">
        <f t="shared" si="152"/>
        <v>261.05678516705564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-9.2222762759774927E-14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272.69564942740931</v>
      </c>
      <c r="EP157" s="60">
        <f t="shared" si="154"/>
        <v>316.57989180609252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469.67944008675863</v>
      </c>
      <c r="T158" s="60">
        <f t="shared" si="142"/>
        <v>266.11908070867173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516.30971934066179</v>
      </c>
      <c r="AO158" s="60">
        <f t="shared" si="144"/>
        <v>290.84286505723571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-1.250327841262333E-13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314.75847268052081</v>
      </c>
      <c r="BJ158" s="60">
        <f t="shared" si="146"/>
        <v>337.77701316755338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-6.2527760746888816E-13</v>
      </c>
      <c r="BZ158" s="14">
        <f>BY158*VLOOKUP('Données projet'!$B$12,Paramètres!$A$1:$I$89,3,0)*VLOOKUP('Données projet'!$B$12,Paramètres!$A$1:$I$89,5,0)</f>
        <v>-2.9262992029543964E-13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277.77877239988635</v>
      </c>
      <c r="CE158" s="60">
        <f t="shared" si="148"/>
        <v>164.65640238394164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334.26876877415839</v>
      </c>
      <c r="CZ158" s="60">
        <f t="shared" si="150"/>
        <v>465.65761854152913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3.6357050703372803E-14</v>
      </c>
      <c r="DQ158" s="14">
        <f t="shared" si="176"/>
        <v>6.1445232567661395E-13</v>
      </c>
      <c r="DR158" s="22">
        <f t="shared" si="177"/>
        <v>1.1334929971951436E-12</v>
      </c>
      <c r="DS158" s="60">
        <f t="shared" si="125"/>
        <v>287.24935502518082</v>
      </c>
      <c r="DT158" s="60">
        <f ca="1">AVERAGE(OFFSET($DS$3,0,0,'Données projet'!$E$14+1,1))-AVERAGE(OFFSET($H$3,0,0,'Données projet'!$E$14+1,1))</f>
        <v>285.09561428624352</v>
      </c>
      <c r="DU158" s="60">
        <f t="shared" si="152"/>
        <v>261.05678516705564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-9.2222762759774927E-14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272.69564942740931</v>
      </c>
      <c r="EP158" s="60">
        <f t="shared" si="154"/>
        <v>316.57989180609252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469.67944008675863</v>
      </c>
      <c r="T159" s="60">
        <f t="shared" si="142"/>
        <v>266.11908070867173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516.30971934066179</v>
      </c>
      <c r="AO159" s="60">
        <f t="shared" si="144"/>
        <v>290.84286505723571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-1.250327841262333E-13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314.75847268052081</v>
      </c>
      <c r="BJ159" s="60">
        <f t="shared" si="146"/>
        <v>337.77701316755338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-6.2527760746888816E-13</v>
      </c>
      <c r="BZ159" s="14">
        <f>BY159*VLOOKUP('Données projet'!$B$12,Paramètres!$A$1:$I$89,3,0)*VLOOKUP('Données projet'!$B$12,Paramètres!$A$1:$I$89,5,0)</f>
        <v>-2.9262992029543964E-13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277.77877239988635</v>
      </c>
      <c r="CE159" s="60">
        <f t="shared" si="148"/>
        <v>164.65640238394164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334.26876877415839</v>
      </c>
      <c r="CZ159" s="60">
        <f t="shared" si="150"/>
        <v>465.65761854152913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3.6357050703372803E-14</v>
      </c>
      <c r="DQ159" s="14">
        <f t="shared" si="176"/>
        <v>6.1445232567661395E-13</v>
      </c>
      <c r="DR159" s="22">
        <f t="shared" si="177"/>
        <v>1.1334929971951436E-12</v>
      </c>
      <c r="DS159" s="60">
        <f t="shared" si="125"/>
        <v>287.35489844708945</v>
      </c>
      <c r="DT159" s="60">
        <f ca="1">AVERAGE(OFFSET($DS$3,0,0,'Données projet'!$E$14+1,1))-AVERAGE(OFFSET($H$3,0,0,'Données projet'!$E$14+1,1))</f>
        <v>285.09561428624352</v>
      </c>
      <c r="DU159" s="60">
        <f t="shared" si="152"/>
        <v>261.05678516705564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-9.2222762759774927E-14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272.69564942740931</v>
      </c>
      <c r="EP159" s="60">
        <f t="shared" si="154"/>
        <v>316.57989180609252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469.67944008675863</v>
      </c>
      <c r="T160" s="60">
        <f t="shared" si="142"/>
        <v>266.11908070867173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516.30971934066179</v>
      </c>
      <c r="AO160" s="60">
        <f t="shared" si="144"/>
        <v>290.84286505723571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-1.250327841262333E-13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314.75847268052081</v>
      </c>
      <c r="BJ160" s="60">
        <f t="shared" si="146"/>
        <v>337.77701316755338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-6.2527760746888816E-13</v>
      </c>
      <c r="BZ160" s="14">
        <f>BY160*VLOOKUP('Données projet'!$B$12,Paramètres!$A$1:$I$89,3,0)*VLOOKUP('Données projet'!$B$12,Paramètres!$A$1:$I$89,5,0)</f>
        <v>-2.9262992029543964E-13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277.77877239988635</v>
      </c>
      <c r="CE160" s="60">
        <f t="shared" si="148"/>
        <v>164.65640238394164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334.26876877415839</v>
      </c>
      <c r="CZ160" s="60">
        <f t="shared" si="150"/>
        <v>465.65761854152913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3.6357050703372803E-14</v>
      </c>
      <c r="DQ160" s="14">
        <f t="shared" si="176"/>
        <v>6.1445232567661395E-13</v>
      </c>
      <c r="DR160" s="22">
        <f t="shared" si="177"/>
        <v>1.1334929971951436E-12</v>
      </c>
      <c r="DS160" s="60">
        <f t="shared" si="125"/>
        <v>287.45861092658771</v>
      </c>
      <c r="DT160" s="60">
        <f ca="1">AVERAGE(OFFSET($DS$3,0,0,'Données projet'!$E$14+1,1))-AVERAGE(OFFSET($H$3,0,0,'Données projet'!$E$14+1,1))</f>
        <v>285.09561428624352</v>
      </c>
      <c r="DU160" s="60">
        <f t="shared" si="152"/>
        <v>261.05678516705564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-9.2222762759774927E-14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272.69564942740931</v>
      </c>
      <c r="EP160" s="60">
        <f t="shared" si="154"/>
        <v>316.57989180609252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469.67944008675863</v>
      </c>
      <c r="T161" s="60">
        <f t="shared" si="142"/>
        <v>266.11908070867173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516.30971934066179</v>
      </c>
      <c r="AO161" s="60">
        <f t="shared" si="144"/>
        <v>290.84286505723571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-1.250327841262333E-13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314.75847268052081</v>
      </c>
      <c r="BJ161" s="60">
        <f t="shared" si="146"/>
        <v>337.77701316755338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-6.2527760746888816E-13</v>
      </c>
      <c r="BZ161" s="14">
        <f>BY161*VLOOKUP('Données projet'!$B$12,Paramètres!$A$1:$I$89,3,0)*VLOOKUP('Données projet'!$B$12,Paramètres!$A$1:$I$89,5,0)</f>
        <v>-2.9262992029543964E-13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277.77877239988635</v>
      </c>
      <c r="CE161" s="60">
        <f t="shared" si="148"/>
        <v>164.65640238394164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334.26876877415839</v>
      </c>
      <c r="CZ161" s="60">
        <f t="shared" si="150"/>
        <v>465.65761854152913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3.6357050703372803E-14</v>
      </c>
      <c r="DQ161" s="14">
        <f t="shared" si="176"/>
        <v>6.1445232567661395E-13</v>
      </c>
      <c r="DR161" s="22">
        <f t="shared" si="177"/>
        <v>1.1334929971951436E-12</v>
      </c>
      <c r="DS161" s="60">
        <f t="shared" si="125"/>
        <v>287.56052422643313</v>
      </c>
      <c r="DT161" s="60">
        <f ca="1">AVERAGE(OFFSET($DS$3,0,0,'Données projet'!$E$14+1,1))-AVERAGE(OFFSET($H$3,0,0,'Données projet'!$E$14+1,1))</f>
        <v>285.09561428624352</v>
      </c>
      <c r="DU161" s="60">
        <f t="shared" si="152"/>
        <v>261.05678516705564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-9.2222762759774927E-14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272.69564942740931</v>
      </c>
      <c r="EP161" s="60">
        <f t="shared" si="154"/>
        <v>316.57989180609252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469.67944008675863</v>
      </c>
      <c r="T162" s="60">
        <f t="shared" si="142"/>
        <v>266.11908070867173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516.30971934066179</v>
      </c>
      <c r="AO162" s="60">
        <f t="shared" si="144"/>
        <v>290.84286505723571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-1.250327841262333E-13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314.75847268052081</v>
      </c>
      <c r="BJ162" s="60">
        <f t="shared" si="146"/>
        <v>337.77701316755338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-6.2527760746888816E-13</v>
      </c>
      <c r="BZ162" s="14">
        <f>BY162*VLOOKUP('Données projet'!$B$12,Paramètres!$A$1:$I$89,3,0)*VLOOKUP('Données projet'!$B$12,Paramètres!$A$1:$I$89,5,0)</f>
        <v>-2.9262992029543964E-13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277.77877239988635</v>
      </c>
      <c r="CE162" s="60">
        <f t="shared" si="148"/>
        <v>164.65640238394164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334.26876877415839</v>
      </c>
      <c r="CZ162" s="60">
        <f t="shared" si="150"/>
        <v>465.65761854152913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3.6357050703372803E-14</v>
      </c>
      <c r="DQ162" s="14">
        <f t="shared" si="176"/>
        <v>6.1445232567661395E-13</v>
      </c>
      <c r="DR162" s="22">
        <f t="shared" si="177"/>
        <v>1.1334929971951436E-12</v>
      </c>
      <c r="DS162" s="60">
        <f t="shared" si="125"/>
        <v>287.6606695583701</v>
      </c>
      <c r="DT162" s="60">
        <f ca="1">AVERAGE(OFFSET($DS$3,0,0,'Données projet'!$E$14+1,1))-AVERAGE(OFFSET($H$3,0,0,'Données projet'!$E$14+1,1))</f>
        <v>285.09561428624352</v>
      </c>
      <c r="DU162" s="60">
        <f t="shared" si="152"/>
        <v>261.05678516705564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-9.2222762759774927E-14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272.69564942740931</v>
      </c>
      <c r="EP162" s="60">
        <f t="shared" si="154"/>
        <v>316.57989180609252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469.67944008675863</v>
      </c>
      <c r="T163" s="60">
        <f t="shared" si="142"/>
        <v>266.11908070867173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516.30971934066179</v>
      </c>
      <c r="AO163" s="60">
        <f t="shared" si="144"/>
        <v>290.84286505723571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-1.250327841262333E-13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314.75847268052081</v>
      </c>
      <c r="BJ163" s="60">
        <f t="shared" si="146"/>
        <v>337.77701316755338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-6.2527760746888816E-13</v>
      </c>
      <c r="BZ163" s="14">
        <f>BY163*VLOOKUP('Données projet'!$B$12,Paramètres!$A$1:$I$89,3,0)*VLOOKUP('Données projet'!$B$12,Paramètres!$A$1:$I$89,5,0)</f>
        <v>-2.9262992029543964E-13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277.77877239988635</v>
      </c>
      <c r="CE163" s="60">
        <f t="shared" si="148"/>
        <v>164.65640238394164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334.26876877415839</v>
      </c>
      <c r="CZ163" s="60">
        <f t="shared" si="150"/>
        <v>465.65761854152913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3.6357050703372803E-14</v>
      </c>
      <c r="DQ163" s="14">
        <f t="shared" si="176"/>
        <v>6.1445232567661395E-13</v>
      </c>
      <c r="DR163" s="22">
        <f t="shared" si="177"/>
        <v>1.1334929971951436E-12</v>
      </c>
      <c r="DS163" s="60">
        <f t="shared" si="125"/>
        <v>287.75907759268949</v>
      </c>
      <c r="DT163" s="60">
        <f ca="1">AVERAGE(OFFSET($DS$3,0,0,'Données projet'!$E$14+1,1))-AVERAGE(OFFSET($H$3,0,0,'Données projet'!$E$14+1,1))</f>
        <v>285.09561428624352</v>
      </c>
      <c r="DU163" s="60">
        <f t="shared" si="152"/>
        <v>261.05678516705564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-9.2222762759774927E-14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272.69564942740931</v>
      </c>
      <c r="EP163" s="60">
        <f t="shared" si="154"/>
        <v>316.57989180609252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469.67944008675863</v>
      </c>
      <c r="T164" s="60">
        <f t="shared" si="142"/>
        <v>266.11908070867173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516.30971934066179</v>
      </c>
      <c r="AO164" s="60">
        <f t="shared" si="144"/>
        <v>290.84286505723571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-1.250327841262333E-13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314.75847268052081</v>
      </c>
      <c r="BJ164" s="60">
        <f t="shared" si="146"/>
        <v>337.77701316755338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-6.2527760746888816E-13</v>
      </c>
      <c r="BZ164" s="14">
        <f>BY164*VLOOKUP('Données projet'!$B$12,Paramètres!$A$1:$I$89,3,0)*VLOOKUP('Données projet'!$B$12,Paramètres!$A$1:$I$89,5,0)</f>
        <v>-2.9262992029543964E-13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277.77877239988635</v>
      </c>
      <c r="CE164" s="60">
        <f t="shared" si="148"/>
        <v>164.65640238394164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334.26876877415839</v>
      </c>
      <c r="CZ164" s="60">
        <f t="shared" si="150"/>
        <v>465.65761854152913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3.6357050703372803E-14</v>
      </c>
      <c r="DQ164" s="14">
        <f t="shared" si="176"/>
        <v>6.1445232567661395E-13</v>
      </c>
      <c r="DR164" s="22">
        <f t="shared" si="177"/>
        <v>1.1334929971951436E-12</v>
      </c>
      <c r="DS164" s="60">
        <f t="shared" si="125"/>
        <v>287.85577846762084</v>
      </c>
      <c r="DT164" s="60">
        <f ca="1">AVERAGE(OFFSET($DS$3,0,0,'Données projet'!$E$14+1,1))-AVERAGE(OFFSET($H$3,0,0,'Données projet'!$E$14+1,1))</f>
        <v>285.09561428624352</v>
      </c>
      <c r="DU164" s="60">
        <f t="shared" si="152"/>
        <v>261.05678516705564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-9.2222762759774927E-14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272.69564942740931</v>
      </c>
      <c r="EP164" s="60">
        <f t="shared" si="154"/>
        <v>316.57989180609252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469.67944008675863</v>
      </c>
      <c r="T165" s="60">
        <f t="shared" si="142"/>
        <v>266.11908070867173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516.30971934066179</v>
      </c>
      <c r="AO165" s="60">
        <f t="shared" si="144"/>
        <v>290.84286505723571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-1.250327841262333E-13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314.75847268052081</v>
      </c>
      <c r="BJ165" s="60">
        <f t="shared" si="146"/>
        <v>337.77701316755338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-6.2527760746888816E-13</v>
      </c>
      <c r="BZ165" s="14">
        <f>BY165*VLOOKUP('Données projet'!$B$12,Paramètres!$A$1:$I$89,3,0)*VLOOKUP('Données projet'!$B$12,Paramètres!$A$1:$I$89,5,0)</f>
        <v>-2.9262992029543964E-13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277.77877239988635</v>
      </c>
      <c r="CE165" s="60">
        <f t="shared" si="148"/>
        <v>164.65640238394164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334.26876877415839</v>
      </c>
      <c r="CZ165" s="60">
        <f t="shared" si="150"/>
        <v>465.65761854152913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3.6357050703372803E-14</v>
      </c>
      <c r="DQ165" s="14">
        <f t="shared" si="176"/>
        <v>6.1445232567661395E-13</v>
      </c>
      <c r="DR165" s="22">
        <f t="shared" si="177"/>
        <v>1.1334929971951436E-12</v>
      </c>
      <c r="DS165" s="60">
        <f t="shared" si="125"/>
        <v>287.95080179856285</v>
      </c>
      <c r="DT165" s="60">
        <f ca="1">AVERAGE(OFFSET($DS$3,0,0,'Données projet'!$E$14+1,1))-AVERAGE(OFFSET($H$3,0,0,'Données projet'!$E$14+1,1))</f>
        <v>285.09561428624352</v>
      </c>
      <c r="DU165" s="60">
        <f t="shared" si="152"/>
        <v>261.05678516705564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-9.2222762759774927E-14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272.69564942740931</v>
      </c>
      <c r="EP165" s="60">
        <f t="shared" si="154"/>
        <v>316.57989180609252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469.67944008675863</v>
      </c>
      <c r="T166" s="60">
        <f t="shared" si="142"/>
        <v>266.11908070867173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516.30971934066179</v>
      </c>
      <c r="AO166" s="60">
        <f t="shared" si="144"/>
        <v>290.84286505723571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-1.250327841262333E-13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314.75847268052081</v>
      </c>
      <c r="BJ166" s="60">
        <f t="shared" si="146"/>
        <v>337.77701316755338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-6.2527760746888816E-13</v>
      </c>
      <c r="BZ166" s="14">
        <f>BY166*VLOOKUP('Données projet'!$B$12,Paramètres!$A$1:$I$89,3,0)*VLOOKUP('Données projet'!$B$12,Paramètres!$A$1:$I$89,5,0)</f>
        <v>-2.9262992029543964E-13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277.77877239988635</v>
      </c>
      <c r="CE166" s="60">
        <f t="shared" si="148"/>
        <v>164.65640238394164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334.26876877415839</v>
      </c>
      <c r="CZ166" s="60">
        <f t="shared" si="150"/>
        <v>465.65761854152913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3.6357050703372803E-14</v>
      </c>
      <c r="DQ166" s="14">
        <f t="shared" si="176"/>
        <v>6.1445232567661395E-13</v>
      </c>
      <c r="DR166" s="22">
        <f t="shared" si="177"/>
        <v>1.1334929971951436E-12</v>
      </c>
      <c r="DS166" s="60">
        <f t="shared" si="125"/>
        <v>288.04417668715337</v>
      </c>
      <c r="DT166" s="60">
        <f ca="1">AVERAGE(OFFSET($DS$3,0,0,'Données projet'!$E$14+1,1))-AVERAGE(OFFSET($H$3,0,0,'Données projet'!$E$14+1,1))</f>
        <v>285.09561428624352</v>
      </c>
      <c r="DU166" s="60">
        <f t="shared" si="152"/>
        <v>261.05678516705564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-9.2222762759774927E-14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272.69564942740931</v>
      </c>
      <c r="EP166" s="60">
        <f t="shared" si="154"/>
        <v>316.57989180609252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469.67944008675863</v>
      </c>
      <c r="T167" s="60">
        <f t="shared" si="142"/>
        <v>266.11908070867173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516.30971934066179</v>
      </c>
      <c r="AO167" s="60">
        <f t="shared" si="144"/>
        <v>290.84286505723571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-1.250327841262333E-13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314.75847268052081</v>
      </c>
      <c r="BJ167" s="60">
        <f t="shared" si="146"/>
        <v>337.77701316755338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-6.2527760746888816E-13</v>
      </c>
      <c r="BZ167" s="14">
        <f>BY167*VLOOKUP('Données projet'!$B$12,Paramètres!$A$1:$I$89,3,0)*VLOOKUP('Données projet'!$B$12,Paramètres!$A$1:$I$89,5,0)</f>
        <v>-2.9262992029543964E-13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277.77877239988635</v>
      </c>
      <c r="CE167" s="60">
        <f t="shared" si="148"/>
        <v>164.65640238394164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334.26876877415839</v>
      </c>
      <c r="CZ167" s="60">
        <f t="shared" si="150"/>
        <v>465.65761854152913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3.6357050703372803E-14</v>
      </c>
      <c r="DQ167" s="14">
        <f t="shared" si="176"/>
        <v>6.1445232567661395E-13</v>
      </c>
      <c r="DR167" s="22">
        <f t="shared" si="177"/>
        <v>1.1334929971951436E-12</v>
      </c>
      <c r="DS167" s="60">
        <f t="shared" si="125"/>
        <v>288.13593173018182</v>
      </c>
      <c r="DT167" s="60">
        <f ca="1">AVERAGE(OFFSET($DS$3,0,0,'Données projet'!$E$14+1,1))-AVERAGE(OFFSET($H$3,0,0,'Données projet'!$E$14+1,1))</f>
        <v>285.09561428624352</v>
      </c>
      <c r="DU167" s="60">
        <f t="shared" si="152"/>
        <v>261.05678516705564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-9.2222762759774927E-14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272.69564942740931</v>
      </c>
      <c r="EP167" s="60">
        <f t="shared" si="154"/>
        <v>316.57989180609252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469.67944008675863</v>
      </c>
      <c r="T168" s="60">
        <f t="shared" si="142"/>
        <v>266.11908070867173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516.30971934066179</v>
      </c>
      <c r="AO168" s="60">
        <f t="shared" si="144"/>
        <v>290.84286505723571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-1.250327841262333E-13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314.75847268052081</v>
      </c>
      <c r="BJ168" s="60">
        <f t="shared" si="146"/>
        <v>337.77701316755338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-6.2527760746888816E-13</v>
      </c>
      <c r="BZ168" s="14">
        <f>BY168*VLOOKUP('Données projet'!$B$12,Paramètres!$A$1:$I$89,3,0)*VLOOKUP('Données projet'!$B$12,Paramètres!$A$1:$I$89,5,0)</f>
        <v>-2.9262992029543964E-13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277.77877239988635</v>
      </c>
      <c r="CE168" s="60">
        <f t="shared" si="148"/>
        <v>164.65640238394164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334.26876877415839</v>
      </c>
      <c r="CZ168" s="60">
        <f t="shared" si="150"/>
        <v>465.65761854152913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3.6357050703372803E-14</v>
      </c>
      <c r="DQ168" s="14">
        <f t="shared" si="176"/>
        <v>6.1445232567661395E-13</v>
      </c>
      <c r="DR168" s="22">
        <f t="shared" si="177"/>
        <v>1.1334929971951436E-12</v>
      </c>
      <c r="DS168" s="60">
        <f t="shared" si="125"/>
        <v>288.22609502834729</v>
      </c>
      <c r="DT168" s="60">
        <f ca="1">AVERAGE(OFFSET($DS$3,0,0,'Données projet'!$E$14+1,1))-AVERAGE(OFFSET($H$3,0,0,'Données projet'!$E$14+1,1))</f>
        <v>285.09561428624352</v>
      </c>
      <c r="DU168" s="60">
        <f t="shared" si="152"/>
        <v>261.05678516705564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-9.2222762759774927E-14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272.69564942740931</v>
      </c>
      <c r="EP168" s="60">
        <f t="shared" si="154"/>
        <v>316.57989180609252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469.67944008675863</v>
      </c>
      <c r="T169" s="60">
        <f t="shared" si="142"/>
        <v>266.11908070867173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516.30971934066179</v>
      </c>
      <c r="AO169" s="60">
        <f t="shared" si="144"/>
        <v>290.84286505723571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-1.250327841262333E-13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314.75847268052081</v>
      </c>
      <c r="BJ169" s="60">
        <f t="shared" si="146"/>
        <v>337.77701316755338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-6.2527760746888816E-13</v>
      </c>
      <c r="BZ169" s="14">
        <f>BY169*VLOOKUP('Données projet'!$B$12,Paramètres!$A$1:$I$89,3,0)*VLOOKUP('Données projet'!$B$12,Paramètres!$A$1:$I$89,5,0)</f>
        <v>-2.9262992029543964E-13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277.77877239988635</v>
      </c>
      <c r="CE169" s="60">
        <f t="shared" si="148"/>
        <v>164.65640238394164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334.26876877415839</v>
      </c>
      <c r="CZ169" s="60">
        <f t="shared" si="150"/>
        <v>465.65761854152913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3.6357050703372803E-14</v>
      </c>
      <c r="DQ169" s="14">
        <f t="shared" si="176"/>
        <v>6.1445232567661395E-13</v>
      </c>
      <c r="DR169" s="22">
        <f t="shared" si="177"/>
        <v>1.1334929971951436E-12</v>
      </c>
      <c r="DS169" s="60">
        <f t="shared" si="125"/>
        <v>288.31469419486456</v>
      </c>
      <c r="DT169" s="60">
        <f ca="1">AVERAGE(OFFSET($DS$3,0,0,'Données projet'!$E$14+1,1))-AVERAGE(OFFSET($H$3,0,0,'Données projet'!$E$14+1,1))</f>
        <v>285.09561428624352</v>
      </c>
      <c r="DU169" s="60">
        <f t="shared" si="152"/>
        <v>261.05678516705564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-9.2222762759774927E-14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272.69564942740931</v>
      </c>
      <c r="EP169" s="60">
        <f t="shared" si="154"/>
        <v>316.57989180609252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469.67944008675863</v>
      </c>
      <c r="T170" s="60">
        <f t="shared" si="142"/>
        <v>266.11908070867173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516.30971934066179</v>
      </c>
      <c r="AO170" s="60">
        <f t="shared" si="144"/>
        <v>290.84286505723571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-1.250327841262333E-13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314.75847268052081</v>
      </c>
      <c r="BJ170" s="60">
        <f t="shared" si="146"/>
        <v>337.77701316755338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-6.2527760746888816E-13</v>
      </c>
      <c r="BZ170" s="14">
        <f>BY170*VLOOKUP('Données projet'!$B$12,Paramètres!$A$1:$I$89,3,0)*VLOOKUP('Données projet'!$B$12,Paramètres!$A$1:$I$89,5,0)</f>
        <v>-2.9262992029543964E-13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277.77877239988635</v>
      </c>
      <c r="CE170" s="60">
        <f t="shared" si="148"/>
        <v>164.65640238394164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334.26876877415839</v>
      </c>
      <c r="CZ170" s="60">
        <f t="shared" si="150"/>
        <v>465.65761854152913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3.6357050703372803E-14</v>
      </c>
      <c r="DQ170" s="14">
        <f t="shared" si="176"/>
        <v>6.1445232567661395E-13</v>
      </c>
      <c r="DR170" s="22">
        <f t="shared" si="177"/>
        <v>1.1334929971951436E-12</v>
      </c>
      <c r="DS170" s="60">
        <f t="shared" si="125"/>
        <v>288.40175636392075</v>
      </c>
      <c r="DT170" s="60">
        <f ca="1">AVERAGE(OFFSET($DS$3,0,0,'Données projet'!$E$14+1,1))-AVERAGE(OFFSET($H$3,0,0,'Données projet'!$E$14+1,1))</f>
        <v>285.09561428624352</v>
      </c>
      <c r="DU170" s="60">
        <f t="shared" si="152"/>
        <v>261.05678516705564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-9.2222762759774927E-14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272.69564942740931</v>
      </c>
      <c r="EP170" s="60">
        <f t="shared" si="154"/>
        <v>316.57989180609252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469.67944008675863</v>
      </c>
      <c r="T171" s="60">
        <f t="shared" si="142"/>
        <v>266.11908070867173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516.30971934066179</v>
      </c>
      <c r="AO171" s="60">
        <f t="shared" si="144"/>
        <v>290.84286505723571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-1.250327841262333E-13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314.75847268052081</v>
      </c>
      <c r="BJ171" s="60">
        <f t="shared" si="146"/>
        <v>337.77701316755338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-6.2527760746888816E-13</v>
      </c>
      <c r="BZ171" s="14">
        <f>BY171*VLOOKUP('Données projet'!$B$12,Paramètres!$A$1:$I$89,3,0)*VLOOKUP('Données projet'!$B$12,Paramètres!$A$1:$I$89,5,0)</f>
        <v>-2.9262992029543964E-13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277.77877239988635</v>
      </c>
      <c r="CE171" s="60">
        <f t="shared" si="148"/>
        <v>164.65640238394164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334.26876877415839</v>
      </c>
      <c r="CZ171" s="60">
        <f t="shared" si="150"/>
        <v>465.65761854152913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3.6357050703372803E-14</v>
      </c>
      <c r="DQ171" s="14">
        <f t="shared" si="176"/>
        <v>6.1445232567661395E-13</v>
      </c>
      <c r="DR171" s="22">
        <f t="shared" si="177"/>
        <v>1.1334929971951436E-12</v>
      </c>
      <c r="DS171" s="60">
        <f t="shared" si="125"/>
        <v>288.48730819898566</v>
      </c>
      <c r="DT171" s="60">
        <f ca="1">AVERAGE(OFFSET($DS$3,0,0,'Données projet'!$E$14+1,1))-AVERAGE(OFFSET($H$3,0,0,'Données projet'!$E$14+1,1))</f>
        <v>285.09561428624352</v>
      </c>
      <c r="DU171" s="60">
        <f t="shared" si="152"/>
        <v>261.05678516705564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-9.2222762759774927E-14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272.69564942740931</v>
      </c>
      <c r="EP171" s="60">
        <f t="shared" si="154"/>
        <v>316.57989180609252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469.67944008675863</v>
      </c>
      <c r="T172" s="60">
        <f t="shared" si="142"/>
        <v>266.11908070867173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516.30971934066179</v>
      </c>
      <c r="AO172" s="60">
        <f t="shared" si="144"/>
        <v>290.84286505723571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-1.250327841262333E-13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314.75847268052081</v>
      </c>
      <c r="BJ172" s="60">
        <f t="shared" si="146"/>
        <v>337.77701316755338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-6.2527760746888816E-13</v>
      </c>
      <c r="BZ172" s="14">
        <f>BY172*VLOOKUP('Données projet'!$B$12,Paramètres!$A$1:$I$89,3,0)*VLOOKUP('Données projet'!$B$12,Paramètres!$A$1:$I$89,5,0)</f>
        <v>-2.9262992029543964E-13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277.77877239988635</v>
      </c>
      <c r="CE172" s="60">
        <f t="shared" si="148"/>
        <v>164.65640238394164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334.26876877415839</v>
      </c>
      <c r="CZ172" s="60">
        <f t="shared" si="150"/>
        <v>465.65761854152913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3.6357050703372803E-14</v>
      </c>
      <c r="DQ172" s="14">
        <f t="shared" si="176"/>
        <v>6.1445232567661395E-13</v>
      </c>
      <c r="DR172" s="22">
        <f t="shared" si="177"/>
        <v>1.1334929971951436E-12</v>
      </c>
      <c r="DS172" s="60">
        <f t="shared" si="125"/>
        <v>288.57137590097756</v>
      </c>
      <c r="DT172" s="60">
        <f ca="1">AVERAGE(OFFSET($DS$3,0,0,'Données projet'!$E$14+1,1))-AVERAGE(OFFSET($H$3,0,0,'Données projet'!$E$14+1,1))</f>
        <v>285.09561428624352</v>
      </c>
      <c r="DU172" s="60">
        <f t="shared" si="152"/>
        <v>261.05678516705564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-9.2222762759774927E-14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272.69564942740931</v>
      </c>
      <c r="EP172" s="60">
        <f t="shared" si="154"/>
        <v>316.57989180609252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469.67944008675863</v>
      </c>
      <c r="T173" s="60">
        <f t="shared" si="142"/>
        <v>266.11908070867173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516.30971934066179</v>
      </c>
      <c r="AO173" s="60">
        <f t="shared" si="144"/>
        <v>290.84286505723571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-1.250327841262333E-13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314.75847268052081</v>
      </c>
      <c r="BJ173" s="60">
        <f t="shared" si="146"/>
        <v>337.77701316755338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-6.2527760746888816E-13</v>
      </c>
      <c r="BZ173" s="14">
        <f>BY173*VLOOKUP('Données projet'!$B$12,Paramètres!$A$1:$I$89,3,0)*VLOOKUP('Données projet'!$B$12,Paramètres!$A$1:$I$89,5,0)</f>
        <v>-2.9262992029543964E-13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277.77877239988635</v>
      </c>
      <c r="CE173" s="60">
        <f t="shared" si="148"/>
        <v>164.65640238394164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334.26876877415839</v>
      </c>
      <c r="CZ173" s="60">
        <f t="shared" si="150"/>
        <v>465.65761854152913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3.6357050703372803E-14</v>
      </c>
      <c r="DQ173" s="14">
        <f t="shared" si="176"/>
        <v>6.1445232567661395E-13</v>
      </c>
      <c r="DR173" s="22">
        <f t="shared" si="177"/>
        <v>1.1334929971951436E-12</v>
      </c>
      <c r="DS173" s="60">
        <f t="shared" si="125"/>
        <v>288.65398521628703</v>
      </c>
      <c r="DT173" s="60">
        <f ca="1">AVERAGE(OFFSET($DS$3,0,0,'Données projet'!$E$14+1,1))-AVERAGE(OFFSET($H$3,0,0,'Données projet'!$E$14+1,1))</f>
        <v>285.09561428624352</v>
      </c>
      <c r="DU173" s="60">
        <f t="shared" si="152"/>
        <v>261.05678516705564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-9.2222762759774927E-14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272.69564942740931</v>
      </c>
      <c r="EP173" s="60">
        <f t="shared" si="154"/>
        <v>316.57989180609252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469.67944008675863</v>
      </c>
      <c r="T174" s="60">
        <f t="shared" si="142"/>
        <v>266.11908070867173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516.30971934066179</v>
      </c>
      <c r="AO174" s="60">
        <f t="shared" si="144"/>
        <v>290.84286505723571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-1.250327841262333E-13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314.75847268052081</v>
      </c>
      <c r="BJ174" s="60">
        <f t="shared" si="146"/>
        <v>337.77701316755338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-6.2527760746888816E-13</v>
      </c>
      <c r="BZ174" s="14">
        <f>BY174*VLOOKUP('Données projet'!$B$12,Paramètres!$A$1:$I$89,3,0)*VLOOKUP('Données projet'!$B$12,Paramètres!$A$1:$I$89,5,0)</f>
        <v>-2.9262992029543964E-13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277.77877239988635</v>
      </c>
      <c r="CE174" s="60">
        <f t="shared" si="148"/>
        <v>164.65640238394164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334.26876877415839</v>
      </c>
      <c r="CZ174" s="60">
        <f t="shared" si="150"/>
        <v>465.65761854152913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3.6357050703372803E-14</v>
      </c>
      <c r="DQ174" s="14">
        <f t="shared" si="176"/>
        <v>6.1445232567661395E-13</v>
      </c>
      <c r="DR174" s="22">
        <f t="shared" si="177"/>
        <v>1.1334929971951436E-12</v>
      </c>
      <c r="DS174" s="60">
        <f t="shared" si="125"/>
        <v>288.73516144466265</v>
      </c>
      <c r="DT174" s="60">
        <f ca="1">AVERAGE(OFFSET($DS$3,0,0,'Données projet'!$E$14+1,1))-AVERAGE(OFFSET($H$3,0,0,'Données projet'!$E$14+1,1))</f>
        <v>285.09561428624352</v>
      </c>
      <c r="DU174" s="60">
        <f t="shared" si="152"/>
        <v>261.05678516705564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-9.2222762759774927E-14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272.69564942740931</v>
      </c>
      <c r="EP174" s="60">
        <f t="shared" si="154"/>
        <v>316.57989180609252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469.67944008675863</v>
      </c>
      <c r="T175" s="60">
        <f t="shared" si="142"/>
        <v>266.11908070867173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516.30971934066179</v>
      </c>
      <c r="AO175" s="60">
        <f t="shared" si="144"/>
        <v>290.84286505723571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-1.250327841262333E-13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314.75847268052081</v>
      </c>
      <c r="BJ175" s="60">
        <f t="shared" si="146"/>
        <v>337.77701316755338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-6.2527760746888816E-13</v>
      </c>
      <c r="BZ175" s="14">
        <f>BY175*VLOOKUP('Données projet'!$B$12,Paramètres!$A$1:$I$89,3,0)*VLOOKUP('Données projet'!$B$12,Paramètres!$A$1:$I$89,5,0)</f>
        <v>-2.9262992029543964E-13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277.77877239988635</v>
      </c>
      <c r="CE175" s="60">
        <f t="shared" si="148"/>
        <v>164.65640238394164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334.26876877415839</v>
      </c>
      <c r="CZ175" s="60">
        <f t="shared" si="150"/>
        <v>465.65761854152913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3.6357050703372803E-14</v>
      </c>
      <c r="DQ175" s="14">
        <f t="shared" si="176"/>
        <v>6.1445232567661395E-13</v>
      </c>
      <c r="DR175" s="22">
        <f t="shared" si="177"/>
        <v>1.1334929971951436E-12</v>
      </c>
      <c r="DS175" s="60">
        <f t="shared" si="125"/>
        <v>288.81492944695879</v>
      </c>
      <c r="DT175" s="60">
        <f ca="1">AVERAGE(OFFSET($DS$3,0,0,'Données projet'!$E$14+1,1))-AVERAGE(OFFSET($H$3,0,0,'Données projet'!$E$14+1,1))</f>
        <v>285.09561428624352</v>
      </c>
      <c r="DU175" s="60">
        <f t="shared" si="152"/>
        <v>261.05678516705564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-9.2222762759774927E-14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272.69564942740931</v>
      </c>
      <c r="EP175" s="60">
        <f t="shared" si="154"/>
        <v>316.57989180609252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469.67944008675863</v>
      </c>
      <c r="T176" s="60">
        <f t="shared" si="142"/>
        <v>266.11908070867173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516.30971934066179</v>
      </c>
      <c r="AO176" s="60">
        <f t="shared" si="144"/>
        <v>290.84286505723571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-1.250327841262333E-13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314.75847268052081</v>
      </c>
      <c r="BJ176" s="60">
        <f t="shared" si="146"/>
        <v>337.77701316755338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-6.2527760746888816E-13</v>
      </c>
      <c r="BZ176" s="14">
        <f>BY176*VLOOKUP('Données projet'!$B$12,Paramètres!$A$1:$I$89,3,0)*VLOOKUP('Données projet'!$B$12,Paramètres!$A$1:$I$89,5,0)</f>
        <v>-2.9262992029543964E-13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277.77877239988635</v>
      </c>
      <c r="CE176" s="60">
        <f t="shared" si="148"/>
        <v>164.65640238394164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334.26876877415839</v>
      </c>
      <c r="CZ176" s="60">
        <f t="shared" si="150"/>
        <v>465.65761854152913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3.6357050703372803E-14</v>
      </c>
      <c r="DQ176" s="14">
        <f t="shared" si="176"/>
        <v>6.1445232567661395E-13</v>
      </c>
      <c r="DR176" s="22">
        <f t="shared" si="177"/>
        <v>1.1334929971951436E-12</v>
      </c>
      <c r="DS176" s="60">
        <f t="shared" si="125"/>
        <v>288.89331365274961</v>
      </c>
      <c r="DT176" s="60">
        <f ca="1">AVERAGE(OFFSET($DS$3,0,0,'Données projet'!$E$14+1,1))-AVERAGE(OFFSET($H$3,0,0,'Données projet'!$E$14+1,1))</f>
        <v>285.09561428624352</v>
      </c>
      <c r="DU176" s="60">
        <f t="shared" si="152"/>
        <v>261.05678516705564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-9.2222762759774927E-14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272.69564942740931</v>
      </c>
      <c r="EP176" s="60">
        <f t="shared" si="154"/>
        <v>316.57989180609252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469.67944008675863</v>
      </c>
      <c r="T177" s="60">
        <f t="shared" si="142"/>
        <v>266.11908070867173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516.30971934066179</v>
      </c>
      <c r="AO177" s="60">
        <f t="shared" si="144"/>
        <v>290.84286505723571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-1.250327841262333E-13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314.75847268052081</v>
      </c>
      <c r="BJ177" s="60">
        <f t="shared" si="146"/>
        <v>337.77701316755338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-6.2527760746888816E-13</v>
      </c>
      <c r="BZ177" s="14">
        <f>BY177*VLOOKUP('Données projet'!$B$12,Paramètres!$A$1:$I$89,3,0)*VLOOKUP('Données projet'!$B$12,Paramètres!$A$1:$I$89,5,0)</f>
        <v>-2.9262992029543964E-13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277.77877239988635</v>
      </c>
      <c r="CE177" s="60">
        <f t="shared" si="148"/>
        <v>164.65640238394164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334.26876877415839</v>
      </c>
      <c r="CZ177" s="60">
        <f t="shared" si="150"/>
        <v>465.65761854152913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3.6357050703372803E-14</v>
      </c>
      <c r="DQ177" s="14">
        <f t="shared" si="176"/>
        <v>6.1445232567661395E-13</v>
      </c>
      <c r="DR177" s="22">
        <f t="shared" si="177"/>
        <v>1.1334929971951436E-12</v>
      </c>
      <c r="DS177" s="60">
        <f t="shared" si="125"/>
        <v>288.97033806781087</v>
      </c>
      <c r="DT177" s="60">
        <f ca="1">AVERAGE(OFFSET($DS$3,0,0,'Données projet'!$E$14+1,1))-AVERAGE(OFFSET($H$3,0,0,'Données projet'!$E$14+1,1))</f>
        <v>285.09561428624352</v>
      </c>
      <c r="DU177" s="60">
        <f t="shared" si="152"/>
        <v>261.05678516705564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-9.2222762759774927E-14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272.69564942740931</v>
      </c>
      <c r="EP177" s="60">
        <f t="shared" si="154"/>
        <v>316.57989180609252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469.67944008675863</v>
      </c>
      <c r="T178" s="60">
        <f t="shared" si="142"/>
        <v>266.11908070867173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516.30971934066179</v>
      </c>
      <c r="AO178" s="60">
        <f t="shared" si="144"/>
        <v>290.84286505723571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-1.250327841262333E-13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314.75847268052081</v>
      </c>
      <c r="BJ178" s="60">
        <f t="shared" si="146"/>
        <v>337.77701316755338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-6.2527760746888816E-13</v>
      </c>
      <c r="BZ178" s="14">
        <f>BY178*VLOOKUP('Données projet'!$B$12,Paramètres!$A$1:$I$89,3,0)*VLOOKUP('Données projet'!$B$12,Paramètres!$A$1:$I$89,5,0)</f>
        <v>-2.9262992029543964E-13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277.77877239988635</v>
      </c>
      <c r="CE178" s="60">
        <f t="shared" si="148"/>
        <v>164.65640238394164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334.26876877415839</v>
      </c>
      <c r="CZ178" s="60">
        <f t="shared" si="150"/>
        <v>465.65761854152913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3.6357050703372803E-14</v>
      </c>
      <c r="DQ178" s="14">
        <f t="shared" si="176"/>
        <v>6.1445232567661395E-13</v>
      </c>
      <c r="DR178" s="22">
        <f t="shared" si="177"/>
        <v>1.1334929971951436E-12</v>
      </c>
      <c r="DS178" s="60">
        <f t="shared" si="125"/>
        <v>289.04602628147154</v>
      </c>
      <c r="DT178" s="60">
        <f ca="1">AVERAGE(OFFSET($DS$3,0,0,'Données projet'!$E$14+1,1))-AVERAGE(OFFSET($H$3,0,0,'Données projet'!$E$14+1,1))</f>
        <v>285.09561428624352</v>
      </c>
      <c r="DU178" s="60">
        <f t="shared" si="152"/>
        <v>261.05678516705564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-9.2222762759774927E-14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272.69564942740931</v>
      </c>
      <c r="EP178" s="60">
        <f t="shared" si="154"/>
        <v>316.57989180609252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469.67944008675863</v>
      </c>
      <c r="T179" s="60">
        <f t="shared" si="142"/>
        <v>266.11908070867173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516.30971934066179</v>
      </c>
      <c r="AO179" s="60">
        <f t="shared" si="144"/>
        <v>290.84286505723571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-1.250327841262333E-13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314.75847268052081</v>
      </c>
      <c r="BJ179" s="60">
        <f t="shared" si="146"/>
        <v>337.77701316755338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-6.2527760746888816E-13</v>
      </c>
      <c r="BZ179" s="14">
        <f>BY179*VLOOKUP('Données projet'!$B$12,Paramètres!$A$1:$I$89,3,0)*VLOOKUP('Données projet'!$B$12,Paramètres!$A$1:$I$89,5,0)</f>
        <v>-2.9262992029543964E-13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277.77877239988635</v>
      </c>
      <c r="CE179" s="60">
        <f t="shared" si="148"/>
        <v>164.65640238394164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334.26876877415839</v>
      </c>
      <c r="CZ179" s="60">
        <f t="shared" si="150"/>
        <v>465.65761854152913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3.6357050703372803E-14</v>
      </c>
      <c r="DQ179" s="14">
        <f t="shared" si="176"/>
        <v>6.1445232567661395E-13</v>
      </c>
      <c r="DR179" s="22">
        <f t="shared" si="177"/>
        <v>1.1334929971951436E-12</v>
      </c>
      <c r="DS179" s="60">
        <f t="shared" si="125"/>
        <v>289.12040147383874</v>
      </c>
      <c r="DT179" s="60">
        <f ca="1">AVERAGE(OFFSET($DS$3,0,0,'Données projet'!$E$14+1,1))-AVERAGE(OFFSET($H$3,0,0,'Données projet'!$E$14+1,1))</f>
        <v>285.09561428624352</v>
      </c>
      <c r="DU179" s="60">
        <f t="shared" si="152"/>
        <v>261.05678516705564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-9.2222762759774927E-14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272.69564942740931</v>
      </c>
      <c r="EP179" s="60">
        <f t="shared" si="154"/>
        <v>316.57989180609252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469.67944008675863</v>
      </c>
      <c r="T180" s="60">
        <f t="shared" si="142"/>
        <v>266.11908070867173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516.30971934066179</v>
      </c>
      <c r="AO180" s="60">
        <f t="shared" si="144"/>
        <v>290.84286505723571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-1.250327841262333E-13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314.75847268052081</v>
      </c>
      <c r="BJ180" s="60">
        <f t="shared" si="146"/>
        <v>337.77701316755338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-6.2527760746888816E-13</v>
      </c>
      <c r="BZ180" s="14">
        <f>BY180*VLOOKUP('Données projet'!$B$12,Paramètres!$A$1:$I$89,3,0)*VLOOKUP('Données projet'!$B$12,Paramètres!$A$1:$I$89,5,0)</f>
        <v>-2.9262992029543964E-13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277.77877239988635</v>
      </c>
      <c r="CE180" s="60">
        <f t="shared" si="148"/>
        <v>164.65640238394164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334.26876877415839</v>
      </c>
      <c r="CZ180" s="60">
        <f t="shared" si="150"/>
        <v>465.65761854152913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3.6357050703372803E-14</v>
      </c>
      <c r="DQ180" s="14">
        <f t="shared" si="176"/>
        <v>6.1445232567661395E-13</v>
      </c>
      <c r="DR180" s="22">
        <f t="shared" si="177"/>
        <v>1.1334929971951436E-12</v>
      </c>
      <c r="DS180" s="60">
        <f t="shared" si="125"/>
        <v>289.1934864228964</v>
      </c>
      <c r="DT180" s="60">
        <f ca="1">AVERAGE(OFFSET($DS$3,0,0,'Données projet'!$E$14+1,1))-AVERAGE(OFFSET($H$3,0,0,'Données projet'!$E$14+1,1))</f>
        <v>285.09561428624352</v>
      </c>
      <c r="DU180" s="60">
        <f t="shared" si="152"/>
        <v>261.05678516705564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-9.2222762759774927E-14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272.69564942740931</v>
      </c>
      <c r="EP180" s="60">
        <f t="shared" si="154"/>
        <v>316.57989180609252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469.67944008675863</v>
      </c>
      <c r="T181" s="60">
        <f t="shared" si="142"/>
        <v>266.11908070867173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516.30971934066179</v>
      </c>
      <c r="AO181" s="60">
        <f t="shared" si="144"/>
        <v>290.84286505723571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-1.250327841262333E-13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314.75847268052081</v>
      </c>
      <c r="BJ181" s="60">
        <f t="shared" si="146"/>
        <v>337.77701316755338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-6.2527760746888816E-13</v>
      </c>
      <c r="BZ181" s="14">
        <f>BY181*VLOOKUP('Données projet'!$B$12,Paramètres!$A$1:$I$89,3,0)*VLOOKUP('Données projet'!$B$12,Paramètres!$A$1:$I$89,5,0)</f>
        <v>-2.9262992029543964E-13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277.77877239988635</v>
      </c>
      <c r="CE181" s="60">
        <f t="shared" si="148"/>
        <v>164.65640238394164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334.26876877415839</v>
      </c>
      <c r="CZ181" s="60">
        <f t="shared" si="150"/>
        <v>465.65761854152913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3.6357050703372803E-14</v>
      </c>
      <c r="DQ181" s="14">
        <f t="shared" si="176"/>
        <v>6.1445232567661395E-13</v>
      </c>
      <c r="DR181" s="22">
        <f t="shared" si="177"/>
        <v>1.1334929971951436E-12</v>
      </c>
      <c r="DS181" s="60">
        <f t="shared" si="125"/>
        <v>289.26530351148131</v>
      </c>
      <c r="DT181" s="60">
        <f ca="1">AVERAGE(OFFSET($DS$3,0,0,'Données projet'!$E$14+1,1))-AVERAGE(OFFSET($H$3,0,0,'Données projet'!$E$14+1,1))</f>
        <v>285.09561428624352</v>
      </c>
      <c r="DU181" s="60">
        <f t="shared" si="152"/>
        <v>261.05678516705564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-9.2222762759774927E-14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272.69564942740931</v>
      </c>
      <c r="EP181" s="60">
        <f t="shared" si="154"/>
        <v>316.57989180609252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469.67944008675863</v>
      </c>
      <c r="T182" s="60">
        <f t="shared" si="142"/>
        <v>266.11908070867173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516.30971934066179</v>
      </c>
      <c r="AO182" s="60">
        <f t="shared" si="144"/>
        <v>290.84286505723571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-1.250327841262333E-13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314.75847268052081</v>
      </c>
      <c r="BJ182" s="60">
        <f t="shared" si="146"/>
        <v>337.77701316755338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-6.2527760746888816E-13</v>
      </c>
      <c r="BZ182" s="14">
        <f>BY182*VLOOKUP('Données projet'!$B$12,Paramètres!$A$1:$I$89,3,0)*VLOOKUP('Données projet'!$B$12,Paramètres!$A$1:$I$89,5,0)</f>
        <v>-2.9262992029543964E-13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277.77877239988635</v>
      </c>
      <c r="CE182" s="60">
        <f t="shared" si="148"/>
        <v>164.65640238394164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334.26876877415839</v>
      </c>
      <c r="CZ182" s="60">
        <f t="shared" si="150"/>
        <v>465.65761854152913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3.6357050703372803E-14</v>
      </c>
      <c r="DQ182" s="14">
        <f t="shared" si="176"/>
        <v>6.1445232567661395E-13</v>
      </c>
      <c r="DR182" s="22">
        <f t="shared" si="177"/>
        <v>1.1334929971951436E-12</v>
      </c>
      <c r="DS182" s="60">
        <f t="shared" si="125"/>
        <v>289.33587473413826</v>
      </c>
      <c r="DT182" s="60">
        <f ca="1">AVERAGE(OFFSET($DS$3,0,0,'Données projet'!$E$14+1,1))-AVERAGE(OFFSET($H$3,0,0,'Données projet'!$E$14+1,1))</f>
        <v>285.09561428624352</v>
      </c>
      <c r="DU182" s="60">
        <f t="shared" si="152"/>
        <v>261.05678516705564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-9.2222762759774927E-14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272.69564942740931</v>
      </c>
      <c r="EP182" s="60">
        <f t="shared" si="154"/>
        <v>316.57989180609252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469.67944008675863</v>
      </c>
      <c r="T183" s="60">
        <f t="shared" si="142"/>
        <v>266.11908070867173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516.30971934066179</v>
      </c>
      <c r="AO183" s="60">
        <f t="shared" si="144"/>
        <v>290.84286505723571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-1.250327841262333E-13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314.75847268052081</v>
      </c>
      <c r="BJ183" s="60">
        <f t="shared" si="146"/>
        <v>337.77701316755338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-6.2527760746888816E-13</v>
      </c>
      <c r="BZ183" s="14">
        <f>BY183*VLOOKUP('Données projet'!$B$12,Paramètres!$A$1:$I$89,3,0)*VLOOKUP('Données projet'!$B$12,Paramètres!$A$1:$I$89,5,0)</f>
        <v>-2.9262992029543964E-13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277.77877239988635</v>
      </c>
      <c r="CE183" s="60">
        <f t="shared" si="148"/>
        <v>164.65640238394164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334.26876877415839</v>
      </c>
      <c r="CZ183" s="60">
        <f t="shared" si="150"/>
        <v>465.65761854152913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3.6357050703372803E-14</v>
      </c>
      <c r="DQ183" s="14">
        <f t="shared" si="176"/>
        <v>6.1445232567661395E-13</v>
      </c>
      <c r="DR183" s="22">
        <f t="shared" si="177"/>
        <v>1.1334929971951436E-12</v>
      </c>
      <c r="DS183" s="60">
        <f t="shared" si="125"/>
        <v>289.40522170385577</v>
      </c>
      <c r="DT183" s="60">
        <f ca="1">AVERAGE(OFFSET($DS$3,0,0,'Données projet'!$E$14+1,1))-AVERAGE(OFFSET($H$3,0,0,'Données projet'!$E$14+1,1))</f>
        <v>285.09561428624352</v>
      </c>
      <c r="DU183" s="60">
        <f t="shared" si="152"/>
        <v>261.05678516705564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-9.2222762759774927E-14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272.69564942740931</v>
      </c>
      <c r="EP183" s="60">
        <f t="shared" si="154"/>
        <v>316.57989180609252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469.67944008675863</v>
      </c>
      <c r="T184" s="60">
        <f t="shared" si="142"/>
        <v>266.11908070867173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516.30971934066179</v>
      </c>
      <c r="AO184" s="60">
        <f t="shared" si="144"/>
        <v>290.84286505723571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-1.250327841262333E-13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314.75847268052081</v>
      </c>
      <c r="BJ184" s="60">
        <f t="shared" si="146"/>
        <v>337.77701316755338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-6.2527760746888816E-13</v>
      </c>
      <c r="BZ184" s="14">
        <f>BY184*VLOOKUP('Données projet'!$B$12,Paramètres!$A$1:$I$89,3,0)*VLOOKUP('Données projet'!$B$12,Paramètres!$A$1:$I$89,5,0)</f>
        <v>-2.9262992029543964E-13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277.77877239988635</v>
      </c>
      <c r="CE184" s="60">
        <f t="shared" si="148"/>
        <v>164.65640238394164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334.26876877415839</v>
      </c>
      <c r="CZ184" s="60">
        <f t="shared" si="150"/>
        <v>465.65761854152913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3.6357050703372803E-14</v>
      </c>
      <c r="DQ184" s="14">
        <f t="shared" si="176"/>
        <v>6.1445232567661395E-13</v>
      </c>
      <c r="DR184" s="22">
        <f t="shared" si="177"/>
        <v>1.1334929971951436E-12</v>
      </c>
      <c r="DS184" s="60">
        <f t="shared" si="125"/>
        <v>289.47336565868522</v>
      </c>
      <c r="DT184" s="60">
        <f ca="1">AVERAGE(OFFSET($DS$3,0,0,'Données projet'!$E$14+1,1))-AVERAGE(OFFSET($H$3,0,0,'Données projet'!$E$14+1,1))</f>
        <v>285.09561428624352</v>
      </c>
      <c r="DU184" s="60">
        <f t="shared" si="152"/>
        <v>261.05678516705564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-9.2222762759774927E-14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272.69564942740931</v>
      </c>
      <c r="EP184" s="60">
        <f t="shared" si="154"/>
        <v>316.57989180609252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469.67944008675863</v>
      </c>
      <c r="T185" s="60">
        <f t="shared" si="142"/>
        <v>266.11908070867173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516.30971934066179</v>
      </c>
      <c r="AO185" s="60">
        <f t="shared" si="144"/>
        <v>290.84286505723571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-1.250327841262333E-13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314.75847268052081</v>
      </c>
      <c r="BJ185" s="60">
        <f t="shared" si="146"/>
        <v>337.77701316755338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-6.2527760746888816E-13</v>
      </c>
      <c r="BZ185" s="14">
        <f>BY185*VLOOKUP('Données projet'!$B$12,Paramètres!$A$1:$I$89,3,0)*VLOOKUP('Données projet'!$B$12,Paramètres!$A$1:$I$89,5,0)</f>
        <v>-2.9262992029543964E-13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277.77877239988635</v>
      </c>
      <c r="CE185" s="60">
        <f t="shared" si="148"/>
        <v>164.65640238394164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334.26876877415839</v>
      </c>
      <c r="CZ185" s="60">
        <f t="shared" si="150"/>
        <v>465.65761854152913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3.6357050703372803E-14</v>
      </c>
      <c r="DQ185" s="14">
        <f t="shared" si="176"/>
        <v>6.1445232567661395E-13</v>
      </c>
      <c r="DR185" s="22">
        <f t="shared" si="177"/>
        <v>1.1334929971951436E-12</v>
      </c>
      <c r="DS185" s="60">
        <f t="shared" si="125"/>
        <v>289.54032746824555</v>
      </c>
      <c r="DT185" s="60">
        <f ca="1">AVERAGE(OFFSET($DS$3,0,0,'Données projet'!$E$14+1,1))-AVERAGE(OFFSET($H$3,0,0,'Données projet'!$E$14+1,1))</f>
        <v>285.09561428624352</v>
      </c>
      <c r="DU185" s="60">
        <f t="shared" si="152"/>
        <v>261.05678516705564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-9.2222762759774927E-14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272.69564942740931</v>
      </c>
      <c r="EP185" s="60">
        <f t="shared" si="154"/>
        <v>316.57989180609252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469.67944008675863</v>
      </c>
      <c r="T186" s="60">
        <f t="shared" si="142"/>
        <v>266.11908070867173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516.30971934066179</v>
      </c>
      <c r="AO186" s="60">
        <f t="shared" si="144"/>
        <v>290.84286505723571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-1.250327841262333E-13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314.75847268052081</v>
      </c>
      <c r="BJ186" s="60">
        <f t="shared" si="146"/>
        <v>337.77701316755338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-6.2527760746888816E-13</v>
      </c>
      <c r="BZ186" s="14">
        <f>BY186*VLOOKUP('Données projet'!$B$12,Paramètres!$A$1:$I$89,3,0)*VLOOKUP('Données projet'!$B$12,Paramètres!$A$1:$I$89,5,0)</f>
        <v>-2.9262992029543964E-13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277.77877239988635</v>
      </c>
      <c r="CE186" s="60">
        <f t="shared" si="148"/>
        <v>164.65640238394164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334.26876877415839</v>
      </c>
      <c r="CZ186" s="60">
        <f t="shared" si="150"/>
        <v>465.65761854152913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3.6357050703372803E-14</v>
      </c>
      <c r="DQ186" s="14">
        <f t="shared" si="176"/>
        <v>6.1445232567661395E-13</v>
      </c>
      <c r="DR186" s="22">
        <f t="shared" si="177"/>
        <v>1.1334929971951436E-12</v>
      </c>
      <c r="DS186" s="60">
        <f t="shared" si="125"/>
        <v>289.6061276401141</v>
      </c>
      <c r="DT186" s="60">
        <f ca="1">AVERAGE(OFFSET($DS$3,0,0,'Données projet'!$E$14+1,1))-AVERAGE(OFFSET($H$3,0,0,'Données projet'!$E$14+1,1))</f>
        <v>285.09561428624352</v>
      </c>
      <c r="DU186" s="60">
        <f t="shared" si="152"/>
        <v>261.05678516705564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-9.2222762759774927E-14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272.69564942740931</v>
      </c>
      <c r="EP186" s="60">
        <f t="shared" si="154"/>
        <v>316.57989180609252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469.67944008675863</v>
      </c>
      <c r="T187" s="60">
        <f t="shared" si="142"/>
        <v>266.11908070867173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516.30971934066179</v>
      </c>
      <c r="AO187" s="60">
        <f t="shared" si="144"/>
        <v>290.84286505723571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-1.250327841262333E-13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314.75847268052081</v>
      </c>
      <c r="BJ187" s="60">
        <f t="shared" si="146"/>
        <v>337.77701316755338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-6.2527760746888816E-13</v>
      </c>
      <c r="BZ187" s="14">
        <f>BY187*VLOOKUP('Données projet'!$B$12,Paramètres!$A$1:$I$89,3,0)*VLOOKUP('Données projet'!$B$12,Paramètres!$A$1:$I$89,5,0)</f>
        <v>-2.9262992029543964E-13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277.77877239988635</v>
      </c>
      <c r="CE187" s="60">
        <f t="shared" si="148"/>
        <v>164.65640238394164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334.26876877415839</v>
      </c>
      <c r="CZ187" s="60">
        <f t="shared" si="150"/>
        <v>465.65761854152913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3.6357050703372803E-14</v>
      </c>
      <c r="DQ187" s="14">
        <f t="shared" si="176"/>
        <v>6.1445232567661395E-13</v>
      </c>
      <c r="DR187" s="22">
        <f t="shared" si="177"/>
        <v>1.1334929971951436E-12</v>
      </c>
      <c r="DS187" s="60">
        <f t="shared" si="125"/>
        <v>289.67078632610787</v>
      </c>
      <c r="DT187" s="60">
        <f ca="1">AVERAGE(OFFSET($DS$3,0,0,'Données projet'!$E$14+1,1))-AVERAGE(OFFSET($H$3,0,0,'Données projet'!$E$14+1,1))</f>
        <v>285.09561428624352</v>
      </c>
      <c r="DU187" s="60">
        <f t="shared" si="152"/>
        <v>261.05678516705564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-9.2222762759774927E-14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272.69564942740931</v>
      </c>
      <c r="EP187" s="60">
        <f t="shared" si="154"/>
        <v>316.57989180609252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469.67944008675863</v>
      </c>
      <c r="T188" s="60">
        <f t="shared" si="142"/>
        <v>266.11908070867173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516.30971934066179</v>
      </c>
      <c r="AO188" s="60">
        <f t="shared" si="144"/>
        <v>290.84286505723571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-1.250327841262333E-13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314.75847268052081</v>
      </c>
      <c r="BJ188" s="60">
        <f t="shared" si="146"/>
        <v>337.77701316755338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-6.2527760746888816E-13</v>
      </c>
      <c r="BZ188" s="14">
        <f>BY188*VLOOKUP('Données projet'!$B$12,Paramètres!$A$1:$I$89,3,0)*VLOOKUP('Données projet'!$B$12,Paramètres!$A$1:$I$89,5,0)</f>
        <v>-2.9262992029543964E-13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277.77877239988635</v>
      </c>
      <c r="CE188" s="60">
        <f t="shared" si="148"/>
        <v>164.65640238394164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334.26876877415839</v>
      </c>
      <c r="CZ188" s="60">
        <f t="shared" si="150"/>
        <v>465.65761854152913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3.6357050703372803E-14</v>
      </c>
      <c r="DQ188" s="14">
        <f t="shared" si="176"/>
        <v>6.1445232567661395E-13</v>
      </c>
      <c r="DR188" s="22">
        <f t="shared" si="177"/>
        <v>1.1334929971951436E-12</v>
      </c>
      <c r="DS188" s="60">
        <f t="shared" si="125"/>
        <v>289.73432332845488</v>
      </c>
      <c r="DT188" s="60">
        <f ca="1">AVERAGE(OFFSET($DS$3,0,0,'Données projet'!$E$14+1,1))-AVERAGE(OFFSET($H$3,0,0,'Données projet'!$E$14+1,1))</f>
        <v>285.09561428624352</v>
      </c>
      <c r="DU188" s="60">
        <f t="shared" si="152"/>
        <v>261.05678516705564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-9.2222762759774927E-14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272.69564942740931</v>
      </c>
      <c r="EP188" s="60">
        <f t="shared" si="154"/>
        <v>316.57989180609252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469.67944008675863</v>
      </c>
      <c r="T189" s="60">
        <f t="shared" si="142"/>
        <v>266.11908070867173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516.30971934066179</v>
      </c>
      <c r="AO189" s="60">
        <f t="shared" si="144"/>
        <v>290.84286505723571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-1.250327841262333E-13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314.75847268052081</v>
      </c>
      <c r="BJ189" s="60">
        <f t="shared" si="146"/>
        <v>337.77701316755338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-6.2527760746888816E-13</v>
      </c>
      <c r="BZ189" s="14">
        <f>BY189*VLOOKUP('Données projet'!$B$12,Paramètres!$A$1:$I$89,3,0)*VLOOKUP('Données projet'!$B$12,Paramètres!$A$1:$I$89,5,0)</f>
        <v>-2.9262992029543964E-13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277.77877239988635</v>
      </c>
      <c r="CE189" s="60">
        <f t="shared" si="148"/>
        <v>164.65640238394164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334.26876877415839</v>
      </c>
      <c r="CZ189" s="60">
        <f t="shared" si="150"/>
        <v>465.65761854152913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3.6357050703372803E-14</v>
      </c>
      <c r="DQ189" s="14">
        <f t="shared" si="176"/>
        <v>6.1445232567661395E-13</v>
      </c>
      <c r="DR189" s="22">
        <f t="shared" si="177"/>
        <v>1.1334929971951436E-12</v>
      </c>
      <c r="DS189" s="60">
        <f t="shared" si="125"/>
        <v>289.79675810585854</v>
      </c>
      <c r="DT189" s="60">
        <f ca="1">AVERAGE(OFFSET($DS$3,0,0,'Données projet'!$E$14+1,1))-AVERAGE(OFFSET($H$3,0,0,'Données projet'!$E$14+1,1))</f>
        <v>285.09561428624352</v>
      </c>
      <c r="DU189" s="60">
        <f t="shared" si="152"/>
        <v>261.05678516705564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-9.2222762759774927E-14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272.69564942740931</v>
      </c>
      <c r="EP189" s="60">
        <f t="shared" si="154"/>
        <v>316.57989180609252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469.67944008675863</v>
      </c>
      <c r="T190" s="60">
        <f t="shared" si="142"/>
        <v>266.11908070867173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516.30971934066179</v>
      </c>
      <c r="AO190" s="60">
        <f t="shared" si="144"/>
        <v>290.84286505723571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-1.250327841262333E-13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314.75847268052081</v>
      </c>
      <c r="BJ190" s="60">
        <f t="shared" si="146"/>
        <v>337.77701316755338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-6.2527760746888816E-13</v>
      </c>
      <c r="BZ190" s="14">
        <f>BY190*VLOOKUP('Données projet'!$B$12,Paramètres!$A$1:$I$89,3,0)*VLOOKUP('Données projet'!$B$12,Paramètres!$A$1:$I$89,5,0)</f>
        <v>-2.9262992029543964E-13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277.77877239988635</v>
      </c>
      <c r="CE190" s="60">
        <f t="shared" si="148"/>
        <v>164.65640238394164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334.26876877415839</v>
      </c>
      <c r="CZ190" s="60">
        <f t="shared" si="150"/>
        <v>465.65761854152913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3.6357050703372803E-14</v>
      </c>
      <c r="DQ190" s="14">
        <f t="shared" si="176"/>
        <v>6.1445232567661395E-13</v>
      </c>
      <c r="DR190" s="22">
        <f t="shared" si="177"/>
        <v>1.1334929971951436E-12</v>
      </c>
      <c r="DS190" s="60">
        <f t="shared" si="125"/>
        <v>289.85810977945755</v>
      </c>
      <c r="DT190" s="60">
        <f ca="1">AVERAGE(OFFSET($DS$3,0,0,'Données projet'!$E$14+1,1))-AVERAGE(OFFSET($H$3,0,0,'Données projet'!$E$14+1,1))</f>
        <v>285.09561428624352</v>
      </c>
      <c r="DU190" s="60">
        <f t="shared" si="152"/>
        <v>261.05678516705564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-9.2222762759774927E-14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272.69564942740931</v>
      </c>
      <c r="EP190" s="60">
        <f t="shared" si="154"/>
        <v>316.57989180609252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469.67944008675863</v>
      </c>
      <c r="T191" s="60">
        <f t="shared" si="142"/>
        <v>266.11908070867173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516.30971934066179</v>
      </c>
      <c r="AO191" s="60">
        <f t="shared" si="144"/>
        <v>290.84286505723571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-1.250327841262333E-13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314.75847268052081</v>
      </c>
      <c r="BJ191" s="60">
        <f t="shared" si="146"/>
        <v>337.77701316755338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-6.2527760746888816E-13</v>
      </c>
      <c r="BZ191" s="14">
        <f>BY191*VLOOKUP('Données projet'!$B$12,Paramètres!$A$1:$I$89,3,0)*VLOOKUP('Données projet'!$B$12,Paramètres!$A$1:$I$89,5,0)</f>
        <v>-2.9262992029543964E-13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277.77877239988635</v>
      </c>
      <c r="CE191" s="60">
        <f t="shared" si="148"/>
        <v>164.65640238394164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334.26876877415839</v>
      </c>
      <c r="CZ191" s="60">
        <f t="shared" si="150"/>
        <v>465.65761854152913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3.6357050703372803E-14</v>
      </c>
      <c r="DQ191" s="14">
        <f t="shared" si="176"/>
        <v>6.1445232567661395E-13</v>
      </c>
      <c r="DR191" s="22">
        <f t="shared" si="177"/>
        <v>1.1334929971951436E-12</v>
      </c>
      <c r="DS191" s="60">
        <f t="shared" si="125"/>
        <v>289.91839713868137</v>
      </c>
      <c r="DT191" s="60">
        <f ca="1">AVERAGE(OFFSET($DS$3,0,0,'Données projet'!$E$14+1,1))-AVERAGE(OFFSET($H$3,0,0,'Données projet'!$E$14+1,1))</f>
        <v>285.09561428624352</v>
      </c>
      <c r="DU191" s="60">
        <f t="shared" si="152"/>
        <v>261.05678516705564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-9.2222762759774927E-14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272.69564942740931</v>
      </c>
      <c r="EP191" s="60">
        <f t="shared" si="154"/>
        <v>316.57989180609252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469.67944008675863</v>
      </c>
      <c r="T192" s="60">
        <f t="shared" si="142"/>
        <v>266.11908070867173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516.30971934066179</v>
      </c>
      <c r="AO192" s="60">
        <f t="shared" si="144"/>
        <v>290.84286505723571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-1.250327841262333E-13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314.75847268052081</v>
      </c>
      <c r="BJ192" s="60">
        <f t="shared" si="146"/>
        <v>337.77701316755338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-6.2527760746888816E-13</v>
      </c>
      <c r="BZ192" s="14">
        <f>BY192*VLOOKUP('Données projet'!$B$12,Paramètres!$A$1:$I$89,3,0)*VLOOKUP('Données projet'!$B$12,Paramètres!$A$1:$I$89,5,0)</f>
        <v>-2.9262992029543964E-13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277.77877239988635</v>
      </c>
      <c r="CE192" s="60">
        <f t="shared" si="148"/>
        <v>164.65640238394164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334.26876877415839</v>
      </c>
      <c r="CZ192" s="60">
        <f t="shared" si="150"/>
        <v>465.65761854152913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3.6357050703372803E-14</v>
      </c>
      <c r="DQ192" s="14">
        <f t="shared" si="176"/>
        <v>6.1445232567661395E-13</v>
      </c>
      <c r="DR192" s="22">
        <f t="shared" si="177"/>
        <v>1.1334929971951436E-12</v>
      </c>
      <c r="DS192" s="60">
        <f t="shared" si="125"/>
        <v>289.97763864700499</v>
      </c>
      <c r="DT192" s="60">
        <f ca="1">AVERAGE(OFFSET($DS$3,0,0,'Données projet'!$E$14+1,1))-AVERAGE(OFFSET($H$3,0,0,'Données projet'!$E$14+1,1))</f>
        <v>285.09561428624352</v>
      </c>
      <c r="DU192" s="60">
        <f t="shared" si="152"/>
        <v>261.05678516705564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-9.2222762759774927E-14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272.69564942740931</v>
      </c>
      <c r="EP192" s="60">
        <f t="shared" si="154"/>
        <v>316.57989180609252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469.67944008675863</v>
      </c>
      <c r="T193" s="60">
        <f t="shared" si="142"/>
        <v>266.11908070867173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516.30971934066179</v>
      </c>
      <c r="AO193" s="60">
        <f t="shared" si="144"/>
        <v>290.84286505723571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-1.250327841262333E-13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314.75847268052081</v>
      </c>
      <c r="BJ193" s="60">
        <f t="shared" si="146"/>
        <v>337.77701316755338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-6.2527760746888816E-13</v>
      </c>
      <c r="BZ193" s="14">
        <f>BY193*VLOOKUP('Données projet'!$B$12,Paramètres!$A$1:$I$89,3,0)*VLOOKUP('Données projet'!$B$12,Paramètres!$A$1:$I$89,5,0)</f>
        <v>-2.9262992029543964E-13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277.77877239988635</v>
      </c>
      <c r="CE193" s="60">
        <f t="shared" si="148"/>
        <v>164.65640238394164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334.26876877415839</v>
      </c>
      <c r="CZ193" s="60">
        <f t="shared" si="150"/>
        <v>465.65761854152913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3.6357050703372803E-14</v>
      </c>
      <c r="DQ193" s="14">
        <f t="shared" si="176"/>
        <v>6.1445232567661395E-13</v>
      </c>
      <c r="DR193" s="22">
        <f t="shared" si="177"/>
        <v>1.1334929971951436E-12</v>
      </c>
      <c r="DS193" s="60">
        <f t="shared" si="125"/>
        <v>290.03585244760342</v>
      </c>
      <c r="DT193" s="60">
        <f ca="1">AVERAGE(OFFSET($DS$3,0,0,'Données projet'!$E$14+1,1))-AVERAGE(OFFSET($H$3,0,0,'Données projet'!$E$14+1,1))</f>
        <v>285.09561428624352</v>
      </c>
      <c r="DU193" s="60">
        <f t="shared" si="152"/>
        <v>261.05678516705564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-9.2222762759774927E-14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272.69564942740931</v>
      </c>
      <c r="EP193" s="60">
        <f t="shared" si="154"/>
        <v>316.57989180609252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469.67944008675863</v>
      </c>
      <c r="T194" s="60">
        <f t="shared" si="142"/>
        <v>266.11908070867173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516.30971934066179</v>
      </c>
      <c r="AO194" s="60">
        <f t="shared" si="144"/>
        <v>290.84286505723571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-1.250327841262333E-13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314.75847268052081</v>
      </c>
      <c r="BJ194" s="60">
        <f t="shared" si="146"/>
        <v>337.77701316755338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-6.2527760746888816E-13</v>
      </c>
      <c r="BZ194" s="14">
        <f>BY194*VLOOKUP('Données projet'!$B$12,Paramètres!$A$1:$I$89,3,0)*VLOOKUP('Données projet'!$B$12,Paramètres!$A$1:$I$89,5,0)</f>
        <v>-2.9262992029543964E-13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277.77877239988635</v>
      </c>
      <c r="CE194" s="60">
        <f t="shared" si="148"/>
        <v>164.65640238394164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334.26876877415839</v>
      </c>
      <c r="CZ194" s="60">
        <f t="shared" si="150"/>
        <v>465.65761854152913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3.6357050703372803E-14</v>
      </c>
      <c r="DQ194" s="14">
        <f t="shared" si="176"/>
        <v>6.1445232567661395E-13</v>
      </c>
      <c r="DR194" s="22">
        <f t="shared" si="177"/>
        <v>1.1334929971951436E-12</v>
      </c>
      <c r="DS194" s="60">
        <f t="shared" si="125"/>
        <v>290.09305636890798</v>
      </c>
      <c r="DT194" s="60">
        <f ca="1">AVERAGE(OFFSET($DS$3,0,0,'Données projet'!$E$14+1,1))-AVERAGE(OFFSET($H$3,0,0,'Données projet'!$E$14+1,1))</f>
        <v>285.09561428624352</v>
      </c>
      <c r="DU194" s="60">
        <f t="shared" si="152"/>
        <v>261.05678516705564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-9.2222762759774927E-14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272.69564942740931</v>
      </c>
      <c r="EP194" s="60">
        <f t="shared" si="154"/>
        <v>316.57989180609252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469.67944008675863</v>
      </c>
      <c r="T195" s="60">
        <f t="shared" si="142"/>
        <v>266.11908070867173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516.30971934066179</v>
      </c>
      <c r="AO195" s="60">
        <f t="shared" si="144"/>
        <v>290.84286505723571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-1.250327841262333E-13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314.75847268052081</v>
      </c>
      <c r="BJ195" s="60">
        <f t="shared" si="146"/>
        <v>337.77701316755338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-6.2527760746888816E-13</v>
      </c>
      <c r="BZ195" s="14">
        <f>BY195*VLOOKUP('Données projet'!$B$12,Paramètres!$A$1:$I$89,3,0)*VLOOKUP('Données projet'!$B$12,Paramètres!$A$1:$I$89,5,0)</f>
        <v>-2.9262992029543964E-13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277.77877239988635</v>
      </c>
      <c r="CE195" s="60">
        <f t="shared" si="148"/>
        <v>164.65640238394164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334.26876877415839</v>
      </c>
      <c r="CZ195" s="60">
        <f t="shared" si="150"/>
        <v>465.65761854152913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3.6357050703372803E-14</v>
      </c>
      <c r="DQ195" s="14">
        <f t="shared" si="176"/>
        <v>6.1445232567661395E-13</v>
      </c>
      <c r="DR195" s="22">
        <f t="shared" si="177"/>
        <v>1.1334929971951436E-12</v>
      </c>
      <c r="DS195" s="60">
        <f t="shared" si="125"/>
        <v>290.1492679300668</v>
      </c>
      <c r="DT195" s="60">
        <f ca="1">AVERAGE(OFFSET($DS$3,0,0,'Données projet'!$E$14+1,1))-AVERAGE(OFFSET($H$3,0,0,'Données projet'!$E$14+1,1))</f>
        <v>285.09561428624352</v>
      </c>
      <c r="DU195" s="60">
        <f t="shared" si="152"/>
        <v>261.05678516705564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-9.2222762759774927E-14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272.69564942740931</v>
      </c>
      <c r="EP195" s="60">
        <f t="shared" si="154"/>
        <v>316.57989180609252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469.67944008675863</v>
      </c>
      <c r="T196" s="60">
        <f t="shared" si="142"/>
        <v>266.11908070867173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516.30971934066179</v>
      </c>
      <c r="AO196" s="60">
        <f t="shared" si="144"/>
        <v>290.84286505723571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-1.250327841262333E-13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314.75847268052081</v>
      </c>
      <c r="BJ196" s="60">
        <f t="shared" si="146"/>
        <v>337.77701316755338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-6.2527760746888816E-13</v>
      </c>
      <c r="BZ196" s="14">
        <f>BY196*VLOOKUP('Données projet'!$B$12,Paramètres!$A$1:$I$89,3,0)*VLOOKUP('Données projet'!$B$12,Paramètres!$A$1:$I$89,5,0)</f>
        <v>-2.9262992029543964E-13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277.77877239988635</v>
      </c>
      <c r="CE196" s="60">
        <f t="shared" si="148"/>
        <v>164.65640238394164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334.26876877415839</v>
      </c>
      <c r="CZ196" s="60">
        <f t="shared" si="150"/>
        <v>465.65761854152913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3.6357050703372803E-14</v>
      </c>
      <c r="DQ196" s="14">
        <f t="shared" si="176"/>
        <v>6.1445232567661395E-13</v>
      </c>
      <c r="DR196" s="22">
        <f t="shared" si="177"/>
        <v>1.1334929971951436E-12</v>
      </c>
      <c r="DS196" s="60">
        <f t="shared" ref="DS196:DS203" si="197">DR196+(DJ196+DK196)*44/12</f>
        <v>290.20450434630965</v>
      </c>
      <c r="DT196" s="60">
        <f ca="1">AVERAGE(OFFSET($DS$3,0,0,'Données projet'!$E$14+1,1))-AVERAGE(OFFSET($H$3,0,0,'Données projet'!$E$14+1,1))</f>
        <v>285.09561428624352</v>
      </c>
      <c r="DU196" s="60">
        <f t="shared" si="152"/>
        <v>261.05678516705564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-9.2222762759774927E-14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272.69564942740931</v>
      </c>
      <c r="EP196" s="60">
        <f t="shared" si="154"/>
        <v>316.57989180609252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469.67944008675863</v>
      </c>
      <c r="T197" s="60">
        <f t="shared" ref="T197:T203" si="204">$T$3</f>
        <v>266.11908070867173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516.30971934066179</v>
      </c>
      <c r="AO197" s="60">
        <f t="shared" ref="AO197:AO203" si="205">$AO$3</f>
        <v>290.84286505723571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-1.250327841262333E-13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314.75847268052081</v>
      </c>
      <c r="BJ197" s="60">
        <f t="shared" ref="BJ197:BJ203" si="206">$BJ$3</f>
        <v>337.77701316755338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-6.2527760746888816E-13</v>
      </c>
      <c r="BZ197" s="14">
        <f>BY197*VLOOKUP('Données projet'!$B$12,Paramètres!$A$1:$I$89,3,0)*VLOOKUP('Données projet'!$B$12,Paramètres!$A$1:$I$89,5,0)</f>
        <v>-2.9262992029543964E-13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277.77877239988635</v>
      </c>
      <c r="CE197" s="60">
        <f t="shared" ref="CE197:CE203" si="207">$CE$3</f>
        <v>164.65640238394164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334.26876877415839</v>
      </c>
      <c r="CZ197" s="60">
        <f t="shared" ref="CZ197:CZ203" si="208">$CZ$3</f>
        <v>465.65761854152913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3.6357050703372803E-14</v>
      </c>
      <c r="DQ197" s="14">
        <f t="shared" si="176"/>
        <v>6.1445232567661395E-13</v>
      </c>
      <c r="DR197" s="22">
        <f t="shared" si="177"/>
        <v>1.1334929971951436E-12</v>
      </c>
      <c r="DS197" s="60">
        <f t="shared" si="197"/>
        <v>290.25878253422087</v>
      </c>
      <c r="DT197" s="60">
        <f ca="1">AVERAGE(OFFSET($DS$3,0,0,'Données projet'!$E$14+1,1))-AVERAGE(OFFSET($H$3,0,0,'Données projet'!$E$14+1,1))</f>
        <v>285.09561428624352</v>
      </c>
      <c r="DU197" s="60">
        <f t="shared" ref="DU197:DU203" si="209">$DU$3</f>
        <v>261.05678516705564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-9.2222762759774927E-14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272.69564942740931</v>
      </c>
      <c r="EP197" s="60">
        <f t="shared" ref="EP197:EP203" si="210">$EP$3</f>
        <v>316.57989180609252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469.67944008675863</v>
      </c>
      <c r="T198" s="60">
        <f t="shared" si="204"/>
        <v>266.11908070867173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516.30971934066179</v>
      </c>
      <c r="AO198" s="60">
        <f t="shared" si="205"/>
        <v>290.84286505723571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-1.250327841262333E-13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314.75847268052081</v>
      </c>
      <c r="BJ198" s="60">
        <f t="shared" si="206"/>
        <v>337.77701316755338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-6.2527760746888816E-13</v>
      </c>
      <c r="BZ198" s="14">
        <f>BY198*VLOOKUP('Données projet'!$B$12,Paramètres!$A$1:$I$89,3,0)*VLOOKUP('Données projet'!$B$12,Paramètres!$A$1:$I$89,5,0)</f>
        <v>-2.9262992029543964E-13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277.77877239988635</v>
      </c>
      <c r="CE198" s="60">
        <f t="shared" si="207"/>
        <v>164.65640238394164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334.26876877415839</v>
      </c>
      <c r="CZ198" s="60">
        <f t="shared" si="208"/>
        <v>465.65761854152913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3.6357050703372803E-14</v>
      </c>
      <c r="DQ198" s="14">
        <f t="shared" si="176"/>
        <v>6.1445232567661395E-13</v>
      </c>
      <c r="DR198" s="22">
        <f t="shared" si="177"/>
        <v>1.1334929971951436E-12</v>
      </c>
      <c r="DS198" s="60">
        <f t="shared" si="197"/>
        <v>290.31211911691963</v>
      </c>
      <c r="DT198" s="60">
        <f ca="1">AVERAGE(OFFSET($DS$3,0,0,'Données projet'!$E$14+1,1))-AVERAGE(OFFSET($H$3,0,0,'Données projet'!$E$14+1,1))</f>
        <v>285.09561428624352</v>
      </c>
      <c r="DU198" s="60">
        <f t="shared" si="209"/>
        <v>261.05678516705564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-9.2222762759774927E-14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272.69564942740931</v>
      </c>
      <c r="EP198" s="60">
        <f t="shared" si="210"/>
        <v>316.57989180609252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469.67944008675863</v>
      </c>
      <c r="T199" s="60">
        <f t="shared" si="204"/>
        <v>266.11908070867173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516.30971934066179</v>
      </c>
      <c r="AO199" s="60">
        <f t="shared" si="205"/>
        <v>290.84286505723571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-1.250327841262333E-13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314.75847268052081</v>
      </c>
      <c r="BJ199" s="60">
        <f t="shared" si="206"/>
        <v>337.77701316755338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-6.2527760746888816E-13</v>
      </c>
      <c r="BZ199" s="14">
        <f>BY199*VLOOKUP('Données projet'!$B$12,Paramètres!$A$1:$I$89,3,0)*VLOOKUP('Données projet'!$B$12,Paramètres!$A$1:$I$89,5,0)</f>
        <v>-2.9262992029543964E-13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277.77877239988635</v>
      </c>
      <c r="CE199" s="60">
        <f t="shared" si="207"/>
        <v>164.65640238394164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334.26876877415839</v>
      </c>
      <c r="CZ199" s="60">
        <f t="shared" si="208"/>
        <v>465.65761854152913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3.6357050703372803E-14</v>
      </c>
      <c r="DQ199" s="14">
        <f t="shared" si="176"/>
        <v>6.1445232567661395E-13</v>
      </c>
      <c r="DR199" s="22">
        <f t="shared" si="177"/>
        <v>1.1334929971951436E-12</v>
      </c>
      <c r="DS199" s="60">
        <f t="shared" si="197"/>
        <v>290.36453042915133</v>
      </c>
      <c r="DT199" s="60">
        <f ca="1">AVERAGE(OFFSET($DS$3,0,0,'Données projet'!$E$14+1,1))-AVERAGE(OFFSET($H$3,0,0,'Données projet'!$E$14+1,1))</f>
        <v>285.09561428624352</v>
      </c>
      <c r="DU199" s="60">
        <f t="shared" si="209"/>
        <v>261.05678516705564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-9.2222762759774927E-14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272.69564942740931</v>
      </c>
      <c r="EP199" s="60">
        <f t="shared" si="210"/>
        <v>316.57989180609252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469.67944008675863</v>
      </c>
      <c r="T200" s="60">
        <f t="shared" si="204"/>
        <v>266.11908070867173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516.30971934066179</v>
      </c>
      <c r="AO200" s="60">
        <f t="shared" si="205"/>
        <v>290.84286505723571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-1.250327841262333E-13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314.75847268052081</v>
      </c>
      <c r="BJ200" s="60">
        <f t="shared" si="206"/>
        <v>337.77701316755338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-6.2527760746888816E-13</v>
      </c>
      <c r="BZ200" s="14">
        <f>BY200*VLOOKUP('Données projet'!$B$12,Paramètres!$A$1:$I$89,3,0)*VLOOKUP('Données projet'!$B$12,Paramètres!$A$1:$I$89,5,0)</f>
        <v>-2.9262992029543964E-13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277.77877239988635</v>
      </c>
      <c r="CE200" s="60">
        <f t="shared" si="207"/>
        <v>164.65640238394164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334.26876877415839</v>
      </c>
      <c r="CZ200" s="60">
        <f t="shared" si="208"/>
        <v>465.65761854152913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3.6357050703372803E-14</v>
      </c>
      <c r="DQ200" s="14">
        <f t="shared" si="176"/>
        <v>6.1445232567661395E-13</v>
      </c>
      <c r="DR200" s="22">
        <f t="shared" si="177"/>
        <v>1.1334929971951436E-12</v>
      </c>
      <c r="DS200" s="60">
        <f t="shared" si="197"/>
        <v>290.41603252228992</v>
      </c>
      <c r="DT200" s="60">
        <f ca="1">AVERAGE(OFFSET($DS$3,0,0,'Données projet'!$E$14+1,1))-AVERAGE(OFFSET($H$3,0,0,'Données projet'!$E$14+1,1))</f>
        <v>285.09561428624352</v>
      </c>
      <c r="DU200" s="60">
        <f t="shared" si="209"/>
        <v>261.05678516705564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-9.2222762759774927E-14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272.69564942740931</v>
      </c>
      <c r="EP200" s="60">
        <f t="shared" si="210"/>
        <v>316.57989180609252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469.67944008675863</v>
      </c>
      <c r="T201" s="60">
        <f t="shared" si="204"/>
        <v>266.11908070867173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516.30971934066179</v>
      </c>
      <c r="AO201" s="60">
        <f t="shared" si="205"/>
        <v>290.84286505723571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-1.250327841262333E-13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314.75847268052081</v>
      </c>
      <c r="BJ201" s="60">
        <f t="shared" si="206"/>
        <v>337.77701316755338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-6.2527760746888816E-13</v>
      </c>
      <c r="BZ201" s="14">
        <f>BY201*VLOOKUP('Données projet'!$B$12,Paramètres!$A$1:$I$89,3,0)*VLOOKUP('Données projet'!$B$12,Paramètres!$A$1:$I$89,5,0)</f>
        <v>-2.9262992029543964E-13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277.77877239988635</v>
      </c>
      <c r="CE201" s="60">
        <f t="shared" si="207"/>
        <v>164.65640238394164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334.26876877415839</v>
      </c>
      <c r="CZ201" s="60">
        <f t="shared" si="208"/>
        <v>465.65761854152913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3.6357050703372803E-14</v>
      </c>
      <c r="DQ201" s="14">
        <f t="shared" si="176"/>
        <v>6.1445232567661395E-13</v>
      </c>
      <c r="DR201" s="22">
        <f t="shared" si="177"/>
        <v>1.1334929971951436E-12</v>
      </c>
      <c r="DS201" s="60">
        <f t="shared" si="197"/>
        <v>290.46664116925405</v>
      </c>
      <c r="DT201" s="60">
        <f ca="1">AVERAGE(OFFSET($DS$3,0,0,'Données projet'!$E$14+1,1))-AVERAGE(OFFSET($H$3,0,0,'Données projet'!$E$14+1,1))</f>
        <v>285.09561428624352</v>
      </c>
      <c r="DU201" s="60">
        <f t="shared" si="209"/>
        <v>261.05678516705564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-9.2222762759774927E-14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272.69564942740931</v>
      </c>
      <c r="EP201" s="60">
        <f t="shared" si="210"/>
        <v>316.57989180609252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469.67944008675863</v>
      </c>
      <c r="T202" s="60">
        <f t="shared" si="204"/>
        <v>266.11908070867173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516.30971934066179</v>
      </c>
      <c r="AO202" s="60">
        <f t="shared" si="205"/>
        <v>290.84286505723571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-1.250327841262333E-13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314.75847268052081</v>
      </c>
      <c r="BJ202" s="60">
        <f t="shared" si="206"/>
        <v>337.77701316755338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-6.2527760746888816E-13</v>
      </c>
      <c r="BZ202" s="14">
        <f>BY202*VLOOKUP('Données projet'!$B$12,Paramètres!$A$1:$I$89,3,0)*VLOOKUP('Données projet'!$B$12,Paramètres!$A$1:$I$89,5,0)</f>
        <v>-2.9262992029543964E-13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277.77877239988635</v>
      </c>
      <c r="CE202" s="60">
        <f t="shared" si="207"/>
        <v>164.65640238394164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334.26876877415839</v>
      </c>
      <c r="CZ202" s="60">
        <f t="shared" si="208"/>
        <v>465.65761854152913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3.6357050703372803E-14</v>
      </c>
      <c r="DQ202" s="14">
        <f t="shared" si="176"/>
        <v>6.1445232567661395E-13</v>
      </c>
      <c r="DR202" s="22">
        <f t="shared" si="177"/>
        <v>1.1334929971951436E-12</v>
      </c>
      <c r="DS202" s="60">
        <f t="shared" si="197"/>
        <v>290.51637186933726</v>
      </c>
      <c r="DT202" s="60">
        <f ca="1">AVERAGE(OFFSET($DS$3,0,0,'Données projet'!$E$14+1,1))-AVERAGE(OFFSET($H$3,0,0,'Données projet'!$E$14+1,1))</f>
        <v>285.09561428624352</v>
      </c>
      <c r="DU202" s="60">
        <f t="shared" si="209"/>
        <v>261.05678516705564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-9.2222762759774927E-14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272.69564942740931</v>
      </c>
      <c r="EP202" s="60">
        <f t="shared" si="210"/>
        <v>316.57989180609252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469.67944008675863</v>
      </c>
      <c r="T203" s="60">
        <f t="shared" si="204"/>
        <v>266.11908070867173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516.30971934066179</v>
      </c>
      <c r="AO203" s="60">
        <f t="shared" si="205"/>
        <v>290.84286505723571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-1.250327841262333E-13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314.75847268052081</v>
      </c>
      <c r="BJ203" s="60">
        <f t="shared" si="206"/>
        <v>337.77701316755338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-6.2527760746888816E-13</v>
      </c>
      <c r="BZ203" s="14">
        <f>BY203*VLOOKUP('Données projet'!$B$12,Paramètres!$A$1:$I$89,3,0)*VLOOKUP('Données projet'!$B$12,Paramètres!$A$1:$I$89,5,0)</f>
        <v>-2.9262992029543964E-13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277.77877239988635</v>
      </c>
      <c r="CE203" s="60">
        <f t="shared" si="207"/>
        <v>164.65640238394164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334.26876877415839</v>
      </c>
      <c r="CZ203" s="60">
        <f t="shared" si="208"/>
        <v>465.65761854152913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3.6357050703372803E-14</v>
      </c>
      <c r="DQ203" s="14">
        <f t="shared" si="176"/>
        <v>6.1445232567661395E-13</v>
      </c>
      <c r="DR203" s="22">
        <f t="shared" si="177"/>
        <v>1.1334929971951436E-12</v>
      </c>
      <c r="DS203" s="60">
        <f t="shared" si="197"/>
        <v>290.56523985295524</v>
      </c>
      <c r="DT203" s="60">
        <f ca="1">AVERAGE(OFFSET($DS$3,0,0,'Données projet'!$E$14+1,1))-AVERAGE(OFFSET($H$3,0,0,'Données projet'!$E$14+1,1))</f>
        <v>285.09561428624352</v>
      </c>
      <c r="DU203" s="60">
        <f t="shared" si="209"/>
        <v>261.05678516705564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-9.2222762759774927E-14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272.69564942740931</v>
      </c>
      <c r="EP203" s="60">
        <f t="shared" si="210"/>
        <v>316.57989180609252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1.2721747796233518</v>
      </c>
      <c r="BV205" s="86">
        <f>EXP(LN('Données projet'!B114)/'Données projet'!A114)</f>
        <v>1.1671681906248585</v>
      </c>
      <c r="CQ205" s="86">
        <f>EXP(LN('Données projet'!B140)/'Données projet'!A140)</f>
        <v>1.9472943612303364</v>
      </c>
      <c r="DL205" s="86">
        <f>EXP(LN('Données projet'!B166)/'Données projet'!A166)</f>
        <v>1.2551904803974363</v>
      </c>
      <c r="EG205" s="86">
        <f>EXP(LN('Données projet'!B192)/'Données projet'!A192)</f>
        <v>1.2457309396155174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25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4" t="s">
        <v>238</v>
      </c>
      <c r="P2" s="127">
        <v>0</v>
      </c>
    </row>
    <row r="3" spans="1:16" ht="15.75" thickBot="1" x14ac:dyDescent="0.3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5"/>
      <c r="P3" s="134">
        <v>0.2</v>
      </c>
    </row>
    <row r="4" spans="1:16" ht="15.75" thickBot="1" x14ac:dyDescent="0.3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25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4" t="s">
        <v>237</v>
      </c>
      <c r="P5" s="127">
        <v>0</v>
      </c>
    </row>
    <row r="6" spans="1:16" x14ac:dyDescent="0.25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6"/>
      <c r="P6" s="135">
        <v>0.05</v>
      </c>
    </row>
    <row r="7" spans="1:16" x14ac:dyDescent="0.25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6"/>
      <c r="P7" s="135">
        <v>0.1</v>
      </c>
    </row>
    <row r="8" spans="1:16" ht="15.75" thickBot="1" x14ac:dyDescent="0.3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5"/>
      <c r="P8" s="134">
        <v>0.15</v>
      </c>
    </row>
    <row r="9" spans="1:16" ht="15.75" thickBot="1" x14ac:dyDescent="0.3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25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4" t="s">
        <v>236</v>
      </c>
      <c r="P10" s="127">
        <v>0</v>
      </c>
    </row>
    <row r="11" spans="1:16" ht="15.75" thickBot="1" x14ac:dyDescent="0.3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5"/>
      <c r="P11" s="134">
        <v>0.1</v>
      </c>
    </row>
    <row r="12" spans="1:16" x14ac:dyDescent="0.25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25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25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25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25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25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25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25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25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25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25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25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25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25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25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25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25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25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25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25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25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25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25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25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25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25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25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25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25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25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25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25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25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25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25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25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25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25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25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25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25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25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25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25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25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25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25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25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25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25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25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25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25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25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25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25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25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25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25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25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25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25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25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25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25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25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25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25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25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25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25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25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25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25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25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7"/>
      <c r="K87" s="97"/>
      <c r="L87" s="97"/>
      <c r="M87" s="97"/>
      <c r="N87" s="97"/>
    </row>
    <row r="88" spans="1:14" x14ac:dyDescent="0.25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.75" thickBot="1" x14ac:dyDescent="0.3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25">
      <c r="A93" s="128" t="s">
        <v>208</v>
      </c>
    </row>
    <row r="94" spans="1:14" x14ac:dyDescent="0.25">
      <c r="A94" s="128" t="s">
        <v>209</v>
      </c>
    </row>
    <row r="95" spans="1:14" x14ac:dyDescent="0.25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39" zoomScaleNormal="100" workbookViewId="0">
      <selection activeCell="K144" sqref="K14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1" t="str">
        <f>IF('Données projet'!$B$9="","",'Données projet'!$B$9)</f>
        <v>Chêne sessile</v>
      </c>
      <c r="B6" s="152">
        <f>'Données projet'!D9</f>
        <v>0.63040000000000007</v>
      </c>
      <c r="C6" s="153">
        <f ca="1">IF(OR('Données projet'!B9="",'Données projet'!C9="",'Données projet'!C9=0%),0,Calculateur!S3)</f>
        <v>469.67944008675863</v>
      </c>
      <c r="D6" s="153">
        <f>IF(OR('Données projet'!B9="",'Données projet'!C9="",'Données projet'!C9=0%),0,Calculateur!T3)</f>
        <v>266.11908070867173</v>
      </c>
      <c r="E6" s="153">
        <f ca="1">MIN(C6,D6)</f>
        <v>266.11908070867173</v>
      </c>
      <c r="F6" s="153">
        <f ca="1">E6*B6</f>
        <v>167.76146847874668</v>
      </c>
      <c r="G6" s="153">
        <f ca="1">F6*(100%-'Données projet'!$C$24)*(100%-'Données projet'!$C$25)*(100%-'Données projet'!$C$26)*(100%-'Données projet'!$C$27)</f>
        <v>143.43605554932842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4.5704000000000002</v>
      </c>
      <c r="K6" s="157">
        <f>J6*(100%-'Données projet'!$C$24)*(100%-'Données projet'!$C$25)*(100%-'Données projet'!$C$26)*(100%-'Données projet'!$C$27)</f>
        <v>3.9076919999999999</v>
      </c>
      <c r="L6" s="158">
        <f ca="1">G6+I6+K6</f>
        <v>147.34374754932841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9" t="str">
        <f>IF('Données projet'!$B$10="","",'Données projet'!$B$10)</f>
        <v>Chêne pubescent</v>
      </c>
      <c r="B7" s="160">
        <f>'Données projet'!D10</f>
        <v>0.38880000000000003</v>
      </c>
      <c r="C7" s="153">
        <f ca="1">IF(OR('Données projet'!B10="",'Données projet'!C10="",'Données projet'!C10=0%),0,Calculateur!AN3)</f>
        <v>516.30971934066179</v>
      </c>
      <c r="D7" s="153">
        <f>IF(OR('Données projet'!B10="",'Données projet'!C10="",'Données projet'!C10=0%),0,Calculateur!AO3)</f>
        <v>290.84286505723571</v>
      </c>
      <c r="E7" s="153">
        <f t="shared" ref="E7:E15" ca="1" si="0">MIN(C7,D7)</f>
        <v>290.84286505723571</v>
      </c>
      <c r="F7" s="153">
        <f t="shared" ref="F7:F15" ca="1" si="1">E7*B7</f>
        <v>113.07970593425325</v>
      </c>
      <c r="G7" s="153">
        <f ca="1">F7*(100%-'Données projet'!$C$24)*(100%-'Données projet'!$C$25)*(100%-'Données projet'!$C$26)*(100%-'Données projet'!$C$27)</f>
        <v>96.683148573786525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2.8188000000000004</v>
      </c>
      <c r="K7" s="157">
        <f>J7*(100%-'Données projet'!$C$24)*(100%-'Données projet'!$C$25)*(100%-'Données projet'!$C$26)*(100%-'Données projet'!$C$27)</f>
        <v>2.4100740000000003</v>
      </c>
      <c r="L7" s="158">
        <f t="shared" ref="L7:L15" ca="1" si="2">G7+I7+K7</f>
        <v>99.09322257378652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9" t="str">
        <f>IF('Données projet'!$B$11="","",'Données projet'!$B$11)</f>
        <v>Châtaignier</v>
      </c>
      <c r="B8" s="160">
        <f>'Données projet'!D11</f>
        <v>0.1888</v>
      </c>
      <c r="C8" s="153">
        <f ca="1">IF(OR('Données projet'!B11="",'Données projet'!C11="",'Données projet'!C11=0%),0,Calculateur!BI3)</f>
        <v>314.75847268052081</v>
      </c>
      <c r="D8" s="153">
        <f>IF(OR('Données projet'!B11="",'Données projet'!C11="",'Données projet'!C11=0%),0,Calculateur!BJ3)</f>
        <v>337.77701316755338</v>
      </c>
      <c r="E8" s="153">
        <f t="shared" ca="1" si="0"/>
        <v>314.75847268052081</v>
      </c>
      <c r="F8" s="153">
        <f t="shared" ca="1" si="1"/>
        <v>59.42639964208233</v>
      </c>
      <c r="G8" s="153">
        <f ca="1">F8*(100%-'Données projet'!$C$24)*(100%-'Données projet'!$C$25)*(100%-'Données projet'!$C$26)*(100%-'Données projet'!$C$27)</f>
        <v>50.809571693980388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4.6727999999999996</v>
      </c>
      <c r="K8" s="157">
        <f>J8*(100%-'Données projet'!$C$24)*(100%-'Données projet'!$C$25)*(100%-'Données projet'!$C$26)*(100%-'Données projet'!$C$27)</f>
        <v>3.9952439999999996</v>
      </c>
      <c r="L8" s="158">
        <f t="shared" ca="1" si="2"/>
        <v>54.804815693980387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9" t="str">
        <f>IF('Données projet'!$B$12="","",'Données projet'!$B$12)</f>
        <v>Cèdre de l'Atlas</v>
      </c>
      <c r="B9" s="160">
        <f>'Données projet'!D12</f>
        <v>0.13600000000000001</v>
      </c>
      <c r="C9" s="153">
        <f ca="1">IF(OR('Données projet'!B12="",'Données projet'!C12="",'Données projet'!C12=0%),0,Calculateur!CD3)</f>
        <v>277.77877239988635</v>
      </c>
      <c r="D9" s="153">
        <f>IF(OR('Données projet'!B12="",'Données projet'!C12="",'Données projet'!C12=0%),0,Calculateur!CE3)</f>
        <v>164.65640238394164</v>
      </c>
      <c r="E9" s="153">
        <f t="shared" ca="1" si="0"/>
        <v>164.65640238394164</v>
      </c>
      <c r="F9" s="153">
        <f t="shared" ca="1" si="1"/>
        <v>22.393270724216066</v>
      </c>
      <c r="G9" s="153">
        <f ca="1">F9*(100%-'Données projet'!$C$24)*(100%-'Données projet'!$C$25)*(100%-'Données projet'!$C$26)*(100%-'Données projet'!$C$27)</f>
        <v>19.146246469204737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0</v>
      </c>
      <c r="K9" s="157">
        <f>J9*(100%-'Données projet'!$C$24)*(100%-'Données projet'!$C$25)*(100%-'Données projet'!$C$26)*(100%-'Données projet'!$C$27)</f>
        <v>0</v>
      </c>
      <c r="L9" s="158">
        <f t="shared" ca="1" si="2"/>
        <v>19.146246469204737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9" t="str">
        <f>IF('Données projet'!$B$13="","",'Données projet'!$B$13)</f>
        <v>Robinier faux-acacia</v>
      </c>
      <c r="B10" s="160">
        <f>'Données projet'!D13</f>
        <v>0.12640000000000001</v>
      </c>
      <c r="C10" s="153">
        <f ca="1">IF(OR('Données projet'!B13="",'Données projet'!C13="",'Données projet'!C13=0%),0,Calculateur!CY3)</f>
        <v>334.26876877415839</v>
      </c>
      <c r="D10" s="153">
        <f>IF(OR('Données projet'!B13="",'Données projet'!C13="",'Données projet'!C13=0%),0,Calculateur!CZ3)</f>
        <v>465.65761854152913</v>
      </c>
      <c r="E10" s="153">
        <f t="shared" ca="1" si="0"/>
        <v>334.26876877415839</v>
      </c>
      <c r="F10" s="153">
        <f t="shared" ca="1" si="1"/>
        <v>42.251572373053627</v>
      </c>
      <c r="G10" s="153">
        <f ca="1">F10*(100%-'Données projet'!$C$24)*(100%-'Données projet'!$C$25)*(100%-'Données projet'!$C$26)*(100%-'Données projet'!$C$27)</f>
        <v>36.125094378960853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2.4016000000000002</v>
      </c>
      <c r="K10" s="157">
        <f>J10*(100%-'Données projet'!$C$24)*(100%-'Données projet'!$C$25)*(100%-'Données projet'!$C$26)*(100%-'Données projet'!$C$27)</f>
        <v>2.0533680000000003</v>
      </c>
      <c r="L10" s="158">
        <f t="shared" ca="1" si="2"/>
        <v>38.178462378960852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9" t="str">
        <f>IF('Données projet'!$B$14="","",'Données projet'!$B$14)</f>
        <v>Tulipier de Virginie</v>
      </c>
      <c r="B11" s="160">
        <f>'Données projet'!D14</f>
        <v>6.2400000000000004E-2</v>
      </c>
      <c r="C11" s="153">
        <f ca="1">IF(OR('Données projet'!B14="",'Données projet'!C14="",'Données projet'!C14=0%),0,Calculateur!DT3)</f>
        <v>285.09561428624352</v>
      </c>
      <c r="D11" s="153">
        <f>IF(OR('Données projet'!B14="",'Données projet'!C14="",'Données projet'!C14=0%),0,Calculateur!DU3)</f>
        <v>261.05678516705564</v>
      </c>
      <c r="E11" s="153">
        <f t="shared" ca="1" si="0"/>
        <v>261.05678516705564</v>
      </c>
      <c r="F11" s="153">
        <f t="shared" ca="1" si="1"/>
        <v>16.289943394424274</v>
      </c>
      <c r="G11" s="153">
        <f ca="1">F11*(100%-'Données projet'!$C$24)*(100%-'Données projet'!$C$25)*(100%-'Données projet'!$C$26)*(100%-'Données projet'!$C$27)</f>
        <v>13.927901602232755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0.82680000000000009</v>
      </c>
      <c r="K11" s="157">
        <f>J11*(100%-'Données projet'!$C$24)*(100%-'Données projet'!$C$25)*(100%-'Données projet'!$C$26)*(100%-'Données projet'!$C$27)</f>
        <v>0.70691400000000004</v>
      </c>
      <c r="L11" s="158">
        <f t="shared" ca="1" si="2"/>
        <v>14.634815602232754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9" t="str">
        <f>IF('Données projet'!$B$15="","",'Données projet'!$B$15)</f>
        <v>Bouleau verruqueux</v>
      </c>
      <c r="B12" s="160">
        <f>'Données projet'!D15</f>
        <v>3.3600000000000005E-2</v>
      </c>
      <c r="C12" s="153">
        <f ca="1">IF(OR('Données projet'!B15="",'Données projet'!C15="",'Données projet'!C15=0%),0,Calculateur!EO3)</f>
        <v>272.69564942740931</v>
      </c>
      <c r="D12" s="153">
        <f>IF(OR('Données projet'!B15="",'Données projet'!C15="",'Données projet'!C15=0%),0,Calculateur!EP3)</f>
        <v>316.57989180609252</v>
      </c>
      <c r="E12" s="153">
        <f t="shared" ca="1" si="0"/>
        <v>272.69564942740931</v>
      </c>
      <c r="F12" s="153">
        <f t="shared" ca="1" si="1"/>
        <v>9.1625738207609544</v>
      </c>
      <c r="G12" s="153">
        <f ca="1">F12*(100%-'Données projet'!$C$24)*(100%-'Données projet'!$C$25)*(100%-'Données projet'!$C$26)*(100%-'Données projet'!$C$27)</f>
        <v>7.8340006167506155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0.33600000000000008</v>
      </c>
      <c r="K12" s="157">
        <f>J12*(100%-'Données projet'!$C$24)*(100%-'Données projet'!$C$25)*(100%-'Données projet'!$C$26)*(100%-'Données projet'!$C$27)</f>
        <v>0.28728000000000004</v>
      </c>
      <c r="L12" s="158">
        <f t="shared" ca="1" si="2"/>
        <v>8.1212806167506155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3"/>
      <c r="B16" s="230"/>
      <c r="C16" s="231"/>
      <c r="D16" s="25"/>
      <c r="E16" s="25"/>
      <c r="F16" s="171">
        <f t="shared" ref="F16:L16" ca="1" si="3">SUM(F6:F15)</f>
        <v>430.36493436753716</v>
      </c>
      <c r="G16" s="172">
        <f t="shared" ca="1" si="3"/>
        <v>367.96201888424434</v>
      </c>
      <c r="H16" s="173">
        <f t="shared" si="3"/>
        <v>0</v>
      </c>
      <c r="I16" s="173">
        <f t="shared" si="3"/>
        <v>0</v>
      </c>
      <c r="J16" s="174">
        <f t="shared" si="3"/>
        <v>15.626400000000002</v>
      </c>
      <c r="K16" s="174">
        <f t="shared" si="3"/>
        <v>13.360572000000001</v>
      </c>
      <c r="L16" s="175">
        <f t="shared" ca="1" si="3"/>
        <v>381.32259088424428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6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6" t="str">
        <f>A7</f>
        <v>Chêne pubescent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6" t="str">
        <f>A8</f>
        <v>Châtaignier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6" t="str">
        <f>A9</f>
        <v>Cèdre de l'Atlas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6" t="str">
        <f>A10</f>
        <v>Robinier faux-acacia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6" t="str">
        <f>A11</f>
        <v>Tulipier de Virginie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6" t="str">
        <f>A12</f>
        <v>Bouleau verruqueux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S8" zoomScale="85" zoomScaleNormal="85" workbookViewId="0">
      <selection activeCell="T26" sqref="T26:V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25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25">
      <c r="A4" s="96"/>
      <c r="B4" s="96"/>
      <c r="C4" s="96"/>
      <c r="D4" s="96"/>
      <c r="E4" s="96"/>
      <c r="G4" s="177"/>
      <c r="H4" s="323" t="s">
        <v>315</v>
      </c>
      <c r="I4" s="323"/>
      <c r="K4" s="320" t="s">
        <v>253</v>
      </c>
      <c r="L4" s="321"/>
      <c r="M4" s="265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25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.75" thickBot="1" x14ac:dyDescent="0.3">
      <c r="A6" s="96"/>
      <c r="B6" s="96"/>
      <c r="C6" s="96"/>
      <c r="D6" s="96"/>
      <c r="E6" s="96"/>
      <c r="F6" s="226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4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1" t="s">
        <v>310</v>
      </c>
      <c r="S7" s="332"/>
      <c r="T7" s="332"/>
      <c r="U7" s="332"/>
      <c r="V7" s="333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25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2" t="str">
        <f>B14</f>
        <v>Chêne sessile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530.51799468090121</v>
      </c>
      <c r="U10" s="187">
        <f>'Données projet'!D9</f>
        <v>0.63040000000000007</v>
      </c>
      <c r="V10" s="186">
        <f>U10*T10</f>
        <v>334.43854384684016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2" t="str">
        <f>B45</f>
        <v>Chêne pubescent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530.51799468090121</v>
      </c>
      <c r="U11" s="187">
        <f>'Données projet'!D10</f>
        <v>0.38880000000000003</v>
      </c>
      <c r="V11" s="186">
        <f>U11*T11</f>
        <v>206.2653963319344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2" t="str">
        <f>B76</f>
        <v>Châtaignier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1464.2415070130714</v>
      </c>
      <c r="U12" s="187">
        <f>'Données projet'!D11</f>
        <v>0.1888</v>
      </c>
      <c r="V12" s="186">
        <f t="shared" ref="V12:V19" si="0">U12*T12</f>
        <v>276.44879652406786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8"/>
      <c r="J13" s="25"/>
      <c r="K13" s="222"/>
      <c r="L13" s="181" t="s">
        <v>257</v>
      </c>
      <c r="M13" s="25"/>
      <c r="N13" s="25"/>
      <c r="O13" s="25"/>
      <c r="P13" s="25"/>
      <c r="Q13" s="262"/>
      <c r="R13" s="25"/>
      <c r="S13" s="182" t="str">
        <f>B107</f>
        <v>Cèdre de l'Atlas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756.81557477285332</v>
      </c>
      <c r="U13" s="187">
        <f>'Données projet'!D12</f>
        <v>0.13600000000000001</v>
      </c>
      <c r="V13" s="186">
        <f t="shared" si="0"/>
        <v>102.92691816910806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3" t="str">
        <f>IF('Données projet'!$B$9="","",'Données projet'!$B$9)</f>
        <v>Chêne sessile</v>
      </c>
      <c r="C14" s="5"/>
      <c r="D14" s="5"/>
      <c r="E14" s="5"/>
      <c r="F14" s="258"/>
      <c r="G14" s="218"/>
      <c r="H14" s="182" t="s">
        <v>178</v>
      </c>
      <c r="I14" s="182" t="s">
        <v>290</v>
      </c>
      <c r="J14" s="212"/>
      <c r="K14" s="180"/>
      <c r="L14" s="214"/>
      <c r="M14" s="25"/>
      <c r="N14" s="25"/>
      <c r="O14" s="5"/>
      <c r="P14" s="5"/>
      <c r="Q14" s="263"/>
      <c r="R14" s="5"/>
      <c r="S14" s="182" t="str">
        <f>B138</f>
        <v>Robinier faux-acacia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1753.5408599468242</v>
      </c>
      <c r="U14" s="187">
        <f>'Données projet'!D13</f>
        <v>0.12640000000000001</v>
      </c>
      <c r="V14" s="186">
        <f t="shared" si="0"/>
        <v>221.6475646972786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8"/>
      <c r="G15" s="324" t="s">
        <v>318</v>
      </c>
      <c r="H15" s="200">
        <v>0</v>
      </c>
      <c r="I15" s="201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2" t="str">
        <f>B169</f>
        <v>Tulipier de Virginie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1588.4890374231845</v>
      </c>
      <c r="U15" s="187">
        <f>'Données projet'!D14</f>
        <v>6.2400000000000004E-2</v>
      </c>
      <c r="V15" s="186">
        <f t="shared" si="0"/>
        <v>99.121715935206723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4"/>
      <c r="H16" s="200"/>
      <c r="I16" s="201"/>
      <c r="J16" s="213"/>
      <c r="K16" s="222"/>
      <c r="L16" s="320" t="s">
        <v>254</v>
      </c>
      <c r="M16" s="321"/>
      <c r="N16" s="2"/>
      <c r="O16" s="25"/>
      <c r="P16" s="25"/>
      <c r="Q16" s="262"/>
      <c r="R16" s="25"/>
      <c r="S16" s="182" t="str">
        <f>B200</f>
        <v>Bouleau verruqueux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1274.1299879559954</v>
      </c>
      <c r="U16" s="187">
        <f>'Données projet'!D15</f>
        <v>3.3600000000000005E-2</v>
      </c>
      <c r="V16" s="186">
        <f t="shared" si="0"/>
        <v>42.810767595321451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7">
        <v>0</v>
      </c>
      <c r="B17" s="210" t="s">
        <v>132</v>
      </c>
      <c r="C17" s="209" t="s">
        <v>132</v>
      </c>
      <c r="D17" s="208" t="s">
        <v>132</v>
      </c>
      <c r="E17" s="203"/>
      <c r="F17" s="258"/>
      <c r="G17" s="324"/>
      <c r="J17" s="213"/>
      <c r="K17" s="222"/>
      <c r="L17" s="291" t="s">
        <v>289</v>
      </c>
      <c r="M17" s="293"/>
      <c r="N17" s="184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2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7">
        <v>1</v>
      </c>
      <c r="B18" s="210" t="s">
        <v>132</v>
      </c>
      <c r="C18" s="209" t="s">
        <v>132</v>
      </c>
      <c r="D18" s="208" t="s">
        <v>132</v>
      </c>
      <c r="E18" s="203"/>
      <c r="F18" s="258"/>
      <c r="G18" s="324"/>
      <c r="J18" s="213"/>
      <c r="K18" s="222"/>
      <c r="L18" s="291" t="s">
        <v>255</v>
      </c>
      <c r="M18" s="293"/>
      <c r="N18" s="202"/>
      <c r="O18" s="25"/>
      <c r="P18" s="25"/>
      <c r="Q18" s="262"/>
      <c r="R18" s="25"/>
      <c r="S18" s="182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7">
        <v>2</v>
      </c>
      <c r="B19" s="210" t="s">
        <v>132</v>
      </c>
      <c r="C19" s="209" t="s">
        <v>132</v>
      </c>
      <c r="D19" s="208" t="s">
        <v>132</v>
      </c>
      <c r="E19" s="203"/>
      <c r="F19" s="258"/>
      <c r="G19" s="324"/>
      <c r="H19" s="229" t="s">
        <v>178</v>
      </c>
      <c r="I19" s="229" t="s">
        <v>287</v>
      </c>
      <c r="J19" s="257"/>
      <c r="K19" s="180"/>
      <c r="L19" s="320" t="s">
        <v>288</v>
      </c>
      <c r="M19" s="321"/>
      <c r="N19" s="188">
        <f>N17*N18</f>
        <v>0</v>
      </c>
      <c r="O19" s="25"/>
      <c r="P19" s="5"/>
      <c r="Q19" s="263"/>
      <c r="R19" s="5"/>
      <c r="S19" s="182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7">
        <v>3</v>
      </c>
      <c r="B20" s="210" t="s">
        <v>132</v>
      </c>
      <c r="C20" s="209" t="s">
        <v>132</v>
      </c>
      <c r="D20" s="208" t="s">
        <v>132</v>
      </c>
      <c r="E20" s="203"/>
      <c r="F20" s="258"/>
      <c r="G20" s="324"/>
      <c r="H20" s="200">
        <v>0</v>
      </c>
      <c r="I20" s="201">
        <v>6247.9</v>
      </c>
      <c r="J20" s="5"/>
      <c r="K20" s="180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7">
        <v>4</v>
      </c>
      <c r="B21" s="210" t="s">
        <v>132</v>
      </c>
      <c r="C21" s="209" t="s">
        <v>132</v>
      </c>
      <c r="D21" s="208" t="s">
        <v>132</v>
      </c>
      <c r="E21" s="203"/>
      <c r="F21" s="258"/>
      <c r="H21" s="200"/>
      <c r="I21" s="201"/>
      <c r="K21" s="180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7">
        <v>5</v>
      </c>
      <c r="B22" s="210" t="s">
        <v>132</v>
      </c>
      <c r="C22" s="209" t="s">
        <v>132</v>
      </c>
      <c r="D22" s="208" t="s">
        <v>132</v>
      </c>
      <c r="E22" s="203"/>
      <c r="F22" s="258"/>
      <c r="H22" s="200"/>
      <c r="I22" s="201"/>
      <c r="K22" s="180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9">
        <f>'Données projet'!A36</f>
        <v>20</v>
      </c>
      <c r="B23" s="190">
        <f>'Données projet'!D36</f>
        <v>0</v>
      </c>
      <c r="C23" s="203"/>
      <c r="D23" s="191">
        <f>B23*C23</f>
        <v>0</v>
      </c>
      <c r="E23" s="203"/>
      <c r="F23" s="258"/>
      <c r="H23" s="200"/>
      <c r="I23" s="201"/>
      <c r="K23" s="222"/>
      <c r="L23" s="322" t="s">
        <v>260</v>
      </c>
      <c r="M23" s="322"/>
      <c r="N23" s="322"/>
      <c r="O23" s="25"/>
      <c r="P23" s="25"/>
      <c r="Q23" s="262"/>
      <c r="R23" s="25"/>
      <c r="S23" s="182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-8712.9802969002412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9">
        <f>'Données projet'!A37</f>
        <v>25</v>
      </c>
      <c r="B24" s="190">
        <f>'Données projet'!D37</f>
        <v>0</v>
      </c>
      <c r="C24" s="203"/>
      <c r="D24" s="191">
        <f t="shared" ref="D24:D42" si="1">B24*C24</f>
        <v>0</v>
      </c>
      <c r="E24" s="203"/>
      <c r="F24" s="261"/>
      <c r="H24" s="200"/>
      <c r="I24" s="201"/>
      <c r="K24" s="222"/>
      <c r="O24" s="25"/>
      <c r="P24" s="25"/>
      <c r="Q24" s="262"/>
      <c r="R24" s="25"/>
      <c r="S24" s="182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4095.7697956939078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9">
        <f>'Données projet'!A38</f>
        <v>30</v>
      </c>
      <c r="B25" s="190">
        <f>'Données projet'!D38</f>
        <v>29</v>
      </c>
      <c r="C25" s="201">
        <v>10</v>
      </c>
      <c r="D25" s="191">
        <f t="shared" si="1"/>
        <v>290</v>
      </c>
      <c r="E25" s="203"/>
      <c r="F25" s="261"/>
      <c r="G25" s="1"/>
      <c r="H25" s="200"/>
      <c r="I25" s="201"/>
      <c r="K25" s="222"/>
      <c r="L25" s="268" t="s">
        <v>285</v>
      </c>
      <c r="M25" s="268"/>
      <c r="N25" s="268"/>
      <c r="O25" s="268"/>
      <c r="P25" s="202">
        <v>127</v>
      </c>
      <c r="Q25" s="262"/>
      <c r="R25" s="25"/>
      <c r="S25" s="195" t="s">
        <v>266</v>
      </c>
      <c r="T25" s="338">
        <f ca="1">T23-T24</f>
        <v>-12808.750092594149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9">
        <f>'Données projet'!A39</f>
        <v>35</v>
      </c>
      <c r="B26" s="190">
        <f>'Données projet'!D39</f>
        <v>0</v>
      </c>
      <c r="C26" s="201"/>
      <c r="D26" s="191">
        <f t="shared" si="1"/>
        <v>0</v>
      </c>
      <c r="E26" s="203"/>
      <c r="F26" s="261"/>
      <c r="G26" s="256"/>
      <c r="H26" s="200"/>
      <c r="I26" s="201"/>
      <c r="K26" s="222"/>
      <c r="L26" s="325" t="s">
        <v>258</v>
      </c>
      <c r="M26" s="326"/>
      <c r="N26" s="326"/>
      <c r="O26" s="326"/>
      <c r="P26" s="327"/>
      <c r="Q26" s="262"/>
      <c r="R26" s="25"/>
      <c r="S26" s="195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9">
        <f>'Données projet'!A40</f>
        <v>40</v>
      </c>
      <c r="B27" s="190">
        <f>'Données projet'!D40</f>
        <v>42</v>
      </c>
      <c r="C27" s="201">
        <v>10</v>
      </c>
      <c r="D27" s="191">
        <f t="shared" si="1"/>
        <v>420</v>
      </c>
      <c r="E27" s="203"/>
      <c r="F27" s="261"/>
      <c r="G27" s="256"/>
      <c r="H27" s="200"/>
      <c r="I27" s="201"/>
      <c r="K27" s="222"/>
      <c r="L27" s="328"/>
      <c r="M27" s="329"/>
      <c r="N27" s="329"/>
      <c r="O27" s="329"/>
      <c r="P27" s="330"/>
      <c r="Q27" s="262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9">
        <f>'Données projet'!A41</f>
        <v>45</v>
      </c>
      <c r="B28" s="190">
        <f>'Données projet'!D41</f>
        <v>0</v>
      </c>
      <c r="C28" s="201"/>
      <c r="D28" s="191">
        <f t="shared" si="1"/>
        <v>0</v>
      </c>
      <c r="E28" s="203"/>
      <c r="F28" s="261"/>
      <c r="G28" s="219"/>
      <c r="H28" s="200"/>
      <c r="I28" s="201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9">
        <f>'Données projet'!A42</f>
        <v>50</v>
      </c>
      <c r="B29" s="190">
        <f>'Données projet'!D42</f>
        <v>42</v>
      </c>
      <c r="C29" s="201">
        <v>15</v>
      </c>
      <c r="D29" s="191">
        <f t="shared" si="1"/>
        <v>630</v>
      </c>
      <c r="E29" s="203"/>
      <c r="F29" s="261"/>
      <c r="G29" s="215"/>
      <c r="H29" s="200"/>
      <c r="I29" s="201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9">
        <f>'Données projet'!A43</f>
        <v>55</v>
      </c>
      <c r="B30" s="190">
        <f>'Données projet'!D43</f>
        <v>0</v>
      </c>
      <c r="C30" s="201"/>
      <c r="D30" s="191">
        <f t="shared" si="1"/>
        <v>0</v>
      </c>
      <c r="E30" s="203"/>
      <c r="F30" s="261"/>
      <c r="G30" s="215"/>
      <c r="H30" s="200"/>
      <c r="I30" s="201"/>
      <c r="K30" s="192"/>
      <c r="L30" s="182" t="s">
        <v>259</v>
      </c>
      <c r="M30" s="193">
        <f ca="1">SUM(OFFSET($P$33,0,0,MIN('Données projet'!$E$9:$E$18)+1,1))</f>
        <v>2559.8561223086922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9">
        <f>'Données projet'!A44</f>
        <v>60</v>
      </c>
      <c r="B31" s="190">
        <f>'Données projet'!D44</f>
        <v>42</v>
      </c>
      <c r="C31" s="201">
        <v>20</v>
      </c>
      <c r="D31" s="191">
        <f t="shared" si="1"/>
        <v>840</v>
      </c>
      <c r="E31" s="203"/>
      <c r="F31" s="261"/>
      <c r="G31" s="215"/>
      <c r="H31" s="200"/>
      <c r="I31" s="201"/>
      <c r="K31" s="180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9">
        <f>'Données projet'!A45</f>
        <v>65</v>
      </c>
      <c r="B32" s="190">
        <f>'Données projet'!D45</f>
        <v>0</v>
      </c>
      <c r="C32" s="201"/>
      <c r="D32" s="191">
        <f t="shared" si="1"/>
        <v>0</v>
      </c>
      <c r="E32" s="203"/>
      <c r="F32" s="261"/>
      <c r="G32" s="215"/>
      <c r="H32" s="200"/>
      <c r="I32" s="201"/>
      <c r="K32" s="180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9">
        <f>'Données projet'!A46</f>
        <v>70</v>
      </c>
      <c r="B33" s="190">
        <f>'Données projet'!D46</f>
        <v>42</v>
      </c>
      <c r="C33" s="201">
        <v>25</v>
      </c>
      <c r="D33" s="191">
        <f t="shared" si="1"/>
        <v>1050</v>
      </c>
      <c r="E33" s="203"/>
      <c r="F33" s="261"/>
      <c r="G33" s="215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2">$P$25/(1+$M$4)^O33</f>
        <v>127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9">
        <f>'Données projet'!A47</f>
        <v>75</v>
      </c>
      <c r="B34" s="190">
        <f>'Données projet'!D47</f>
        <v>0</v>
      </c>
      <c r="C34" s="201"/>
      <c r="D34" s="191">
        <f t="shared" si="1"/>
        <v>0</v>
      </c>
      <c r="E34" s="203"/>
      <c r="F34" s="261"/>
      <c r="G34" s="215"/>
      <c r="H34" s="200"/>
      <c r="I34" s="201"/>
      <c r="K34" s="180"/>
      <c r="L34" s="281"/>
      <c r="M34" s="281"/>
      <c r="N34" s="282"/>
      <c r="O34" s="204">
        <f>IF(O33+1&lt;=MIN('Données projet'!$E$9:$E$18),O33+1,"STOP")</f>
        <v>1</v>
      </c>
      <c r="P34" s="194">
        <f t="shared" si="2"/>
        <v>121.53110047846891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9">
        <f>'Données projet'!A48</f>
        <v>80</v>
      </c>
      <c r="B35" s="190">
        <f>'Données projet'!D48</f>
        <v>42</v>
      </c>
      <c r="C35" s="201">
        <v>30</v>
      </c>
      <c r="D35" s="191">
        <f t="shared" si="1"/>
        <v>1260</v>
      </c>
      <c r="E35" s="203"/>
      <c r="F35" s="261"/>
      <c r="G35" s="215"/>
      <c r="H35" s="200"/>
      <c r="I35" s="201"/>
      <c r="K35" s="180"/>
      <c r="L35" s="281"/>
      <c r="M35" s="281"/>
      <c r="N35" s="282"/>
      <c r="O35" s="204">
        <f>IF(O34+1&lt;=MIN('Données projet'!$E$9:$E$18),O34+1,"STOP")</f>
        <v>2</v>
      </c>
      <c r="P35" s="194">
        <f t="shared" si="2"/>
        <v>116.2977038071473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9">
        <f>'Données projet'!A49</f>
        <v>90</v>
      </c>
      <c r="B36" s="190">
        <f>'Données projet'!D49</f>
        <v>42</v>
      </c>
      <c r="C36" s="201">
        <v>35</v>
      </c>
      <c r="D36" s="191">
        <f t="shared" si="1"/>
        <v>1470</v>
      </c>
      <c r="E36" s="203"/>
      <c r="F36" s="261"/>
      <c r="G36" s="215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2"/>
        <v>111.28966871497349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9">
        <f>'Données projet'!A50</f>
        <v>100</v>
      </c>
      <c r="B37" s="190">
        <f>'Données projet'!D50</f>
        <v>42</v>
      </c>
      <c r="C37" s="203">
        <v>40</v>
      </c>
      <c r="D37" s="191">
        <f t="shared" si="1"/>
        <v>1680</v>
      </c>
      <c r="E37" s="203"/>
      <c r="F37" s="261"/>
      <c r="G37" s="215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2"/>
        <v>106.49729063633829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9">
        <f>'Données projet'!A51</f>
        <v>110</v>
      </c>
      <c r="B38" s="190">
        <f>'Données projet'!D51</f>
        <v>39</v>
      </c>
      <c r="C38" s="201">
        <v>50</v>
      </c>
      <c r="D38" s="191">
        <f t="shared" si="1"/>
        <v>1950</v>
      </c>
      <c r="E38" s="203"/>
      <c r="F38" s="261"/>
      <c r="G38" s="215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2"/>
        <v>101.91128290558689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9">
        <f>'Données projet'!A52</f>
        <v>120</v>
      </c>
      <c r="B39" s="190">
        <f>'Données projet'!D52</f>
        <v>35</v>
      </c>
      <c r="C39" s="201">
        <v>60</v>
      </c>
      <c r="D39" s="191">
        <f t="shared" si="1"/>
        <v>2100</v>
      </c>
      <c r="E39" s="203"/>
      <c r="F39" s="261"/>
      <c r="G39" s="215"/>
      <c r="H39" s="200"/>
      <c r="I39" s="201"/>
      <c r="K39" s="222"/>
      <c r="L39" s="25"/>
      <c r="M39" s="25"/>
      <c r="N39" s="25"/>
      <c r="O39" s="204">
        <f>IF(O38+1&lt;=MIN('Données projet'!$E$9:$E$18),O38+1,"STOP")</f>
        <v>6</v>
      </c>
      <c r="P39" s="194">
        <f t="shared" si="2"/>
        <v>97.522758761327182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9">
        <f>'Données projet'!A53</f>
        <v>130</v>
      </c>
      <c r="B40" s="190">
        <f>'Données projet'!D53</f>
        <v>31</v>
      </c>
      <c r="C40" s="201">
        <v>70</v>
      </c>
      <c r="D40" s="191">
        <f t="shared" si="1"/>
        <v>2170</v>
      </c>
      <c r="E40" s="203"/>
      <c r="F40" s="261"/>
      <c r="G40" s="215"/>
      <c r="H40" s="200"/>
      <c r="I40" s="201"/>
      <c r="K40" s="222"/>
      <c r="L40" s="25"/>
      <c r="M40" s="25"/>
      <c r="N40" s="25"/>
      <c r="O40" s="204">
        <f>IF(O39+1&lt;=MIN('Données projet'!$E$9:$E$18),O39+1,"STOP")</f>
        <v>7</v>
      </c>
      <c r="P40" s="194">
        <f t="shared" si="2"/>
        <v>93.323214125671939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9">
        <f>'Données projet'!A54</f>
        <v>140</v>
      </c>
      <c r="B41" s="190">
        <f>'Données projet'!D54</f>
        <v>27</v>
      </c>
      <c r="C41" s="201">
        <v>80</v>
      </c>
      <c r="D41" s="191">
        <f t="shared" si="1"/>
        <v>2160</v>
      </c>
      <c r="E41" s="203"/>
      <c r="F41" s="261"/>
      <c r="G41" s="215"/>
      <c r="H41" s="200"/>
      <c r="I41" s="201"/>
      <c r="K41" s="222"/>
      <c r="L41" s="25"/>
      <c r="M41" s="25"/>
      <c r="N41" s="25"/>
      <c r="O41" s="204">
        <f>IF(O40+1&lt;=MIN('Données projet'!$E$9:$E$18),O40+1,"STOP")</f>
        <v>8</v>
      </c>
      <c r="P41" s="194">
        <f t="shared" si="2"/>
        <v>89.304511125044939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9">
        <f>'Données projet'!A55</f>
        <v>150</v>
      </c>
      <c r="B42" s="190">
        <f>'Données projet'!D55</f>
        <v>293</v>
      </c>
      <c r="C42" s="201">
        <v>200</v>
      </c>
      <c r="D42" s="191">
        <f t="shared" si="1"/>
        <v>58600</v>
      </c>
      <c r="E42" s="203"/>
      <c r="F42" s="261"/>
      <c r="G42" s="215"/>
      <c r="H42" s="200"/>
      <c r="I42" s="201"/>
      <c r="K42" s="222"/>
      <c r="L42" s="25"/>
      <c r="M42" s="25"/>
      <c r="N42" s="25"/>
      <c r="O42" s="204">
        <f>IF(O41+1&lt;=MIN('Données projet'!$E$9:$E$18),O41+1,"STOP")</f>
        <v>9</v>
      </c>
      <c r="P42" s="194">
        <f t="shared" si="2"/>
        <v>85.458862320617172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6"/>
      <c r="B43" s="196"/>
      <c r="C43" s="196"/>
      <c r="D43" s="253"/>
      <c r="E43" s="253"/>
      <c r="F43" s="266"/>
      <c r="G43" s="215"/>
      <c r="H43" s="200"/>
      <c r="I43" s="201"/>
      <c r="K43" s="222"/>
      <c r="L43" s="25"/>
      <c r="M43" s="25"/>
      <c r="N43" s="25"/>
      <c r="O43" s="204">
        <f>IF(O42+1&lt;=MIN('Données projet'!$E$9:$E$18),O42+1,"STOP")</f>
        <v>10</v>
      </c>
      <c r="P43" s="194">
        <f t="shared" si="2"/>
        <v>81.778815617815496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8"/>
      <c r="G44" s="215"/>
      <c r="H44" s="200"/>
      <c r="I44" s="201"/>
      <c r="K44" s="222"/>
      <c r="L44" s="25"/>
      <c r="M44" s="25"/>
      <c r="N44" s="25"/>
      <c r="O44" s="204">
        <f>IF(O43+1&lt;=MIN('Données projet'!$E$9:$E$18),O43+1,"STOP")</f>
        <v>11</v>
      </c>
      <c r="P44" s="194">
        <f t="shared" si="2"/>
        <v>78.257239825660761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3" t="str">
        <f>IF('Données projet'!$B$10="","",'Données projet'!$B$10)</f>
        <v>Chêne pubescent</v>
      </c>
      <c r="C45" s="5"/>
      <c r="D45" s="5"/>
      <c r="E45" s="5"/>
      <c r="F45" s="258"/>
      <c r="G45" s="215"/>
      <c r="H45" s="200"/>
      <c r="I45" s="201"/>
      <c r="J45" s="25"/>
      <c r="K45" s="222"/>
      <c r="L45" s="25"/>
      <c r="M45" s="25"/>
      <c r="N45" s="25"/>
      <c r="O45" s="204">
        <f>IF(O44+1&lt;=MIN('Données projet'!$E$9:$E$18),O44+1,"STOP")</f>
        <v>12</v>
      </c>
      <c r="P45" s="194">
        <f t="shared" si="2"/>
        <v>74.887310837952896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8"/>
      <c r="G46" s="215"/>
      <c r="H46" s="200"/>
      <c r="I46" s="201"/>
      <c r="J46" s="25"/>
      <c r="K46" s="222"/>
      <c r="L46" s="217"/>
      <c r="M46" s="217"/>
      <c r="N46" s="217"/>
      <c r="O46" s="204">
        <f>IF(O45+1&lt;=MIN('Données projet'!$E$9:$E$18),O45+1,"STOP")</f>
        <v>13</v>
      </c>
      <c r="P46" s="197">
        <f t="shared" si="2"/>
        <v>71.662498409524304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0"/>
      <c r="I47" s="201"/>
      <c r="J47" s="25"/>
      <c r="K47" s="222"/>
      <c r="L47" s="5"/>
      <c r="M47" s="5"/>
      <c r="N47" s="5"/>
      <c r="O47" s="204">
        <f>IF(O46+1&lt;=MIN('Données projet'!$E$9:$E$18),O46+1,"STOP")</f>
        <v>14</v>
      </c>
      <c r="P47" s="194">
        <f t="shared" si="2"/>
        <v>68.576553501937141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7">
        <v>0</v>
      </c>
      <c r="B48" s="210" t="s">
        <v>132</v>
      </c>
      <c r="C48" s="209" t="s">
        <v>132</v>
      </c>
      <c r="D48" s="208" t="s">
        <v>132</v>
      </c>
      <c r="E48" s="203"/>
      <c r="F48" s="259"/>
      <c r="G48" s="215"/>
      <c r="H48" s="200"/>
      <c r="I48" s="201"/>
      <c r="J48" s="25"/>
      <c r="K48" s="222"/>
      <c r="L48" s="5"/>
      <c r="M48" s="5"/>
      <c r="N48" s="5"/>
      <c r="O48" s="204">
        <f>IF(O47+1&lt;=MIN('Données projet'!$E$9:$E$18),O47+1,"STOP")</f>
        <v>15</v>
      </c>
      <c r="P48" s="194">
        <f t="shared" si="2"/>
        <v>65.623496174102527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25">
      <c r="A49" s="207">
        <v>1</v>
      </c>
      <c r="B49" s="210" t="s">
        <v>132</v>
      </c>
      <c r="C49" s="209" t="s">
        <v>132</v>
      </c>
      <c r="D49" s="208" t="s">
        <v>132</v>
      </c>
      <c r="E49" s="203"/>
      <c r="F49" s="259"/>
      <c r="G49" s="216"/>
      <c r="H49" s="200"/>
      <c r="I49" s="201"/>
      <c r="J49" s="217"/>
      <c r="K49" s="224"/>
      <c r="L49" s="5"/>
      <c r="M49" s="5"/>
      <c r="N49" s="5"/>
      <c r="O49" s="204">
        <f>IF(O48+1&lt;=MIN('Données projet'!$E$9:$E$18),O48+1,"STOP")</f>
        <v>16</v>
      </c>
      <c r="P49" s="194">
        <f t="shared" si="2"/>
        <v>62.797603994356514</v>
      </c>
      <c r="Q49" s="264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25">
      <c r="A50" s="207">
        <v>2</v>
      </c>
      <c r="B50" s="210" t="s">
        <v>132</v>
      </c>
      <c r="C50" s="209" t="s">
        <v>132</v>
      </c>
      <c r="D50" s="208" t="s">
        <v>132</v>
      </c>
      <c r="E50" s="203"/>
      <c r="F50" s="259"/>
      <c r="G50" s="218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2"/>
        <v>60.093400951537326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7">
        <v>3</v>
      </c>
      <c r="B51" s="210" t="s">
        <v>132</v>
      </c>
      <c r="C51" s="209" t="s">
        <v>132</v>
      </c>
      <c r="D51" s="208" t="s">
        <v>132</v>
      </c>
      <c r="E51" s="203"/>
      <c r="F51" s="259"/>
      <c r="G51" s="218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2"/>
        <v>57.505646843576407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7">
        <v>4</v>
      </c>
      <c r="B52" s="210" t="s">
        <v>132</v>
      </c>
      <c r="C52" s="209" t="s">
        <v>132</v>
      </c>
      <c r="D52" s="208" t="s">
        <v>132</v>
      </c>
      <c r="E52" s="203"/>
      <c r="F52" s="259"/>
      <c r="G52" s="218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2"/>
        <v>55.029327123039621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7">
        <v>5</v>
      </c>
      <c r="B53" s="210" t="s">
        <v>132</v>
      </c>
      <c r="C53" s="209" t="s">
        <v>132</v>
      </c>
      <c r="D53" s="208" t="s">
        <v>132</v>
      </c>
      <c r="E53" s="203"/>
      <c r="F53" s="259"/>
      <c r="G53" s="219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2"/>
        <v>52.659643179942236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9">
        <f>'Données projet'!A62</f>
        <v>20</v>
      </c>
      <c r="B54" s="190">
        <f>'Données projet'!D62</f>
        <v>0</v>
      </c>
      <c r="C54" s="201"/>
      <c r="D54" s="188">
        <f>B54*C54</f>
        <v>0</v>
      </c>
      <c r="E54" s="203"/>
      <c r="F54" s="260"/>
      <c r="G54" s="219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2"/>
        <v>50.392003043006923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9">
        <f>'Données projet'!A63</f>
        <v>25</v>
      </c>
      <c r="B55" s="190">
        <f>'Données projet'!D63</f>
        <v>0</v>
      </c>
      <c r="C55" s="201"/>
      <c r="D55" s="188">
        <f t="shared" ref="D55:D73" si="3">B55*C55</f>
        <v>0</v>
      </c>
      <c r="E55" s="203"/>
      <c r="F55" s="260"/>
      <c r="G55" s="219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2"/>
        <v>48.222012481346354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9">
        <f>'Données projet'!A64</f>
        <v>30</v>
      </c>
      <c r="B56" s="190">
        <f>'Données projet'!D64</f>
        <v>29</v>
      </c>
      <c r="C56" s="201">
        <v>10</v>
      </c>
      <c r="D56" s="188">
        <f t="shared" si="3"/>
        <v>290</v>
      </c>
      <c r="E56" s="203"/>
      <c r="F56" s="260"/>
      <c r="G56" s="219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2"/>
        <v>46.145466489326651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9">
        <f>'Données projet'!A65</f>
        <v>35</v>
      </c>
      <c r="B57" s="190">
        <f>'Données projet'!D65</f>
        <v>0</v>
      </c>
      <c r="C57" s="201"/>
      <c r="D57" s="188">
        <f t="shared" si="3"/>
        <v>0</v>
      </c>
      <c r="E57" s="203"/>
      <c r="F57" s="260"/>
      <c r="G57" s="219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2"/>
        <v>44.158341138111638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9">
        <f>'Données projet'!A66</f>
        <v>40</v>
      </c>
      <c r="B58" s="190">
        <f>'Données projet'!D66</f>
        <v>42</v>
      </c>
      <c r="C58" s="201">
        <v>10</v>
      </c>
      <c r="D58" s="188">
        <f t="shared" si="3"/>
        <v>420</v>
      </c>
      <c r="E58" s="203"/>
      <c r="F58" s="260"/>
      <c r="G58" s="219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2"/>
        <v>42.25678577809726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9">
        <f>'Données projet'!A67</f>
        <v>45</v>
      </c>
      <c r="B59" s="190">
        <f>'Données projet'!D67</f>
        <v>0</v>
      </c>
      <c r="C59" s="201"/>
      <c r="D59" s="188">
        <f t="shared" si="3"/>
        <v>0</v>
      </c>
      <c r="E59" s="203"/>
      <c r="F59" s="260"/>
      <c r="G59" s="219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2"/>
        <v>40.437115577126576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9">
        <f>'Données projet'!A68</f>
        <v>50</v>
      </c>
      <c r="B60" s="190">
        <f>'Données projet'!D68</f>
        <v>42</v>
      </c>
      <c r="C60" s="201">
        <v>15</v>
      </c>
      <c r="D60" s="188">
        <f t="shared" si="3"/>
        <v>630</v>
      </c>
      <c r="E60" s="203"/>
      <c r="F60" s="260"/>
      <c r="G60" s="220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2"/>
        <v>38.695804380025429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9">
        <f>'Données projet'!A69</f>
        <v>55</v>
      </c>
      <c r="B61" s="190">
        <f>'Données projet'!D69</f>
        <v>0</v>
      </c>
      <c r="C61" s="201"/>
      <c r="D61" s="188">
        <f t="shared" si="3"/>
        <v>0</v>
      </c>
      <c r="E61" s="203"/>
      <c r="F61" s="260"/>
      <c r="G61" s="220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2"/>
        <v>37.029477875622433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9">
        <f>'Données projet'!A70</f>
        <v>60</v>
      </c>
      <c r="B62" s="190">
        <f>'Données projet'!D70</f>
        <v>42</v>
      </c>
      <c r="C62" s="201">
        <v>20</v>
      </c>
      <c r="D62" s="188">
        <f t="shared" si="3"/>
        <v>840</v>
      </c>
      <c r="E62" s="203"/>
      <c r="F62" s="260"/>
      <c r="G62" s="220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2"/>
        <v>35.434907058011888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9">
        <f>'Données projet'!A71</f>
        <v>65</v>
      </c>
      <c r="B63" s="190">
        <f>'Données projet'!D71</f>
        <v>0</v>
      </c>
      <c r="C63" s="201"/>
      <c r="D63" s="188">
        <f t="shared" si="3"/>
        <v>0</v>
      </c>
      <c r="E63" s="203"/>
      <c r="F63" s="260"/>
      <c r="G63" s="220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2"/>
        <v>33.909001969389379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9">
        <f>'Données projet'!A72</f>
        <v>70</v>
      </c>
      <c r="B64" s="190">
        <f>'Données projet'!D72</f>
        <v>42</v>
      </c>
      <c r="C64" s="201">
        <v>25</v>
      </c>
      <c r="D64" s="188">
        <f t="shared" si="3"/>
        <v>1050</v>
      </c>
      <c r="E64" s="203"/>
      <c r="F64" s="260"/>
      <c r="G64" s="220"/>
      <c r="H64" s="200"/>
      <c r="I64" s="201"/>
      <c r="J64" s="221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2"/>
        <v>32.448805712334327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9">
        <f>'Données projet'!A73</f>
        <v>75</v>
      </c>
      <c r="B65" s="190">
        <f>'Données projet'!D73</f>
        <v>0</v>
      </c>
      <c r="C65" s="201"/>
      <c r="D65" s="188">
        <f t="shared" si="3"/>
        <v>0</v>
      </c>
      <c r="E65" s="203"/>
      <c r="F65" s="260"/>
      <c r="G65" s="220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4">$P$25/(1+$M$4)^O65</f>
        <v>31.051488719937176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9">
        <f>'Données projet'!A74</f>
        <v>80</v>
      </c>
      <c r="B66" s="190">
        <f>'Données projet'!D74</f>
        <v>42</v>
      </c>
      <c r="C66" s="201">
        <v>30</v>
      </c>
      <c r="D66" s="188">
        <f t="shared" si="3"/>
        <v>1260</v>
      </c>
      <c r="E66" s="203"/>
      <c r="F66" s="260"/>
      <c r="G66" s="220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4"/>
        <v>29.714343272667158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9">
        <f>'Données projet'!A75</f>
        <v>90</v>
      </c>
      <c r="B67" s="190">
        <f>'Données projet'!D75</f>
        <v>42</v>
      </c>
      <c r="C67" s="201">
        <v>35</v>
      </c>
      <c r="D67" s="188">
        <f t="shared" si="3"/>
        <v>1470</v>
      </c>
      <c r="E67" s="203"/>
      <c r="F67" s="260"/>
      <c r="G67" s="220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4"/>
        <v>28.434778251356132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9">
        <f>'Données projet'!A76</f>
        <v>100</v>
      </c>
      <c r="B68" s="190">
        <f>'Données projet'!D76</f>
        <v>42</v>
      </c>
      <c r="C68" s="203">
        <v>40</v>
      </c>
      <c r="D68" s="188">
        <f t="shared" si="3"/>
        <v>1680</v>
      </c>
      <c r="E68" s="203"/>
      <c r="F68" s="260"/>
      <c r="G68" s="220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4"/>
        <v>27.210314116130274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9">
        <f>'Données projet'!A77</f>
        <v>110</v>
      </c>
      <c r="B69" s="190">
        <f>'Données projet'!D77</f>
        <v>39</v>
      </c>
      <c r="C69" s="201">
        <v>50</v>
      </c>
      <c r="D69" s="188">
        <f t="shared" si="3"/>
        <v>1950</v>
      </c>
      <c r="E69" s="203"/>
      <c r="F69" s="260"/>
      <c r="G69" s="220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4"/>
        <v>26.038578101560073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9">
        <f>'Données projet'!A78</f>
        <v>120</v>
      </c>
      <c r="B70" s="190">
        <f>'Données projet'!D78</f>
        <v>35</v>
      </c>
      <c r="C70" s="201">
        <v>60</v>
      </c>
      <c r="D70" s="188">
        <f t="shared" si="3"/>
        <v>2100</v>
      </c>
      <c r="E70" s="203"/>
      <c r="F70" s="260"/>
      <c r="G70" s="220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4"/>
        <v>24.917299618717777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9">
        <f>'Données projet'!A79</f>
        <v>130</v>
      </c>
      <c r="B71" s="190">
        <f>'Données projet'!D79</f>
        <v>31</v>
      </c>
      <c r="C71" s="201">
        <v>70</v>
      </c>
      <c r="D71" s="188">
        <f t="shared" si="3"/>
        <v>2170</v>
      </c>
      <c r="E71" s="203"/>
      <c r="F71" s="260"/>
      <c r="G71" s="220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4"/>
        <v>23.844305855232324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9">
        <f>'Données projet'!A80</f>
        <v>140</v>
      </c>
      <c r="B72" s="190">
        <f>'Données projet'!D80</f>
        <v>27</v>
      </c>
      <c r="C72" s="201">
        <v>80</v>
      </c>
      <c r="D72" s="188">
        <f t="shared" si="3"/>
        <v>2160</v>
      </c>
      <c r="E72" s="203"/>
      <c r="F72" s="260"/>
      <c r="G72" s="220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4"/>
        <v>22.817517564815621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9">
        <f>'Données projet'!A81</f>
        <v>150</v>
      </c>
      <c r="B73" s="190">
        <f>'Données projet'!D81</f>
        <v>293</v>
      </c>
      <c r="C73" s="201">
        <v>200</v>
      </c>
      <c r="D73" s="188">
        <f t="shared" si="3"/>
        <v>58600</v>
      </c>
      <c r="E73" s="203"/>
      <c r="F73" s="260"/>
      <c r="G73" s="220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4"/>
        <v>21.834945038101079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8"/>
      <c r="G74" s="220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4"/>
        <v>20.894684246986682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8"/>
      <c r="G75" s="220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4"/>
        <v>19.994913155011183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3" t="str">
        <f>IF('Données projet'!B11="","",'Données projet'!B11)</f>
        <v>Châtaignier</v>
      </c>
      <c r="C76" s="5"/>
      <c r="D76" s="5"/>
      <c r="E76" s="5"/>
      <c r="F76" s="258"/>
      <c r="G76" s="220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4"/>
        <v>19.133888186613571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8"/>
      <c r="G77" s="220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4"/>
        <v>18.309940848434042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4"/>
        <v>17.521474496109128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7">
        <v>0</v>
      </c>
      <c r="B79" s="210" t="s">
        <v>132</v>
      </c>
      <c r="C79" s="209" t="s">
        <v>132</v>
      </c>
      <c r="D79" s="208" t="s">
        <v>132</v>
      </c>
      <c r="E79" s="203"/>
      <c r="F79" s="259"/>
      <c r="G79" s="220"/>
      <c r="H79" s="200"/>
      <c r="I79" s="201"/>
      <c r="J79" s="5"/>
      <c r="K79" s="180"/>
      <c r="L79" s="5"/>
      <c r="M79" s="5"/>
      <c r="N79" s="5"/>
      <c r="O79" s="204" t="str">
        <f>IF(O78+1&lt;=MIN('Données projet'!$E$9:$E$18),O78+1,"STOP")</f>
        <v>STOP</v>
      </c>
      <c r="P79" s="194" t="e">
        <f t="shared" si="4"/>
        <v>#VALUE!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7">
        <v>1</v>
      </c>
      <c r="B80" s="210" t="s">
        <v>132</v>
      </c>
      <c r="C80" s="209" t="s">
        <v>132</v>
      </c>
      <c r="D80" s="208" t="s">
        <v>132</v>
      </c>
      <c r="E80" s="203"/>
      <c r="F80" s="259"/>
      <c r="G80" s="218"/>
      <c r="H80" s="200"/>
      <c r="I80" s="201"/>
      <c r="J80" s="5"/>
      <c r="K80" s="180"/>
      <c r="L80" s="5"/>
      <c r="M80" s="5"/>
      <c r="N80" s="5"/>
      <c r="O80" s="204" t="e">
        <f>IF(O79+1&lt;=MIN('Données projet'!$E$9:$E$18),O79+1,"STOP")</f>
        <v>#VALUE!</v>
      </c>
      <c r="P80" s="194" t="e">
        <f t="shared" si="4"/>
        <v>#VALUE!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7">
        <v>2</v>
      </c>
      <c r="B81" s="210" t="s">
        <v>132</v>
      </c>
      <c r="C81" s="209" t="s">
        <v>132</v>
      </c>
      <c r="D81" s="208" t="s">
        <v>132</v>
      </c>
      <c r="E81" s="203"/>
      <c r="F81" s="259"/>
      <c r="G81" s="218"/>
      <c r="H81" s="200"/>
      <c r="I81" s="201"/>
      <c r="J81" s="5"/>
      <c r="K81" s="180"/>
      <c r="L81" s="5"/>
      <c r="M81" s="5"/>
      <c r="N81" s="5"/>
      <c r="O81" s="204" t="e">
        <f>IF(O80+1&lt;=MIN('Données projet'!$E$9:$E$18),O80+1,"STOP")</f>
        <v>#VALUE!</v>
      </c>
      <c r="P81" s="194" t="e">
        <f t="shared" si="4"/>
        <v>#VALUE!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7">
        <v>3</v>
      </c>
      <c r="B82" s="210" t="s">
        <v>132</v>
      </c>
      <c r="C82" s="209" t="s">
        <v>132</v>
      </c>
      <c r="D82" s="208" t="s">
        <v>132</v>
      </c>
      <c r="E82" s="203"/>
      <c r="F82" s="259"/>
      <c r="G82" s="218"/>
      <c r="H82" s="200"/>
      <c r="I82" s="201"/>
      <c r="J82" s="5"/>
      <c r="K82" s="180"/>
      <c r="L82" s="5"/>
      <c r="M82" s="5"/>
      <c r="N82" s="5"/>
      <c r="O82" s="204" t="e">
        <f>IF(O81+1&lt;=MIN('Données projet'!$E$9:$E$18),O81+1,"STOP")</f>
        <v>#VALUE!</v>
      </c>
      <c r="P82" s="194" t="e">
        <f t="shared" si="4"/>
        <v>#VALUE!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7">
        <v>4</v>
      </c>
      <c r="B83" s="210" t="s">
        <v>132</v>
      </c>
      <c r="C83" s="209" t="s">
        <v>132</v>
      </c>
      <c r="D83" s="208" t="s">
        <v>132</v>
      </c>
      <c r="E83" s="203"/>
      <c r="F83" s="259"/>
      <c r="G83" s="218"/>
      <c r="H83" s="200"/>
      <c r="I83" s="201"/>
      <c r="J83" s="5"/>
      <c r="K83" s="180"/>
      <c r="L83" s="5"/>
      <c r="M83" s="5"/>
      <c r="N83" s="5"/>
      <c r="O83" s="204" t="e">
        <f>IF(O82+1&lt;=MIN('Données projet'!$E$9:$E$18),O82+1,"STOP")</f>
        <v>#VALUE!</v>
      </c>
      <c r="P83" s="194" t="e">
        <f t="shared" si="4"/>
        <v>#VALUE!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7">
        <v>5</v>
      </c>
      <c r="B84" s="210" t="s">
        <v>132</v>
      </c>
      <c r="C84" s="209" t="s">
        <v>132</v>
      </c>
      <c r="D84" s="208" t="s">
        <v>132</v>
      </c>
      <c r="E84" s="203"/>
      <c r="F84" s="259"/>
      <c r="G84" s="219"/>
      <c r="H84" s="200"/>
      <c r="I84" s="201"/>
      <c r="J84" s="5"/>
      <c r="K84" s="180"/>
      <c r="L84" s="5"/>
      <c r="M84" s="5"/>
      <c r="N84" s="5"/>
      <c r="O84" s="204" t="e">
        <f>IF(O83+1&lt;=MIN('Données projet'!$E$9:$E$18),O83+1,"STOP")</f>
        <v>#VALUE!</v>
      </c>
      <c r="P84" s="194" t="e">
        <f t="shared" si="4"/>
        <v>#VALUE!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9">
        <f>'Données projet'!A88</f>
        <v>15</v>
      </c>
      <c r="B85" s="190">
        <f>'Données projet'!D88</f>
        <v>0</v>
      </c>
      <c r="C85" s="201"/>
      <c r="D85" s="188">
        <f>B85*C85</f>
        <v>0</v>
      </c>
      <c r="E85" s="203"/>
      <c r="F85" s="260"/>
      <c r="G85" s="219"/>
      <c r="H85" s="200"/>
      <c r="I85" s="201"/>
      <c r="J85" s="5"/>
      <c r="K85" s="180"/>
      <c r="L85" s="5"/>
      <c r="M85" s="5"/>
      <c r="N85" s="5"/>
      <c r="O85" s="204" t="e">
        <f>IF(O84+1&lt;=MIN('Données projet'!$E$9:$E$18),O84+1,"STOP")</f>
        <v>#VALUE!</v>
      </c>
      <c r="P85" s="194" t="e">
        <f t="shared" si="4"/>
        <v>#VALUE!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9">
        <f>'Données projet'!A89</f>
        <v>20</v>
      </c>
      <c r="B86" s="190">
        <f>'Données projet'!D89</f>
        <v>43</v>
      </c>
      <c r="C86" s="201">
        <v>10</v>
      </c>
      <c r="D86" s="188">
        <f t="shared" ref="D86:D104" si="5">B86*C86</f>
        <v>430</v>
      </c>
      <c r="E86" s="203"/>
      <c r="F86" s="260"/>
      <c r="G86" s="219"/>
      <c r="H86" s="200"/>
      <c r="I86" s="201"/>
      <c r="J86" s="5"/>
      <c r="K86" s="180"/>
      <c r="L86" s="5"/>
      <c r="M86" s="5"/>
      <c r="N86" s="5"/>
      <c r="O86" s="204" t="e">
        <f>IF(O85+1&lt;=MIN('Données projet'!$E$9:$E$18),O85+1,"STOP")</f>
        <v>#VALUE!</v>
      </c>
      <c r="P86" s="194" t="e">
        <f t="shared" si="4"/>
        <v>#VALUE!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9">
        <f>'Données projet'!A90</f>
        <v>25</v>
      </c>
      <c r="B87" s="190">
        <f>'Données projet'!D90</f>
        <v>0</v>
      </c>
      <c r="C87" s="201"/>
      <c r="D87" s="188">
        <f t="shared" si="5"/>
        <v>0</v>
      </c>
      <c r="E87" s="203"/>
      <c r="F87" s="260"/>
      <c r="G87" s="219"/>
      <c r="H87" s="200"/>
      <c r="I87" s="201"/>
      <c r="J87" s="5"/>
      <c r="K87" s="180"/>
      <c r="L87" s="5"/>
      <c r="M87" s="5"/>
      <c r="N87" s="5"/>
      <c r="O87" s="204" t="e">
        <f>IF(O86+1&lt;=MIN('Données projet'!$E$9:$E$18),O86+1,"STOP")</f>
        <v>#VALUE!</v>
      </c>
      <c r="P87" s="194" t="e">
        <f t="shared" si="4"/>
        <v>#VALUE!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9">
        <f>'Données projet'!A91</f>
        <v>30</v>
      </c>
      <c r="B88" s="190">
        <f>'Données projet'!D91</f>
        <v>56</v>
      </c>
      <c r="C88" s="201">
        <v>15</v>
      </c>
      <c r="D88" s="188">
        <f t="shared" si="5"/>
        <v>840</v>
      </c>
      <c r="E88" s="203"/>
      <c r="F88" s="260"/>
      <c r="G88" s="219"/>
      <c r="H88" s="200"/>
      <c r="I88" s="201"/>
      <c r="J88" s="5"/>
      <c r="K88" s="180"/>
      <c r="L88" s="5"/>
      <c r="M88" s="5"/>
      <c r="N88" s="5"/>
      <c r="O88" s="204" t="e">
        <f>IF(O87+1&lt;=MIN('Données projet'!$E$9:$E$18),O87+1,"STOP")</f>
        <v>#VALUE!</v>
      </c>
      <c r="P88" s="194" t="e">
        <f t="shared" si="4"/>
        <v>#VALUE!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9">
        <f>'Données projet'!A92</f>
        <v>35</v>
      </c>
      <c r="B89" s="190">
        <f>'Données projet'!D92</f>
        <v>0</v>
      </c>
      <c r="C89" s="201"/>
      <c r="D89" s="188">
        <f t="shared" si="5"/>
        <v>0</v>
      </c>
      <c r="E89" s="203"/>
      <c r="F89" s="260"/>
      <c r="G89" s="219"/>
      <c r="H89" s="200"/>
      <c r="I89" s="201"/>
      <c r="J89" s="5"/>
      <c r="K89" s="180"/>
      <c r="L89" s="5"/>
      <c r="M89" s="5"/>
      <c r="N89" s="5"/>
      <c r="O89" s="204" t="e">
        <f>IF(O88+1&lt;=MIN('Données projet'!$E$9:$E$18),O88+1,"STOP")</f>
        <v>#VALUE!</v>
      </c>
      <c r="P89" s="194" t="e">
        <f t="shared" si="4"/>
        <v>#VALUE!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9">
        <f>'Données projet'!A93</f>
        <v>40</v>
      </c>
      <c r="B90" s="190">
        <f>'Données projet'!D93</f>
        <v>56</v>
      </c>
      <c r="C90" s="201">
        <v>20</v>
      </c>
      <c r="D90" s="188">
        <f t="shared" si="5"/>
        <v>1120</v>
      </c>
      <c r="E90" s="203"/>
      <c r="F90" s="260"/>
      <c r="G90" s="219"/>
      <c r="H90" s="200"/>
      <c r="I90" s="201"/>
      <c r="J90" s="5"/>
      <c r="K90" s="180"/>
      <c r="L90" s="5"/>
      <c r="M90" s="5"/>
      <c r="N90" s="5"/>
      <c r="O90" s="204" t="e">
        <f>IF(O89+1&lt;=MIN('Données projet'!$E$9:$E$18),O89+1,"STOP")</f>
        <v>#VALUE!</v>
      </c>
      <c r="P90" s="194" t="e">
        <f t="shared" si="4"/>
        <v>#VALUE!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9">
        <f>'Données projet'!A94</f>
        <v>45</v>
      </c>
      <c r="B91" s="190">
        <f>'Données projet'!D94</f>
        <v>0</v>
      </c>
      <c r="C91" s="201"/>
      <c r="D91" s="188">
        <f t="shared" si="5"/>
        <v>0</v>
      </c>
      <c r="E91" s="203"/>
      <c r="F91" s="260"/>
      <c r="G91" s="220"/>
      <c r="H91" s="200"/>
      <c r="I91" s="201"/>
      <c r="J91" s="5"/>
      <c r="K91" s="180"/>
      <c r="L91" s="5"/>
      <c r="M91" s="5"/>
      <c r="N91" s="5"/>
      <c r="O91" s="204" t="e">
        <f>IF(O90+1&lt;=MIN('Données projet'!$E$9:$E$18),O90+1,"STOP")</f>
        <v>#VALUE!</v>
      </c>
      <c r="P91" s="194" t="e">
        <f t="shared" si="4"/>
        <v>#VALUE!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9">
        <f>'Données projet'!A95</f>
        <v>50</v>
      </c>
      <c r="B92" s="190">
        <f>'Données projet'!D95</f>
        <v>39</v>
      </c>
      <c r="C92" s="201">
        <v>25</v>
      </c>
      <c r="D92" s="188">
        <f t="shared" si="5"/>
        <v>975</v>
      </c>
      <c r="E92" s="203"/>
      <c r="F92" s="260"/>
      <c r="G92" s="220"/>
      <c r="H92" s="200"/>
      <c r="I92" s="201"/>
      <c r="J92" s="5"/>
      <c r="K92" s="180"/>
      <c r="L92" s="5"/>
      <c r="M92" s="5"/>
      <c r="N92" s="5"/>
      <c r="O92" s="204" t="e">
        <f>IF(O91+1&lt;=MIN('Données projet'!$E$9:$E$18),O91+1,"STOP")</f>
        <v>#VALUE!</v>
      </c>
      <c r="P92" s="194" t="e">
        <f t="shared" si="4"/>
        <v>#VALUE!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9">
        <f>'Données projet'!A96</f>
        <v>55</v>
      </c>
      <c r="B93" s="190">
        <f>'Données projet'!D96</f>
        <v>0</v>
      </c>
      <c r="C93" s="201"/>
      <c r="D93" s="188">
        <f t="shared" si="5"/>
        <v>0</v>
      </c>
      <c r="E93" s="203"/>
      <c r="F93" s="260"/>
      <c r="G93" s="220"/>
      <c r="H93" s="200"/>
      <c r="I93" s="201"/>
      <c r="J93" s="5"/>
      <c r="K93" s="180"/>
      <c r="L93" s="5"/>
      <c r="M93" s="5"/>
      <c r="N93" s="5"/>
      <c r="O93" s="204" t="e">
        <f>IF(O92+1&lt;=MIN('Données projet'!$E$9:$E$18),O92+1,"STOP")</f>
        <v>#VALUE!</v>
      </c>
      <c r="P93" s="194" t="e">
        <f t="shared" si="4"/>
        <v>#VALUE!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9">
        <f>'Données projet'!A97</f>
        <v>60</v>
      </c>
      <c r="B94" s="190">
        <f>'Données projet'!D97</f>
        <v>25</v>
      </c>
      <c r="C94" s="201">
        <v>30</v>
      </c>
      <c r="D94" s="188">
        <f t="shared" si="5"/>
        <v>750</v>
      </c>
      <c r="E94" s="203"/>
      <c r="F94" s="260"/>
      <c r="G94" s="220"/>
      <c r="H94" s="200"/>
      <c r="I94" s="201"/>
      <c r="J94" s="5"/>
      <c r="K94" s="180"/>
      <c r="L94" s="5"/>
      <c r="M94" s="5"/>
      <c r="N94" s="5"/>
      <c r="O94" s="204" t="e">
        <f>IF(O93+1&lt;=MIN('Données projet'!$E$9:$E$18),O93+1,"STOP")</f>
        <v>#VALUE!</v>
      </c>
      <c r="P94" s="194" t="e">
        <f t="shared" si="4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9">
        <f>'Données projet'!A98</f>
        <v>65</v>
      </c>
      <c r="B95" s="190">
        <f>'Données projet'!D98</f>
        <v>0</v>
      </c>
      <c r="C95" s="201"/>
      <c r="D95" s="188">
        <f t="shared" si="5"/>
        <v>0</v>
      </c>
      <c r="E95" s="203"/>
      <c r="F95" s="260"/>
      <c r="G95" s="220"/>
      <c r="H95" s="200"/>
      <c r="I95" s="201"/>
      <c r="J95" s="5"/>
      <c r="K95" s="180"/>
      <c r="L95" s="5"/>
      <c r="M95" s="5"/>
      <c r="N95" s="5"/>
      <c r="O95" s="204" t="e">
        <f>IF(O94+1&lt;=MIN('Données projet'!$E$9:$E$18),O94+1,"STOP")</f>
        <v>#VALUE!</v>
      </c>
      <c r="P95" s="194" t="e">
        <f t="shared" si="4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9">
        <f>'Données projet'!A99</f>
        <v>70</v>
      </c>
      <c r="B96" s="190">
        <f>'Données projet'!D99</f>
        <v>21</v>
      </c>
      <c r="C96" s="201">
        <v>35</v>
      </c>
      <c r="D96" s="188">
        <f t="shared" si="5"/>
        <v>735</v>
      </c>
      <c r="E96" s="203"/>
      <c r="F96" s="260"/>
      <c r="G96" s="220"/>
      <c r="H96" s="200"/>
      <c r="I96" s="201"/>
      <c r="J96" s="5"/>
      <c r="K96" s="180"/>
      <c r="L96" s="5"/>
      <c r="M96" s="5"/>
      <c r="N96" s="5"/>
      <c r="O96" s="204" t="e">
        <f>IF(O95+1&lt;=MIN('Données projet'!$E$9:$E$18),O95+1,"STOP")</f>
        <v>#VALUE!</v>
      </c>
      <c r="P96" s="194" t="e">
        <f t="shared" si="4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9">
        <f>'Données projet'!A100</f>
        <v>75</v>
      </c>
      <c r="B97" s="190">
        <f>'Données projet'!D100</f>
        <v>0</v>
      </c>
      <c r="C97" s="201"/>
      <c r="D97" s="188">
        <f t="shared" si="5"/>
        <v>0</v>
      </c>
      <c r="E97" s="203"/>
      <c r="F97" s="260"/>
      <c r="G97" s="220"/>
      <c r="H97" s="200"/>
      <c r="I97" s="201"/>
      <c r="J97" s="5"/>
      <c r="K97" s="180"/>
      <c r="L97" s="5"/>
      <c r="M97" s="5"/>
      <c r="N97" s="5"/>
      <c r="O97" s="204" t="e">
        <f>IF(O96+1&lt;=MIN('Données projet'!$E$9:$E$18),O96+1,"STOP")</f>
        <v>#VALUE!</v>
      </c>
      <c r="P97" s="194" t="e">
        <f t="shared" ref="P97:P128" si="6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9">
        <f>'Données projet'!A101</f>
        <v>80</v>
      </c>
      <c r="B98" s="190">
        <f>'Données projet'!D101</f>
        <v>285</v>
      </c>
      <c r="C98" s="203">
        <v>80</v>
      </c>
      <c r="D98" s="188">
        <f t="shared" si="5"/>
        <v>22800</v>
      </c>
      <c r="E98" s="203"/>
      <c r="F98" s="260"/>
      <c r="G98" s="220"/>
      <c r="H98" s="200"/>
      <c r="I98" s="201"/>
      <c r="J98" s="5"/>
      <c r="K98" s="180"/>
      <c r="L98" s="5"/>
      <c r="M98" s="5"/>
      <c r="N98" s="5"/>
      <c r="O98" s="204" t="e">
        <f>IF(O97+1&lt;=MIN('Données projet'!$E$9:$E$18),O97+1,"STOP")</f>
        <v>#VALUE!</v>
      </c>
      <c r="P98" s="194" t="e">
        <f t="shared" si="6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9">
        <f>'Données projet'!A102</f>
        <v>0</v>
      </c>
      <c r="B99" s="190">
        <f>'Données projet'!D102</f>
        <v>0</v>
      </c>
      <c r="C99" s="203"/>
      <c r="D99" s="188">
        <f t="shared" si="5"/>
        <v>0</v>
      </c>
      <c r="E99" s="203"/>
      <c r="F99" s="260"/>
      <c r="G99" s="220"/>
      <c r="H99" s="200"/>
      <c r="I99" s="201"/>
      <c r="J99" s="5"/>
      <c r="K99" s="180"/>
      <c r="L99" s="5"/>
      <c r="M99" s="5"/>
      <c r="N99" s="5"/>
      <c r="O99" s="204" t="e">
        <f>IF(O98+1&lt;=MIN('Données projet'!$E$9:$E$18),O98+1,"STOP")</f>
        <v>#VALUE!</v>
      </c>
      <c r="P99" s="194" t="e">
        <f t="shared" si="6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9">
        <f>'Données projet'!A103</f>
        <v>0</v>
      </c>
      <c r="B100" s="190">
        <f>'Données projet'!D103</f>
        <v>0</v>
      </c>
      <c r="C100" s="203"/>
      <c r="D100" s="188">
        <f t="shared" si="5"/>
        <v>0</v>
      </c>
      <c r="E100" s="203"/>
      <c r="F100" s="260"/>
      <c r="G100" s="220"/>
      <c r="H100" s="200"/>
      <c r="I100" s="201"/>
      <c r="J100" s="5"/>
      <c r="K100" s="180"/>
      <c r="L100" s="5"/>
      <c r="M100" s="5"/>
      <c r="N100" s="5"/>
      <c r="O100" s="204" t="e">
        <f>IF(O99+1&lt;=MIN('Données projet'!$E$9:$E$18),O99+1,"STOP")</f>
        <v>#VALUE!</v>
      </c>
      <c r="P100" s="194" t="e">
        <f t="shared" si="6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9">
        <f>'Données projet'!A104</f>
        <v>0</v>
      </c>
      <c r="B101" s="190">
        <f>'Données projet'!D104</f>
        <v>0</v>
      </c>
      <c r="C101" s="203"/>
      <c r="D101" s="188">
        <f t="shared" si="5"/>
        <v>0</v>
      </c>
      <c r="E101" s="203"/>
      <c r="F101" s="260"/>
      <c r="G101" s="220"/>
      <c r="H101" s="200"/>
      <c r="I101" s="201"/>
      <c r="J101" s="5"/>
      <c r="K101" s="180"/>
      <c r="L101" s="5"/>
      <c r="M101" s="5"/>
      <c r="N101" s="5"/>
      <c r="O101" s="204" t="e">
        <f>IF(O100+1&lt;=MIN('Données projet'!$E$9:$E$18),O100+1,"STOP")</f>
        <v>#VALUE!</v>
      </c>
      <c r="P101" s="194" t="e">
        <f t="shared" si="6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9">
        <f>'Données projet'!A105</f>
        <v>0</v>
      </c>
      <c r="B102" s="190">
        <f>'Données projet'!D105</f>
        <v>0</v>
      </c>
      <c r="C102" s="203"/>
      <c r="D102" s="188">
        <f t="shared" si="5"/>
        <v>0</v>
      </c>
      <c r="E102" s="203"/>
      <c r="F102" s="260"/>
      <c r="G102" s="220"/>
      <c r="H102" s="200"/>
      <c r="I102" s="201"/>
      <c r="J102" s="5"/>
      <c r="K102" s="180"/>
      <c r="L102" s="5"/>
      <c r="M102" s="5"/>
      <c r="N102" s="5"/>
      <c r="O102" s="204" t="e">
        <f>IF(O101+1&lt;=MIN('Données projet'!$E$9:$E$18),O101+1,"STOP")</f>
        <v>#VALUE!</v>
      </c>
      <c r="P102" s="194" t="e">
        <f t="shared" si="6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9">
        <f>'Données projet'!A106</f>
        <v>0</v>
      </c>
      <c r="B103" s="190">
        <f>'Données projet'!D106</f>
        <v>0</v>
      </c>
      <c r="C103" s="203"/>
      <c r="D103" s="188">
        <f t="shared" si="5"/>
        <v>0</v>
      </c>
      <c r="E103" s="203"/>
      <c r="F103" s="260"/>
      <c r="G103" s="220"/>
      <c r="H103" s="200"/>
      <c r="I103" s="201"/>
      <c r="J103" s="5"/>
      <c r="K103" s="180"/>
      <c r="L103" s="5"/>
      <c r="M103" s="5"/>
      <c r="N103" s="5"/>
      <c r="O103" s="204" t="e">
        <f>IF(O102+1&lt;=MIN('Données projet'!$E$9:$E$18),O102+1,"STOP")</f>
        <v>#VALUE!</v>
      </c>
      <c r="P103" s="194" t="e">
        <f t="shared" si="6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9">
        <f>'Données projet'!A107</f>
        <v>0</v>
      </c>
      <c r="B104" s="190">
        <f>'Données projet'!D107</f>
        <v>0</v>
      </c>
      <c r="C104" s="203"/>
      <c r="D104" s="188">
        <f t="shared" si="5"/>
        <v>0</v>
      </c>
      <c r="E104" s="203"/>
      <c r="F104" s="260"/>
      <c r="G104" s="220"/>
      <c r="H104" s="200"/>
      <c r="I104" s="201"/>
      <c r="J104" s="5"/>
      <c r="K104" s="180"/>
      <c r="L104" s="5"/>
      <c r="M104" s="5"/>
      <c r="N104" s="5"/>
      <c r="O104" s="204" t="e">
        <f>IF(O103+1&lt;=MIN('Données projet'!$E$9:$E$18),O103+1,"STOP")</f>
        <v>#VALUE!</v>
      </c>
      <c r="P104" s="194" t="e">
        <f t="shared" si="6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8"/>
      <c r="G105" s="220"/>
      <c r="H105" s="200"/>
      <c r="I105" s="201"/>
      <c r="J105" s="5"/>
      <c r="K105" s="180"/>
      <c r="L105" s="5"/>
      <c r="M105" s="5"/>
      <c r="N105" s="5"/>
      <c r="O105" s="204" t="e">
        <f>IF(O104+1&lt;=MIN('Données projet'!$E$9:$E$18),O104+1,"STOP")</f>
        <v>#VALUE!</v>
      </c>
      <c r="P105" s="194" t="e">
        <f t="shared" si="6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8"/>
      <c r="G106" s="220"/>
      <c r="H106" s="200"/>
      <c r="I106" s="201"/>
      <c r="J106" s="5"/>
      <c r="K106" s="180"/>
      <c r="L106" s="5"/>
      <c r="M106" s="5"/>
      <c r="N106" s="5"/>
      <c r="O106" s="204" t="e">
        <f>IF(O105+1&lt;=MIN('Données projet'!$E$9:$E$18),O105+1,"STOP")</f>
        <v>#VALUE!</v>
      </c>
      <c r="P106" s="194" t="e">
        <f t="shared" si="6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3" t="str">
        <f>IF('Données projet'!B12="","",'Données projet'!B12)</f>
        <v>Cèdre de l'Atlas</v>
      </c>
      <c r="C107" s="5"/>
      <c r="D107" s="5"/>
      <c r="E107" s="5"/>
      <c r="F107" s="258"/>
      <c r="G107" s="220"/>
      <c r="H107" s="200"/>
      <c r="I107" s="201"/>
      <c r="J107" s="5"/>
      <c r="K107" s="180"/>
      <c r="L107" s="5"/>
      <c r="M107" s="5"/>
      <c r="N107" s="5"/>
      <c r="O107" s="204" t="e">
        <f>IF(O106+1&lt;=MIN('Données projet'!$E$9:$E$18),O106+1,"STOP")</f>
        <v>#VALUE!</v>
      </c>
      <c r="P107" s="194" t="e">
        <f t="shared" si="6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8"/>
      <c r="G108" s="220"/>
      <c r="H108" s="200"/>
      <c r="I108" s="201"/>
      <c r="J108" s="5"/>
      <c r="K108" s="180"/>
      <c r="L108" s="5"/>
      <c r="M108" s="5"/>
      <c r="N108" s="5"/>
      <c r="O108" s="204" t="e">
        <f>IF(O107+1&lt;=MIN('Données projet'!$E$9:$E$18),O107+1,"STOP")</f>
        <v>#VALUE!</v>
      </c>
      <c r="P108" s="194" t="e">
        <f t="shared" si="6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0"/>
      <c r="I109" s="201"/>
      <c r="J109" s="5"/>
      <c r="K109" s="180"/>
      <c r="L109" s="5"/>
      <c r="M109" s="5"/>
      <c r="N109" s="5"/>
      <c r="O109" s="204" t="e">
        <f>IF(O108+1&lt;=MIN('Données projet'!$E$9:$E$18),O108+1,"STOP")</f>
        <v>#VALUE!</v>
      </c>
      <c r="P109" s="194" t="e">
        <f t="shared" si="6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7">
        <v>0</v>
      </c>
      <c r="B110" s="210" t="s">
        <v>132</v>
      </c>
      <c r="C110" s="209" t="s">
        <v>132</v>
      </c>
      <c r="D110" s="208" t="s">
        <v>132</v>
      </c>
      <c r="E110" s="203"/>
      <c r="F110" s="259"/>
      <c r="G110" s="220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6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7">
        <v>1</v>
      </c>
      <c r="B111" s="210" t="s">
        <v>132</v>
      </c>
      <c r="C111" s="209" t="s">
        <v>132</v>
      </c>
      <c r="D111" s="208" t="s">
        <v>132</v>
      </c>
      <c r="E111" s="203"/>
      <c r="F111" s="259"/>
      <c r="G111" s="218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6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7">
        <v>2</v>
      </c>
      <c r="B112" s="210" t="s">
        <v>132</v>
      </c>
      <c r="C112" s="209" t="s">
        <v>132</v>
      </c>
      <c r="D112" s="208" t="s">
        <v>132</v>
      </c>
      <c r="E112" s="203"/>
      <c r="F112" s="259"/>
      <c r="G112" s="218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6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7">
        <v>3</v>
      </c>
      <c r="B113" s="210" t="s">
        <v>132</v>
      </c>
      <c r="C113" s="209" t="s">
        <v>132</v>
      </c>
      <c r="D113" s="208" t="s">
        <v>132</v>
      </c>
      <c r="E113" s="203"/>
      <c r="F113" s="259"/>
      <c r="G113" s="218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6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7">
        <v>4</v>
      </c>
      <c r="B114" s="210" t="s">
        <v>132</v>
      </c>
      <c r="C114" s="209" t="s">
        <v>132</v>
      </c>
      <c r="D114" s="208" t="s">
        <v>132</v>
      </c>
      <c r="E114" s="203"/>
      <c r="F114" s="259"/>
      <c r="G114" s="218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6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7">
        <v>5</v>
      </c>
      <c r="B115" s="210" t="s">
        <v>132</v>
      </c>
      <c r="C115" s="209" t="s">
        <v>132</v>
      </c>
      <c r="D115" s="208" t="s">
        <v>132</v>
      </c>
      <c r="E115" s="203"/>
      <c r="F115" s="259"/>
      <c r="G115" s="219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6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9">
        <f>'Données projet'!A114</f>
        <v>30</v>
      </c>
      <c r="B116" s="190">
        <f>'Données projet'!D114</f>
        <v>0</v>
      </c>
      <c r="C116" s="201"/>
      <c r="D116" s="188">
        <f>B116*C116</f>
        <v>0</v>
      </c>
      <c r="E116" s="203"/>
      <c r="F116" s="260"/>
      <c r="G116" s="219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6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9">
        <f>'Données projet'!A115</f>
        <v>35</v>
      </c>
      <c r="B117" s="190">
        <f>'Données projet'!D115</f>
        <v>0</v>
      </c>
      <c r="C117" s="201"/>
      <c r="D117" s="188">
        <f t="shared" ref="D117:D135" si="7">B117*C117</f>
        <v>0</v>
      </c>
      <c r="E117" s="203"/>
      <c r="F117" s="260"/>
      <c r="G117" s="219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6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9">
        <f>'Données projet'!A116</f>
        <v>40</v>
      </c>
      <c r="B118" s="190">
        <f>'Données projet'!D116</f>
        <v>0</v>
      </c>
      <c r="C118" s="201"/>
      <c r="D118" s="188">
        <f t="shared" si="7"/>
        <v>0</v>
      </c>
      <c r="E118" s="203"/>
      <c r="F118" s="260"/>
      <c r="G118" s="219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6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9">
        <f>'Données projet'!A117</f>
        <v>45</v>
      </c>
      <c r="B119" s="190">
        <f>'Données projet'!D117</f>
        <v>0</v>
      </c>
      <c r="C119" s="201"/>
      <c r="D119" s="188">
        <f t="shared" si="7"/>
        <v>0</v>
      </c>
      <c r="E119" s="203"/>
      <c r="F119" s="260"/>
      <c r="G119" s="219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6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9">
        <f>'Données projet'!A118</f>
        <v>51</v>
      </c>
      <c r="B120" s="190">
        <f>'Données projet'!D118</f>
        <v>100.30769230769231</v>
      </c>
      <c r="C120" s="201">
        <v>15</v>
      </c>
      <c r="D120" s="188">
        <f t="shared" si="7"/>
        <v>1504.6153846153845</v>
      </c>
      <c r="E120" s="203"/>
      <c r="F120" s="260"/>
      <c r="G120" s="219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6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9">
        <f>'Données projet'!A119</f>
        <v>57</v>
      </c>
      <c r="B121" s="190">
        <f>'Données projet'!D119</f>
        <v>0</v>
      </c>
      <c r="C121" s="201"/>
      <c r="D121" s="188">
        <f t="shared" si="7"/>
        <v>0</v>
      </c>
      <c r="E121" s="203"/>
      <c r="F121" s="260"/>
      <c r="G121" s="219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6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9">
        <f>'Données projet'!A120</f>
        <v>63</v>
      </c>
      <c r="B122" s="190">
        <f>'Données projet'!D120</f>
        <v>108.08461538461538</v>
      </c>
      <c r="C122" s="201">
        <v>20</v>
      </c>
      <c r="D122" s="188">
        <f t="shared" si="7"/>
        <v>2161.6923076923076</v>
      </c>
      <c r="E122" s="203"/>
      <c r="F122" s="260"/>
      <c r="G122" s="220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6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9">
        <f>'Données projet'!A121</f>
        <v>69</v>
      </c>
      <c r="B123" s="190">
        <f>'Données projet'!D121</f>
        <v>0</v>
      </c>
      <c r="C123" s="201"/>
      <c r="D123" s="188">
        <f t="shared" si="7"/>
        <v>0</v>
      </c>
      <c r="E123" s="203"/>
      <c r="F123" s="260"/>
      <c r="G123" s="220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6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9">
        <f>'Données projet'!A122</f>
        <v>75</v>
      </c>
      <c r="B124" s="190">
        <f>'Données projet'!D122</f>
        <v>85.361538461538458</v>
      </c>
      <c r="C124" s="201">
        <v>30</v>
      </c>
      <c r="D124" s="188">
        <f t="shared" si="7"/>
        <v>2560.8461538461538</v>
      </c>
      <c r="E124" s="203"/>
      <c r="F124" s="260"/>
      <c r="G124" s="220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6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9">
        <f>'Données projet'!A123</f>
        <v>81</v>
      </c>
      <c r="B125" s="190">
        <f>'Données projet'!D123</f>
        <v>0</v>
      </c>
      <c r="C125" s="201"/>
      <c r="D125" s="188">
        <f t="shared" si="7"/>
        <v>0</v>
      </c>
      <c r="E125" s="203"/>
      <c r="F125" s="260"/>
      <c r="G125" s="220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6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9">
        <f>'Données projet'!A124</f>
        <v>87</v>
      </c>
      <c r="B126" s="190">
        <f>'Données projet'!D124</f>
        <v>82.938461538461524</v>
      </c>
      <c r="C126" s="201">
        <v>40</v>
      </c>
      <c r="D126" s="188">
        <f t="shared" si="7"/>
        <v>3317.538461538461</v>
      </c>
      <c r="E126" s="203"/>
      <c r="F126" s="260"/>
      <c r="G126" s="220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6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9">
        <f>'Données projet'!A125</f>
        <v>93</v>
      </c>
      <c r="B127" s="190">
        <f>'Données projet'!D125</f>
        <v>0</v>
      </c>
      <c r="C127" s="201"/>
      <c r="D127" s="188">
        <f t="shared" si="7"/>
        <v>0</v>
      </c>
      <c r="E127" s="203"/>
      <c r="F127" s="260"/>
      <c r="G127" s="220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6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9">
        <f>'Données projet'!A126</f>
        <v>99</v>
      </c>
      <c r="B128" s="190">
        <f>'Données projet'!D126</f>
        <v>198.32307692307691</v>
      </c>
      <c r="C128" s="201">
        <v>50</v>
      </c>
      <c r="D128" s="188">
        <f t="shared" si="7"/>
        <v>9916.1538461538457</v>
      </c>
      <c r="E128" s="203"/>
      <c r="F128" s="260"/>
      <c r="G128" s="220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6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9">
        <f>'Données projet'!A127</f>
        <v>104</v>
      </c>
      <c r="B129" s="190">
        <f>'Données projet'!D127</f>
        <v>0</v>
      </c>
      <c r="C129" s="203"/>
      <c r="D129" s="188">
        <f t="shared" si="7"/>
        <v>0</v>
      </c>
      <c r="E129" s="203"/>
      <c r="F129" s="260"/>
      <c r="G129" s="220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9">
        <f>'Données projet'!A128</f>
        <v>109</v>
      </c>
      <c r="B130" s="190">
        <f>'Données projet'!D128</f>
        <v>256.09230769230771</v>
      </c>
      <c r="C130" s="201">
        <v>80</v>
      </c>
      <c r="D130" s="188">
        <f t="shared" si="7"/>
        <v>20487.384615384617</v>
      </c>
      <c r="E130" s="203"/>
      <c r="F130" s="260"/>
      <c r="G130" s="220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>$P$25/(1+$M$4)^O130</f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9">
        <f>'Données projet'!A129</f>
        <v>0</v>
      </c>
      <c r="B131" s="190">
        <f>'Données projet'!D129</f>
        <v>0</v>
      </c>
      <c r="C131" s="203"/>
      <c r="D131" s="188">
        <f t="shared" si="7"/>
        <v>0</v>
      </c>
      <c r="E131" s="203"/>
      <c r="F131" s="260"/>
      <c r="G131" s="220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>$P$25/(1+$M$4)^O131</f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9">
        <f>'Données projet'!A130</f>
        <v>0</v>
      </c>
      <c r="B132" s="190">
        <f>'Données projet'!D130</f>
        <v>0</v>
      </c>
      <c r="C132" s="203"/>
      <c r="D132" s="188">
        <f t="shared" si="7"/>
        <v>0</v>
      </c>
      <c r="E132" s="203"/>
      <c r="F132" s="260"/>
      <c r="G132" s="220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>$P$25/(1+$M$4)^O132</f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9">
        <f>'Données projet'!A131</f>
        <v>0</v>
      </c>
      <c r="B133" s="190">
        <f>'Données projet'!D131</f>
        <v>0</v>
      </c>
      <c r="C133" s="203"/>
      <c r="D133" s="188">
        <f t="shared" si="7"/>
        <v>0</v>
      </c>
      <c r="E133" s="203"/>
      <c r="F133" s="260"/>
      <c r="G133" s="220"/>
      <c r="H133" s="200"/>
      <c r="I133" s="201"/>
      <c r="J133" s="5"/>
      <c r="K133" s="180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9">
        <f>'Données projet'!A132</f>
        <v>0</v>
      </c>
      <c r="B134" s="190">
        <f>'Données projet'!D132</f>
        <v>0</v>
      </c>
      <c r="C134" s="203"/>
      <c r="D134" s="188">
        <f t="shared" si="7"/>
        <v>0</v>
      </c>
      <c r="E134" s="203"/>
      <c r="F134" s="260"/>
      <c r="G134" s="220"/>
      <c r="H134" s="200"/>
      <c r="I134" s="201"/>
      <c r="J134" s="5"/>
      <c r="K134" s="180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9">
        <f>'Données projet'!A133</f>
        <v>0</v>
      </c>
      <c r="B135" s="190">
        <f>'Données projet'!D133</f>
        <v>0</v>
      </c>
      <c r="C135" s="203"/>
      <c r="D135" s="188">
        <f t="shared" si="7"/>
        <v>0</v>
      </c>
      <c r="E135" s="203"/>
      <c r="F135" s="260"/>
      <c r="G135" s="220"/>
      <c r="H135" s="200"/>
      <c r="I135" s="201"/>
      <c r="J135" s="5"/>
      <c r="K135" s="180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8"/>
      <c r="G136" s="220"/>
      <c r="H136" s="200"/>
      <c r="I136" s="201"/>
      <c r="J136" s="5"/>
      <c r="K136" s="180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8"/>
      <c r="G137" s="220"/>
      <c r="H137" s="200"/>
      <c r="I137" s="201"/>
      <c r="J137" s="5"/>
      <c r="K137" s="180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3" t="str">
        <f>IF('Données projet'!B13="","",'Données projet'!B13)</f>
        <v>Robinier faux-acacia</v>
      </c>
      <c r="C138" s="5"/>
      <c r="D138" s="5"/>
      <c r="E138" s="5"/>
      <c r="F138" s="258"/>
      <c r="G138" s="220"/>
      <c r="H138" s="200"/>
      <c r="I138" s="201"/>
      <c r="J138" s="5"/>
      <c r="K138" s="180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8"/>
      <c r="G139" s="220"/>
      <c r="H139" s="200"/>
      <c r="I139" s="201"/>
      <c r="J139" s="5"/>
      <c r="K139" s="180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0"/>
      <c r="I140" s="201"/>
      <c r="J140" s="5"/>
      <c r="K140" s="180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7">
        <v>0</v>
      </c>
      <c r="B141" s="210" t="s">
        <v>132</v>
      </c>
      <c r="C141" s="209" t="s">
        <v>132</v>
      </c>
      <c r="D141" s="208" t="s">
        <v>132</v>
      </c>
      <c r="E141" s="203"/>
      <c r="F141" s="259"/>
      <c r="G141" s="220"/>
      <c r="H141" s="200"/>
      <c r="I141" s="201"/>
      <c r="J141" s="5"/>
      <c r="K141" s="180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7">
        <v>1</v>
      </c>
      <c r="B142" s="210" t="s">
        <v>132</v>
      </c>
      <c r="C142" s="209" t="s">
        <v>132</v>
      </c>
      <c r="D142" s="208" t="s">
        <v>132</v>
      </c>
      <c r="E142" s="203"/>
      <c r="F142" s="259"/>
      <c r="G142" s="218"/>
      <c r="H142" s="200"/>
      <c r="I142" s="201"/>
      <c r="J142" s="5"/>
      <c r="K142" s="180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7">
        <v>2</v>
      </c>
      <c r="B143" s="210" t="s">
        <v>132</v>
      </c>
      <c r="C143" s="209" t="s">
        <v>132</v>
      </c>
      <c r="D143" s="208" t="s">
        <v>132</v>
      </c>
      <c r="E143" s="203"/>
      <c r="F143" s="259"/>
      <c r="G143" s="218"/>
      <c r="H143" s="200"/>
      <c r="I143" s="201"/>
      <c r="J143" s="5"/>
      <c r="K143" s="180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7">
        <v>3</v>
      </c>
      <c r="B144" s="210" t="s">
        <v>132</v>
      </c>
      <c r="C144" s="209" t="s">
        <v>132</v>
      </c>
      <c r="D144" s="208" t="s">
        <v>132</v>
      </c>
      <c r="E144" s="203"/>
      <c r="F144" s="259"/>
      <c r="G144" s="218"/>
      <c r="H144" s="200"/>
      <c r="I144" s="201"/>
      <c r="J144" s="5"/>
      <c r="K144" s="180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7">
        <v>4</v>
      </c>
      <c r="B145" s="210" t="s">
        <v>132</v>
      </c>
      <c r="C145" s="209" t="s">
        <v>132</v>
      </c>
      <c r="D145" s="208" t="s">
        <v>132</v>
      </c>
      <c r="E145" s="203"/>
      <c r="F145" s="259"/>
      <c r="G145" s="218"/>
      <c r="H145" s="200"/>
      <c r="I145" s="201"/>
      <c r="J145" s="5"/>
      <c r="K145" s="180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7">
        <v>5</v>
      </c>
      <c r="B146" s="210" t="s">
        <v>132</v>
      </c>
      <c r="C146" s="209" t="s">
        <v>132</v>
      </c>
      <c r="D146" s="208" t="s">
        <v>132</v>
      </c>
      <c r="E146" s="203"/>
      <c r="F146" s="259"/>
      <c r="G146" s="219"/>
      <c r="H146" s="200"/>
      <c r="I146" s="201"/>
      <c r="J146" s="5"/>
      <c r="K146" s="180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5</v>
      </c>
      <c r="B147" s="184">
        <f>'Données projet'!D140</f>
        <v>0</v>
      </c>
      <c r="C147" s="201"/>
      <c r="D147" s="191">
        <f>B147*C147</f>
        <v>0</v>
      </c>
      <c r="E147" s="203"/>
      <c r="F147" s="261"/>
      <c r="G147" s="219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10</v>
      </c>
      <c r="B148" s="184">
        <f>'Données projet'!D141</f>
        <v>0</v>
      </c>
      <c r="C148" s="201"/>
      <c r="D148" s="191">
        <f t="shared" ref="D148:D166" si="8">B148*C148</f>
        <v>0</v>
      </c>
      <c r="E148" s="203"/>
      <c r="F148" s="261"/>
      <c r="G148" s="219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15</v>
      </c>
      <c r="B149" s="184">
        <f>'Données projet'!D142</f>
        <v>0</v>
      </c>
      <c r="C149" s="201"/>
      <c r="D149" s="191">
        <f t="shared" si="8"/>
        <v>0</v>
      </c>
      <c r="E149" s="203"/>
      <c r="F149" s="261"/>
      <c r="G149" s="219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20</v>
      </c>
      <c r="B150" s="184">
        <f>'Données projet'!D143</f>
        <v>56</v>
      </c>
      <c r="C150" s="201">
        <v>10</v>
      </c>
      <c r="D150" s="191">
        <f t="shared" si="8"/>
        <v>560</v>
      </c>
      <c r="E150" s="203"/>
      <c r="F150" s="261"/>
      <c r="G150" s="219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25</v>
      </c>
      <c r="B151" s="184">
        <f>'Données projet'!D144</f>
        <v>0</v>
      </c>
      <c r="C151" s="201"/>
      <c r="D151" s="191">
        <f t="shared" si="8"/>
        <v>0</v>
      </c>
      <c r="E151" s="203"/>
      <c r="F151" s="261"/>
      <c r="G151" s="219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30</v>
      </c>
      <c r="B152" s="184">
        <f>'Données projet'!D145</f>
        <v>20</v>
      </c>
      <c r="C152" s="201">
        <v>10</v>
      </c>
      <c r="D152" s="191">
        <f t="shared" si="8"/>
        <v>200</v>
      </c>
      <c r="E152" s="203"/>
      <c r="F152" s="261"/>
      <c r="G152" s="219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35</v>
      </c>
      <c r="B153" s="184">
        <f>'Données projet'!D146</f>
        <v>0</v>
      </c>
      <c r="C153" s="201"/>
      <c r="D153" s="191">
        <f t="shared" si="8"/>
        <v>0</v>
      </c>
      <c r="E153" s="203"/>
      <c r="F153" s="261"/>
      <c r="G153" s="215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40</v>
      </c>
      <c r="B154" s="184">
        <f>'Données projet'!D147</f>
        <v>0</v>
      </c>
      <c r="C154" s="201"/>
      <c r="D154" s="191">
        <f t="shared" si="8"/>
        <v>0</v>
      </c>
      <c r="E154" s="203"/>
      <c r="F154" s="261"/>
      <c r="G154" s="215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45</v>
      </c>
      <c r="B155" s="184">
        <f>'Données projet'!D148</f>
        <v>266</v>
      </c>
      <c r="C155" s="201">
        <v>40</v>
      </c>
      <c r="D155" s="191">
        <f t="shared" si="8"/>
        <v>10640</v>
      </c>
      <c r="E155" s="203"/>
      <c r="F155" s="261"/>
      <c r="G155" s="215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4">
        <f>'Données projet'!D149</f>
        <v>0</v>
      </c>
      <c r="C156" s="201"/>
      <c r="D156" s="191">
        <f t="shared" si="8"/>
        <v>0</v>
      </c>
      <c r="E156" s="203"/>
      <c r="F156" s="261"/>
      <c r="G156" s="215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4">
        <f>'Données projet'!D150</f>
        <v>0</v>
      </c>
      <c r="C157" s="201"/>
      <c r="D157" s="191">
        <f t="shared" si="8"/>
        <v>0</v>
      </c>
      <c r="E157" s="203"/>
      <c r="F157" s="261"/>
      <c r="G157" s="215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4">
        <f>'Données projet'!D151</f>
        <v>0</v>
      </c>
      <c r="C158" s="201"/>
      <c r="D158" s="191">
        <f t="shared" si="8"/>
        <v>0</v>
      </c>
      <c r="E158" s="203"/>
      <c r="F158" s="261"/>
      <c r="G158" s="215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4">
        <f>'Données projet'!D152</f>
        <v>0</v>
      </c>
      <c r="C159" s="201"/>
      <c r="D159" s="191">
        <f t="shared" si="8"/>
        <v>0</v>
      </c>
      <c r="E159" s="203"/>
      <c r="F159" s="261"/>
      <c r="G159" s="215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4">
        <f>'Données projet'!D153</f>
        <v>0</v>
      </c>
      <c r="C160" s="201"/>
      <c r="D160" s="191">
        <f t="shared" si="8"/>
        <v>0</v>
      </c>
      <c r="E160" s="203"/>
      <c r="F160" s="261"/>
      <c r="G160" s="215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4">
        <f>'Données projet'!D154</f>
        <v>0</v>
      </c>
      <c r="C161" s="203"/>
      <c r="D161" s="191">
        <f t="shared" si="8"/>
        <v>0</v>
      </c>
      <c r="E161" s="203"/>
      <c r="F161" s="261"/>
      <c r="G161" s="215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4">
        <f>'Données projet'!D155</f>
        <v>0</v>
      </c>
      <c r="C162" s="201"/>
      <c r="D162" s="191">
        <f t="shared" si="8"/>
        <v>0</v>
      </c>
      <c r="E162" s="203"/>
      <c r="F162" s="261"/>
      <c r="G162" s="215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4">
        <f>'Données projet'!D156</f>
        <v>0</v>
      </c>
      <c r="C163" s="201"/>
      <c r="D163" s="191">
        <f t="shared" si="8"/>
        <v>0</v>
      </c>
      <c r="E163" s="203"/>
      <c r="F163" s="261"/>
      <c r="G163" s="215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4">
        <f>'Données projet'!D157</f>
        <v>0</v>
      </c>
      <c r="C164" s="201"/>
      <c r="D164" s="191">
        <f t="shared" si="8"/>
        <v>0</v>
      </c>
      <c r="E164" s="203"/>
      <c r="F164" s="261"/>
      <c r="G164" s="215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4">
        <f>'Données projet'!D158</f>
        <v>0</v>
      </c>
      <c r="C165" s="201"/>
      <c r="D165" s="191">
        <f t="shared" si="8"/>
        <v>0</v>
      </c>
      <c r="E165" s="203"/>
      <c r="F165" s="261"/>
      <c r="G165" s="215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4">
        <f>'Données projet'!D159</f>
        <v>0</v>
      </c>
      <c r="C166" s="201"/>
      <c r="D166" s="191">
        <f t="shared" si="8"/>
        <v>0</v>
      </c>
      <c r="E166" s="203"/>
      <c r="F166" s="261"/>
      <c r="G166" s="215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8"/>
      <c r="G167" s="215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8"/>
      <c r="G168" s="215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3" t="str">
        <f>IF('Données projet'!B14="","",'Données projet'!B14)</f>
        <v>Tulipier de Virginie</v>
      </c>
      <c r="C169" s="5"/>
      <c r="D169" s="5"/>
      <c r="E169" s="5"/>
      <c r="F169" s="258"/>
      <c r="G169" s="215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8"/>
      <c r="G170" s="215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7">
        <v>0</v>
      </c>
      <c r="B172" s="210" t="s">
        <v>132</v>
      </c>
      <c r="C172" s="209" t="s">
        <v>132</v>
      </c>
      <c r="D172" s="208" t="s">
        <v>132</v>
      </c>
      <c r="E172" s="203"/>
      <c r="F172" s="259"/>
      <c r="G172" s="215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7">
        <v>1</v>
      </c>
      <c r="B173" s="210" t="s">
        <v>132</v>
      </c>
      <c r="C173" s="209" t="s">
        <v>132</v>
      </c>
      <c r="D173" s="208" t="s">
        <v>132</v>
      </c>
      <c r="E173" s="203"/>
      <c r="F173" s="259"/>
      <c r="G173" s="218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7">
        <v>2</v>
      </c>
      <c r="B174" s="210" t="s">
        <v>132</v>
      </c>
      <c r="C174" s="209" t="s">
        <v>132</v>
      </c>
      <c r="D174" s="208" t="s">
        <v>132</v>
      </c>
      <c r="E174" s="203"/>
      <c r="F174" s="259"/>
      <c r="G174" s="218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7">
        <v>3</v>
      </c>
      <c r="B175" s="210" t="s">
        <v>132</v>
      </c>
      <c r="C175" s="209" t="s">
        <v>132</v>
      </c>
      <c r="D175" s="208" t="s">
        <v>132</v>
      </c>
      <c r="E175" s="203"/>
      <c r="F175" s="259"/>
      <c r="G175" s="218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7">
        <v>4</v>
      </c>
      <c r="B176" s="210" t="s">
        <v>132</v>
      </c>
      <c r="C176" s="209" t="s">
        <v>132</v>
      </c>
      <c r="D176" s="208" t="s">
        <v>132</v>
      </c>
      <c r="E176" s="203"/>
      <c r="F176" s="259"/>
      <c r="G176" s="218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7">
        <v>5</v>
      </c>
      <c r="B177" s="210" t="s">
        <v>132</v>
      </c>
      <c r="C177" s="209" t="s">
        <v>132</v>
      </c>
      <c r="D177" s="208" t="s">
        <v>132</v>
      </c>
      <c r="E177" s="203"/>
      <c r="F177" s="259"/>
      <c r="G177" s="219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9">
        <f>'Données projet'!A166</f>
        <v>20</v>
      </c>
      <c r="B178" s="190">
        <f>'Données projet'!D166</f>
        <v>53</v>
      </c>
      <c r="C178" s="203">
        <v>10</v>
      </c>
      <c r="D178" s="188">
        <f>B178*C178</f>
        <v>530</v>
      </c>
      <c r="E178" s="203"/>
      <c r="F178" s="260"/>
      <c r="G178" s="219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9">
        <f>'Données projet'!A167</f>
        <v>30</v>
      </c>
      <c r="B179" s="190">
        <f>'Données projet'!D167</f>
        <v>0</v>
      </c>
      <c r="C179" s="201"/>
      <c r="D179" s="188">
        <f t="shared" ref="D179:D197" si="9">B179*C179</f>
        <v>0</v>
      </c>
      <c r="E179" s="203"/>
      <c r="F179" s="260"/>
      <c r="G179" s="219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9">
        <f>'Données projet'!A168</f>
        <v>40</v>
      </c>
      <c r="B180" s="190">
        <f>'Données projet'!D168</f>
        <v>135</v>
      </c>
      <c r="C180" s="201">
        <v>15</v>
      </c>
      <c r="D180" s="188">
        <f t="shared" si="9"/>
        <v>2025</v>
      </c>
      <c r="E180" s="203"/>
      <c r="F180" s="260"/>
      <c r="G180" s="219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9">
        <f>'Données projet'!A169</f>
        <v>50</v>
      </c>
      <c r="B181" s="190">
        <f>'Données projet'!D169</f>
        <v>57</v>
      </c>
      <c r="C181" s="201">
        <v>20</v>
      </c>
      <c r="D181" s="188">
        <f t="shared" si="9"/>
        <v>1140</v>
      </c>
      <c r="E181" s="203"/>
      <c r="F181" s="260"/>
      <c r="G181" s="219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9">
        <f>'Données projet'!A170</f>
        <v>60</v>
      </c>
      <c r="B182" s="190">
        <f>'Données projet'!D170</f>
        <v>0</v>
      </c>
      <c r="C182" s="201"/>
      <c r="D182" s="188">
        <f t="shared" si="9"/>
        <v>0</v>
      </c>
      <c r="E182" s="203"/>
      <c r="F182" s="260"/>
      <c r="G182" s="219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9">
        <f>'Données projet'!A171</f>
        <v>70</v>
      </c>
      <c r="B183" s="190">
        <f>'Données projet'!D171</f>
        <v>0</v>
      </c>
      <c r="C183" s="201"/>
      <c r="D183" s="188">
        <f t="shared" si="9"/>
        <v>0</v>
      </c>
      <c r="E183" s="203"/>
      <c r="F183" s="260"/>
      <c r="G183" s="219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9">
        <f>'Données projet'!A172</f>
        <v>80</v>
      </c>
      <c r="B184" s="190">
        <f>'Données projet'!D172</f>
        <v>378.20512820512818</v>
      </c>
      <c r="C184" s="201">
        <v>80</v>
      </c>
      <c r="D184" s="188">
        <f t="shared" si="9"/>
        <v>30256.410256410254</v>
      </c>
      <c r="E184" s="203"/>
      <c r="F184" s="260"/>
      <c r="G184" s="220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9">
        <f>'Données projet'!A173</f>
        <v>0</v>
      </c>
      <c r="B185" s="190">
        <f>'Données projet'!D173</f>
        <v>0</v>
      </c>
      <c r="C185" s="201"/>
      <c r="D185" s="188">
        <f t="shared" si="9"/>
        <v>0</v>
      </c>
      <c r="E185" s="203"/>
      <c r="F185" s="260"/>
      <c r="G185" s="220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9">
        <f>'Données projet'!A174</f>
        <v>0</v>
      </c>
      <c r="B186" s="190">
        <f>'Données projet'!D174</f>
        <v>0</v>
      </c>
      <c r="C186" s="201"/>
      <c r="D186" s="188">
        <f t="shared" si="9"/>
        <v>0</v>
      </c>
      <c r="E186" s="203"/>
      <c r="F186" s="260"/>
      <c r="G186" s="220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9">
        <f>'Données projet'!A175</f>
        <v>0</v>
      </c>
      <c r="B187" s="190">
        <f>'Données projet'!D175</f>
        <v>0</v>
      </c>
      <c r="C187" s="201"/>
      <c r="D187" s="188">
        <f t="shared" si="9"/>
        <v>0</v>
      </c>
      <c r="E187" s="203"/>
      <c r="F187" s="260"/>
      <c r="G187" s="220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9">
        <f>'Données projet'!A176</f>
        <v>0</v>
      </c>
      <c r="B188" s="190">
        <f>'Données projet'!D176</f>
        <v>0</v>
      </c>
      <c r="C188" s="201"/>
      <c r="D188" s="188">
        <f t="shared" si="9"/>
        <v>0</v>
      </c>
      <c r="E188" s="203"/>
      <c r="F188" s="260"/>
      <c r="G188" s="220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9">
        <f>'Données projet'!A177</f>
        <v>0</v>
      </c>
      <c r="B189" s="190">
        <f>'Données projet'!D177</f>
        <v>0</v>
      </c>
      <c r="C189" s="201"/>
      <c r="D189" s="188">
        <f t="shared" si="9"/>
        <v>0</v>
      </c>
      <c r="E189" s="203"/>
      <c r="F189" s="260"/>
      <c r="G189" s="220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9">
        <f>'Données projet'!A178</f>
        <v>0</v>
      </c>
      <c r="B190" s="190">
        <f>'Données projet'!D178</f>
        <v>0</v>
      </c>
      <c r="C190" s="201"/>
      <c r="D190" s="188">
        <f t="shared" si="9"/>
        <v>0</v>
      </c>
      <c r="E190" s="203"/>
      <c r="F190" s="260"/>
      <c r="G190" s="220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9">
        <f>'Données projet'!A179</f>
        <v>0</v>
      </c>
      <c r="B191" s="190">
        <f>'Données projet'!D179</f>
        <v>0</v>
      </c>
      <c r="C191" s="201"/>
      <c r="D191" s="188">
        <f t="shared" si="9"/>
        <v>0</v>
      </c>
      <c r="E191" s="203"/>
      <c r="F191" s="260"/>
      <c r="G191" s="220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9">
        <f>'Données projet'!A180</f>
        <v>0</v>
      </c>
      <c r="B192" s="190">
        <f>'Données projet'!D180</f>
        <v>0</v>
      </c>
      <c r="C192" s="203"/>
      <c r="D192" s="188">
        <f t="shared" si="9"/>
        <v>0</v>
      </c>
      <c r="E192" s="203"/>
      <c r="F192" s="260"/>
      <c r="G192" s="220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9">
        <f>'Données projet'!A181</f>
        <v>0</v>
      </c>
      <c r="B193" s="190">
        <f>'Données projet'!D181</f>
        <v>0</v>
      </c>
      <c r="C193" s="201"/>
      <c r="D193" s="188">
        <f t="shared" si="9"/>
        <v>0</v>
      </c>
      <c r="E193" s="203"/>
      <c r="F193" s="260"/>
      <c r="G193" s="220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9">
        <f>'Données projet'!A182</f>
        <v>0</v>
      </c>
      <c r="B194" s="190">
        <f>'Données projet'!D182</f>
        <v>0</v>
      </c>
      <c r="C194" s="201"/>
      <c r="D194" s="188">
        <f t="shared" si="9"/>
        <v>0</v>
      </c>
      <c r="E194" s="203"/>
      <c r="F194" s="260"/>
      <c r="G194" s="220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9">
        <f>'Données projet'!A183</f>
        <v>0</v>
      </c>
      <c r="B195" s="190">
        <f>'Données projet'!D183</f>
        <v>0</v>
      </c>
      <c r="C195" s="201"/>
      <c r="D195" s="188">
        <f t="shared" si="9"/>
        <v>0</v>
      </c>
      <c r="E195" s="203"/>
      <c r="F195" s="260"/>
      <c r="G195" s="220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9">
        <f>'Données projet'!A184</f>
        <v>0</v>
      </c>
      <c r="B196" s="190">
        <f>'Données projet'!D184</f>
        <v>0</v>
      </c>
      <c r="C196" s="201"/>
      <c r="D196" s="188">
        <f t="shared" si="9"/>
        <v>0</v>
      </c>
      <c r="E196" s="203"/>
      <c r="F196" s="260"/>
      <c r="G196" s="220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9">
        <f>'Données projet'!A185</f>
        <v>0</v>
      </c>
      <c r="B197" s="190">
        <f>'Données projet'!D185</f>
        <v>0</v>
      </c>
      <c r="C197" s="201"/>
      <c r="D197" s="188">
        <f t="shared" si="9"/>
        <v>0</v>
      </c>
      <c r="E197" s="203"/>
      <c r="F197" s="260"/>
      <c r="G197" s="220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8"/>
      <c r="G198" s="220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8"/>
      <c r="G199" s="220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3" t="str">
        <f>IF('Données projet'!$B$15="","",'Données projet'!$B$15)</f>
        <v>Bouleau verruqueux</v>
      </c>
      <c r="C200" s="5"/>
      <c r="D200" s="5"/>
      <c r="E200" s="5"/>
      <c r="F200" s="258"/>
      <c r="G200" s="220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8"/>
      <c r="G201" s="220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7">
        <v>0</v>
      </c>
      <c r="B203" s="210" t="s">
        <v>132</v>
      </c>
      <c r="C203" s="209" t="s">
        <v>132</v>
      </c>
      <c r="D203" s="208" t="s">
        <v>132</v>
      </c>
      <c r="E203" s="203"/>
      <c r="F203" s="259"/>
      <c r="G203" s="220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7">
        <v>1</v>
      </c>
      <c r="B204" s="210" t="s">
        <v>132</v>
      </c>
      <c r="C204" s="209" t="s">
        <v>132</v>
      </c>
      <c r="D204" s="208" t="s">
        <v>132</v>
      </c>
      <c r="E204" s="203"/>
      <c r="F204" s="259"/>
      <c r="G204" s="218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7">
        <v>2</v>
      </c>
      <c r="B205" s="210" t="s">
        <v>132</v>
      </c>
      <c r="C205" s="209" t="s">
        <v>132</v>
      </c>
      <c r="D205" s="208" t="s">
        <v>132</v>
      </c>
      <c r="E205" s="203"/>
      <c r="F205" s="259"/>
      <c r="G205" s="218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7">
        <v>3</v>
      </c>
      <c r="B206" s="210" t="s">
        <v>132</v>
      </c>
      <c r="C206" s="209" t="s">
        <v>132</v>
      </c>
      <c r="D206" s="208" t="s">
        <v>132</v>
      </c>
      <c r="E206" s="203"/>
      <c r="F206" s="259"/>
      <c r="G206" s="218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7">
        <v>4</v>
      </c>
      <c r="B207" s="210" t="s">
        <v>132</v>
      </c>
      <c r="C207" s="209" t="s">
        <v>132</v>
      </c>
      <c r="D207" s="208" t="s">
        <v>132</v>
      </c>
      <c r="E207" s="203"/>
      <c r="F207" s="259"/>
      <c r="G207" s="218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7">
        <v>5</v>
      </c>
      <c r="B208" s="210" t="s">
        <v>132</v>
      </c>
      <c r="C208" s="209" t="s">
        <v>132</v>
      </c>
      <c r="D208" s="208" t="s">
        <v>132</v>
      </c>
      <c r="E208" s="203"/>
      <c r="F208" s="259"/>
      <c r="G208" s="219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9">
        <f>'Données projet'!A192</f>
        <v>10</v>
      </c>
      <c r="B209" s="190">
        <f>'Données projet'!D192</f>
        <v>0</v>
      </c>
      <c r="C209" s="201"/>
      <c r="D209" s="188">
        <f>B209*C209</f>
        <v>0</v>
      </c>
      <c r="E209" s="203"/>
      <c r="F209" s="260"/>
      <c r="G209" s="219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9">
        <f>'Données projet'!A193</f>
        <v>15</v>
      </c>
      <c r="B210" s="190">
        <f>'Données projet'!D193</f>
        <v>0</v>
      </c>
      <c r="C210" s="201"/>
      <c r="D210" s="188">
        <f t="shared" ref="D210:D228" si="10">B210*C210</f>
        <v>0</v>
      </c>
      <c r="E210" s="203"/>
      <c r="F210" s="260"/>
      <c r="G210" s="219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9">
        <f>'Données projet'!A194</f>
        <v>20</v>
      </c>
      <c r="B211" s="190">
        <f>'Données projet'!D194</f>
        <v>40</v>
      </c>
      <c r="C211" s="201">
        <v>10</v>
      </c>
      <c r="D211" s="188">
        <f t="shared" si="10"/>
        <v>400</v>
      </c>
      <c r="E211" s="203"/>
      <c r="F211" s="260"/>
      <c r="G211" s="219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9">
        <f>'Données projet'!A195</f>
        <v>25</v>
      </c>
      <c r="B212" s="190">
        <f>'Données projet'!D195</f>
        <v>0</v>
      </c>
      <c r="C212" s="201"/>
      <c r="D212" s="188">
        <f t="shared" si="10"/>
        <v>0</v>
      </c>
      <c r="E212" s="203"/>
      <c r="F212" s="260"/>
      <c r="G212" s="219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9">
        <f>'Données projet'!A196</f>
        <v>30</v>
      </c>
      <c r="B213" s="190">
        <f>'Données projet'!D196</f>
        <v>0</v>
      </c>
      <c r="C213" s="201"/>
      <c r="D213" s="188">
        <f t="shared" si="10"/>
        <v>0</v>
      </c>
      <c r="E213" s="203"/>
      <c r="F213" s="260"/>
      <c r="G213" s="219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9">
        <f>'Données projet'!A197</f>
        <v>35</v>
      </c>
      <c r="B214" s="190">
        <f>'Données projet'!D197</f>
        <v>76</v>
      </c>
      <c r="C214" s="201">
        <v>15</v>
      </c>
      <c r="D214" s="188">
        <f t="shared" si="10"/>
        <v>1140</v>
      </c>
      <c r="E214" s="203"/>
      <c r="F214" s="260"/>
      <c r="G214" s="219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9">
        <f>'Données projet'!A198</f>
        <v>40</v>
      </c>
      <c r="B215" s="190">
        <f>'Données projet'!D198</f>
        <v>0</v>
      </c>
      <c r="C215" s="201"/>
      <c r="D215" s="188">
        <f t="shared" si="10"/>
        <v>0</v>
      </c>
      <c r="E215" s="203"/>
      <c r="F215" s="260"/>
      <c r="G215" s="220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9">
        <f>'Données projet'!A199</f>
        <v>45</v>
      </c>
      <c r="B216" s="190">
        <f>'Données projet'!D199</f>
        <v>0</v>
      </c>
      <c r="C216" s="201"/>
      <c r="D216" s="188">
        <f t="shared" si="10"/>
        <v>0</v>
      </c>
      <c r="E216" s="203"/>
      <c r="F216" s="260"/>
      <c r="G216" s="220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9">
        <f>'Données projet'!A200</f>
        <v>50</v>
      </c>
      <c r="B217" s="190">
        <f>'Données projet'!D200</f>
        <v>0</v>
      </c>
      <c r="C217" s="201"/>
      <c r="D217" s="188">
        <f t="shared" si="10"/>
        <v>0</v>
      </c>
      <c r="E217" s="203"/>
      <c r="F217" s="260"/>
      <c r="G217" s="220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9">
        <f>'Données projet'!A201</f>
        <v>55</v>
      </c>
      <c r="B218" s="190">
        <f>'Données projet'!D201</f>
        <v>0</v>
      </c>
      <c r="C218" s="201"/>
      <c r="D218" s="188">
        <f t="shared" si="10"/>
        <v>0</v>
      </c>
      <c r="E218" s="203"/>
      <c r="F218" s="260"/>
      <c r="G218" s="220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9">
        <f>'Données projet'!A202</f>
        <v>60</v>
      </c>
      <c r="B219" s="190">
        <f>'Données projet'!D202</f>
        <v>303</v>
      </c>
      <c r="C219" s="201">
        <v>40</v>
      </c>
      <c r="D219" s="188">
        <f t="shared" si="10"/>
        <v>12120</v>
      </c>
      <c r="E219" s="203"/>
      <c r="F219" s="260"/>
      <c r="G219" s="220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9">
        <f>'Données projet'!A203</f>
        <v>0</v>
      </c>
      <c r="B220" s="190">
        <f>'Données projet'!D203</f>
        <v>0</v>
      </c>
      <c r="C220" s="201"/>
      <c r="D220" s="188">
        <f t="shared" si="10"/>
        <v>0</v>
      </c>
      <c r="E220" s="203"/>
      <c r="F220" s="260"/>
      <c r="G220" s="220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9">
        <f>'Données projet'!A204</f>
        <v>0</v>
      </c>
      <c r="B221" s="190">
        <f>'Données projet'!D204</f>
        <v>0</v>
      </c>
      <c r="C221" s="201"/>
      <c r="D221" s="188">
        <f t="shared" si="10"/>
        <v>0</v>
      </c>
      <c r="E221" s="203"/>
      <c r="F221" s="260"/>
      <c r="G221" s="220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9">
        <f>'Données projet'!A205</f>
        <v>0</v>
      </c>
      <c r="B222" s="190">
        <f>'Données projet'!D205</f>
        <v>0</v>
      </c>
      <c r="C222" s="203"/>
      <c r="D222" s="188">
        <f t="shared" si="10"/>
        <v>0</v>
      </c>
      <c r="E222" s="203"/>
      <c r="F222" s="260"/>
      <c r="G222" s="220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9">
        <f>'Données projet'!A206</f>
        <v>0</v>
      </c>
      <c r="B223" s="190">
        <f>'Données projet'!D206</f>
        <v>0</v>
      </c>
      <c r="C223" s="203"/>
      <c r="D223" s="188">
        <f t="shared" si="10"/>
        <v>0</v>
      </c>
      <c r="E223" s="203"/>
      <c r="F223" s="260"/>
      <c r="G223" s="220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9">
        <f>'Données projet'!A207</f>
        <v>0</v>
      </c>
      <c r="B224" s="190">
        <f>'Données projet'!D207</f>
        <v>0</v>
      </c>
      <c r="C224" s="203"/>
      <c r="D224" s="188">
        <f t="shared" si="10"/>
        <v>0</v>
      </c>
      <c r="E224" s="203"/>
      <c r="F224" s="260"/>
      <c r="G224" s="220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9">
        <f>'Données projet'!A208</f>
        <v>0</v>
      </c>
      <c r="B225" s="190">
        <f>'Données projet'!D208</f>
        <v>0</v>
      </c>
      <c r="C225" s="203"/>
      <c r="D225" s="188">
        <f t="shared" si="10"/>
        <v>0</v>
      </c>
      <c r="E225" s="203"/>
      <c r="F225" s="260"/>
      <c r="G225" s="220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9">
        <f>'Données projet'!A209</f>
        <v>0</v>
      </c>
      <c r="B226" s="190">
        <f>'Données projet'!D209</f>
        <v>0</v>
      </c>
      <c r="C226" s="203"/>
      <c r="D226" s="188">
        <f t="shared" si="10"/>
        <v>0</v>
      </c>
      <c r="E226" s="203"/>
      <c r="F226" s="260"/>
      <c r="G226" s="220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9">
        <f>'Données projet'!A210</f>
        <v>0</v>
      </c>
      <c r="B227" s="190">
        <f>'Données projet'!D210</f>
        <v>0</v>
      </c>
      <c r="C227" s="203"/>
      <c r="D227" s="188">
        <f t="shared" si="10"/>
        <v>0</v>
      </c>
      <c r="E227" s="203"/>
      <c r="F227" s="260"/>
      <c r="G227" s="220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9">
        <f>'Données projet'!A211</f>
        <v>0</v>
      </c>
      <c r="B228" s="190">
        <f>'Données projet'!D211</f>
        <v>0</v>
      </c>
      <c r="C228" s="203"/>
      <c r="D228" s="188">
        <f t="shared" si="10"/>
        <v>0</v>
      </c>
      <c r="E228" s="203"/>
      <c r="F228" s="260"/>
      <c r="G228" s="220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7">
        <v>0</v>
      </c>
      <c r="B234" s="210" t="s">
        <v>132</v>
      </c>
      <c r="C234" s="209" t="s">
        <v>132</v>
      </c>
      <c r="D234" s="208" t="s">
        <v>132</v>
      </c>
      <c r="E234" s="203"/>
      <c r="F234" s="259"/>
      <c r="G234" s="220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7">
        <v>1</v>
      </c>
      <c r="B235" s="210" t="s">
        <v>132</v>
      </c>
      <c r="C235" s="209" t="s">
        <v>132</v>
      </c>
      <c r="D235" s="208" t="s">
        <v>132</v>
      </c>
      <c r="E235" s="203"/>
      <c r="F235" s="259"/>
      <c r="G235" s="218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7">
        <v>2</v>
      </c>
      <c r="B236" s="210" t="s">
        <v>132</v>
      </c>
      <c r="C236" s="209" t="s">
        <v>132</v>
      </c>
      <c r="D236" s="208" t="s">
        <v>132</v>
      </c>
      <c r="E236" s="203"/>
      <c r="F236" s="259"/>
      <c r="G236" s="218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7">
        <v>3</v>
      </c>
      <c r="B237" s="210" t="s">
        <v>132</v>
      </c>
      <c r="C237" s="209" t="s">
        <v>132</v>
      </c>
      <c r="D237" s="208" t="s">
        <v>132</v>
      </c>
      <c r="E237" s="203"/>
      <c r="F237" s="259"/>
      <c r="G237" s="218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7">
        <v>4</v>
      </c>
      <c r="B238" s="210" t="s">
        <v>132</v>
      </c>
      <c r="C238" s="209" t="s">
        <v>132</v>
      </c>
      <c r="D238" s="208" t="s">
        <v>132</v>
      </c>
      <c r="E238" s="203"/>
      <c r="F238" s="259"/>
      <c r="G238" s="218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7">
        <v>5</v>
      </c>
      <c r="B239" s="210" t="s">
        <v>132</v>
      </c>
      <c r="C239" s="209" t="s">
        <v>132</v>
      </c>
      <c r="D239" s="208" t="s">
        <v>132</v>
      </c>
      <c r="E239" s="203"/>
      <c r="F239" s="259"/>
      <c r="G239" s="219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60"/>
      <c r="G240" s="219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1">B241*C241</f>
        <v>0</v>
      </c>
      <c r="E241" s="203"/>
      <c r="F241" s="260"/>
      <c r="G241" s="219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9">
        <f>'Données projet'!A220</f>
        <v>0</v>
      </c>
      <c r="B242" s="190">
        <f>'Données projet'!D220</f>
        <v>0</v>
      </c>
      <c r="C242" s="203"/>
      <c r="D242" s="188">
        <f t="shared" si="11"/>
        <v>0</v>
      </c>
      <c r="E242" s="203"/>
      <c r="F242" s="260"/>
      <c r="G242" s="219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9">
        <f>'Données projet'!A221</f>
        <v>0</v>
      </c>
      <c r="B243" s="190">
        <f>'Données projet'!D221</f>
        <v>0</v>
      </c>
      <c r="C243" s="203"/>
      <c r="D243" s="188">
        <f t="shared" si="11"/>
        <v>0</v>
      </c>
      <c r="E243" s="203"/>
      <c r="F243" s="260"/>
      <c r="G243" s="219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9">
        <f>'Données projet'!A222</f>
        <v>0</v>
      </c>
      <c r="B244" s="190">
        <f>'Données projet'!D222</f>
        <v>0</v>
      </c>
      <c r="C244" s="203"/>
      <c r="D244" s="188">
        <f t="shared" si="11"/>
        <v>0</v>
      </c>
      <c r="E244" s="203"/>
      <c r="F244" s="260"/>
      <c r="G244" s="219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9">
        <f>'Données projet'!A223</f>
        <v>0</v>
      </c>
      <c r="B245" s="190">
        <f>'Données projet'!D223</f>
        <v>0</v>
      </c>
      <c r="C245" s="203"/>
      <c r="D245" s="188">
        <f t="shared" si="11"/>
        <v>0</v>
      </c>
      <c r="E245" s="203"/>
      <c r="F245" s="260"/>
      <c r="G245" s="219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9">
        <f>'Données projet'!A224</f>
        <v>0</v>
      </c>
      <c r="B246" s="190">
        <f>'Données projet'!D224</f>
        <v>0</v>
      </c>
      <c r="C246" s="203"/>
      <c r="D246" s="188">
        <f t="shared" si="11"/>
        <v>0</v>
      </c>
      <c r="E246" s="203"/>
      <c r="F246" s="260"/>
      <c r="G246" s="220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9">
        <f>'Données projet'!A225</f>
        <v>0</v>
      </c>
      <c r="B247" s="190">
        <f>'Données projet'!D225</f>
        <v>0</v>
      </c>
      <c r="C247" s="203"/>
      <c r="D247" s="188">
        <f t="shared" si="11"/>
        <v>0</v>
      </c>
      <c r="E247" s="203"/>
      <c r="F247" s="260"/>
      <c r="G247" s="220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9">
        <f>'Données projet'!A226</f>
        <v>0</v>
      </c>
      <c r="B248" s="190">
        <f>'Données projet'!D226</f>
        <v>0</v>
      </c>
      <c r="C248" s="203"/>
      <c r="D248" s="188">
        <f t="shared" si="11"/>
        <v>0</v>
      </c>
      <c r="E248" s="203"/>
      <c r="F248" s="260"/>
      <c r="G248" s="220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9">
        <f>'Données projet'!A227</f>
        <v>0</v>
      </c>
      <c r="B249" s="190">
        <f>'Données projet'!D227</f>
        <v>0</v>
      </c>
      <c r="C249" s="203"/>
      <c r="D249" s="188">
        <f t="shared" si="11"/>
        <v>0</v>
      </c>
      <c r="E249" s="203"/>
      <c r="F249" s="260"/>
      <c r="G249" s="220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9">
        <f>'Données projet'!A228</f>
        <v>0</v>
      </c>
      <c r="B250" s="190">
        <f>'Données projet'!D228</f>
        <v>0</v>
      </c>
      <c r="C250" s="203"/>
      <c r="D250" s="188">
        <f t="shared" si="11"/>
        <v>0</v>
      </c>
      <c r="E250" s="203"/>
      <c r="F250" s="260"/>
      <c r="G250" s="220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9">
        <f>'Données projet'!A229</f>
        <v>0</v>
      </c>
      <c r="B251" s="190">
        <f>'Données projet'!D229</f>
        <v>0</v>
      </c>
      <c r="C251" s="203"/>
      <c r="D251" s="188">
        <f t="shared" si="11"/>
        <v>0</v>
      </c>
      <c r="E251" s="203"/>
      <c r="F251" s="260"/>
      <c r="G251" s="220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9">
        <f>'Données projet'!A230</f>
        <v>0</v>
      </c>
      <c r="B252" s="190">
        <f>'Données projet'!D230</f>
        <v>0</v>
      </c>
      <c r="C252" s="203"/>
      <c r="D252" s="188">
        <f t="shared" si="11"/>
        <v>0</v>
      </c>
      <c r="E252" s="203"/>
      <c r="F252" s="260"/>
      <c r="G252" s="220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9">
        <f>'Données projet'!A231</f>
        <v>0</v>
      </c>
      <c r="B253" s="190">
        <f>'Données projet'!D231</f>
        <v>0</v>
      </c>
      <c r="C253" s="203"/>
      <c r="D253" s="188">
        <f t="shared" si="11"/>
        <v>0</v>
      </c>
      <c r="E253" s="203"/>
      <c r="F253" s="260"/>
      <c r="G253" s="220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9">
        <f>'Données projet'!A232</f>
        <v>0</v>
      </c>
      <c r="B254" s="190">
        <f>'Données projet'!D232</f>
        <v>0</v>
      </c>
      <c r="C254" s="203"/>
      <c r="D254" s="188">
        <f t="shared" si="11"/>
        <v>0</v>
      </c>
      <c r="E254" s="203"/>
      <c r="F254" s="260"/>
      <c r="G254" s="220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9">
        <f>'Données projet'!A233</f>
        <v>0</v>
      </c>
      <c r="B255" s="190">
        <f>'Données projet'!D233</f>
        <v>0</v>
      </c>
      <c r="C255" s="203"/>
      <c r="D255" s="188">
        <f t="shared" si="11"/>
        <v>0</v>
      </c>
      <c r="E255" s="203"/>
      <c r="F255" s="260"/>
      <c r="G255" s="220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9">
        <f>'Données projet'!A234</f>
        <v>0</v>
      </c>
      <c r="B256" s="190">
        <f>'Données projet'!D234</f>
        <v>0</v>
      </c>
      <c r="C256" s="203"/>
      <c r="D256" s="188">
        <f t="shared" si="11"/>
        <v>0</v>
      </c>
      <c r="E256" s="203"/>
      <c r="F256" s="260"/>
      <c r="G256" s="220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9">
        <f>'Données projet'!A235</f>
        <v>0</v>
      </c>
      <c r="B257" s="190">
        <f>'Données projet'!D235</f>
        <v>0</v>
      </c>
      <c r="C257" s="203"/>
      <c r="D257" s="188">
        <f t="shared" si="11"/>
        <v>0</v>
      </c>
      <c r="E257" s="203"/>
      <c r="F257" s="260"/>
      <c r="G257" s="220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9">
        <f>'Données projet'!A236</f>
        <v>0</v>
      </c>
      <c r="B258" s="190">
        <f>'Données projet'!D236</f>
        <v>0</v>
      </c>
      <c r="C258" s="203"/>
      <c r="D258" s="188">
        <f t="shared" si="11"/>
        <v>0</v>
      </c>
      <c r="E258" s="203"/>
      <c r="F258" s="260"/>
      <c r="G258" s="220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9">
        <f>'Données projet'!A237</f>
        <v>0</v>
      </c>
      <c r="B259" s="190">
        <f>'Données projet'!D237</f>
        <v>0</v>
      </c>
      <c r="C259" s="203"/>
      <c r="D259" s="188">
        <f t="shared" si="11"/>
        <v>0</v>
      </c>
      <c r="E259" s="203"/>
      <c r="F259" s="260"/>
      <c r="G259" s="220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7">
        <v>0</v>
      </c>
      <c r="B265" s="210" t="s">
        <v>132</v>
      </c>
      <c r="C265" s="209" t="s">
        <v>132</v>
      </c>
      <c r="D265" s="208" t="s">
        <v>132</v>
      </c>
      <c r="E265" s="203"/>
      <c r="F265" s="259"/>
      <c r="G265" s="220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7">
        <v>1</v>
      </c>
      <c r="B266" s="210" t="s">
        <v>132</v>
      </c>
      <c r="C266" s="209" t="s">
        <v>132</v>
      </c>
      <c r="D266" s="208" t="s">
        <v>132</v>
      </c>
      <c r="E266" s="203"/>
      <c r="F266" s="259"/>
      <c r="G266" s="218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7">
        <v>2</v>
      </c>
      <c r="B267" s="210" t="s">
        <v>132</v>
      </c>
      <c r="C267" s="209" t="s">
        <v>132</v>
      </c>
      <c r="D267" s="208" t="s">
        <v>132</v>
      </c>
      <c r="E267" s="203"/>
      <c r="F267" s="259"/>
      <c r="G267" s="218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7">
        <v>3</v>
      </c>
      <c r="B268" s="210" t="s">
        <v>132</v>
      </c>
      <c r="C268" s="209" t="s">
        <v>132</v>
      </c>
      <c r="D268" s="208" t="s">
        <v>132</v>
      </c>
      <c r="E268" s="203"/>
      <c r="F268" s="259"/>
      <c r="G268" s="218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7">
        <v>4</v>
      </c>
      <c r="B269" s="210" t="s">
        <v>132</v>
      </c>
      <c r="C269" s="209" t="s">
        <v>132</v>
      </c>
      <c r="D269" s="208" t="s">
        <v>132</v>
      </c>
      <c r="E269" s="203"/>
      <c r="F269" s="259"/>
      <c r="G269" s="218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7">
        <v>5</v>
      </c>
      <c r="B270" s="210" t="s">
        <v>132</v>
      </c>
      <c r="C270" s="209" t="s">
        <v>132</v>
      </c>
      <c r="D270" s="208" t="s">
        <v>132</v>
      </c>
      <c r="E270" s="203"/>
      <c r="F270" s="259"/>
      <c r="G270" s="219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60"/>
      <c r="G271" s="219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2">B272*C272</f>
        <v>0</v>
      </c>
      <c r="E272" s="203"/>
      <c r="F272" s="260"/>
      <c r="G272" s="219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9">
        <f>'Données projet'!A246</f>
        <v>0</v>
      </c>
      <c r="B273" s="190">
        <f>'Données projet'!D246</f>
        <v>0</v>
      </c>
      <c r="C273" s="201"/>
      <c r="D273" s="188">
        <f t="shared" si="12"/>
        <v>0</v>
      </c>
      <c r="E273" s="203"/>
      <c r="F273" s="260"/>
      <c r="G273" s="219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9">
        <f>'Données projet'!A247</f>
        <v>0</v>
      </c>
      <c r="B274" s="190">
        <f>'Données projet'!D247</f>
        <v>0</v>
      </c>
      <c r="C274" s="201"/>
      <c r="D274" s="188">
        <f t="shared" si="12"/>
        <v>0</v>
      </c>
      <c r="E274" s="203"/>
      <c r="F274" s="260"/>
      <c r="G274" s="219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9">
        <f>'Données projet'!A248</f>
        <v>0</v>
      </c>
      <c r="B275" s="190">
        <f>'Données projet'!D248</f>
        <v>0</v>
      </c>
      <c r="C275" s="201"/>
      <c r="D275" s="188">
        <f t="shared" si="12"/>
        <v>0</v>
      </c>
      <c r="E275" s="203"/>
      <c r="F275" s="260"/>
      <c r="G275" s="219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9">
        <f>'Données projet'!A249</f>
        <v>0</v>
      </c>
      <c r="B276" s="190">
        <f>'Données projet'!D249</f>
        <v>0</v>
      </c>
      <c r="C276" s="201"/>
      <c r="D276" s="188">
        <f t="shared" si="12"/>
        <v>0</v>
      </c>
      <c r="E276" s="203"/>
      <c r="F276" s="260"/>
      <c r="G276" s="219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9">
        <f>'Données projet'!A250</f>
        <v>0</v>
      </c>
      <c r="B277" s="190">
        <f>'Données projet'!D250</f>
        <v>0</v>
      </c>
      <c r="C277" s="201"/>
      <c r="D277" s="188">
        <f t="shared" si="12"/>
        <v>0</v>
      </c>
      <c r="E277" s="203"/>
      <c r="F277" s="260"/>
      <c r="G277" s="220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9">
        <f>'Données projet'!A251</f>
        <v>0</v>
      </c>
      <c r="B278" s="190">
        <f>'Données projet'!D251</f>
        <v>0</v>
      </c>
      <c r="C278" s="201"/>
      <c r="D278" s="188">
        <f t="shared" si="12"/>
        <v>0</v>
      </c>
      <c r="E278" s="203"/>
      <c r="F278" s="260"/>
      <c r="G278" s="220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9">
        <f>'Données projet'!A252</f>
        <v>0</v>
      </c>
      <c r="B279" s="190">
        <f>'Données projet'!D252</f>
        <v>0</v>
      </c>
      <c r="C279" s="201"/>
      <c r="D279" s="188">
        <f t="shared" si="12"/>
        <v>0</v>
      </c>
      <c r="E279" s="203"/>
      <c r="F279" s="260"/>
      <c r="G279" s="220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9">
        <f>'Données projet'!A253</f>
        <v>0</v>
      </c>
      <c r="B280" s="190">
        <f>'Données projet'!D253</f>
        <v>0</v>
      </c>
      <c r="C280" s="201"/>
      <c r="D280" s="188">
        <f t="shared" si="12"/>
        <v>0</v>
      </c>
      <c r="E280" s="203"/>
      <c r="F280" s="260"/>
      <c r="G280" s="220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9">
        <f>'Données projet'!A254</f>
        <v>0</v>
      </c>
      <c r="B281" s="190">
        <f>'Données projet'!D254</f>
        <v>0</v>
      </c>
      <c r="C281" s="201"/>
      <c r="D281" s="188">
        <f t="shared" si="12"/>
        <v>0</v>
      </c>
      <c r="E281" s="203"/>
      <c r="F281" s="260"/>
      <c r="G281" s="220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9">
        <f>'Données projet'!A255</f>
        <v>0</v>
      </c>
      <c r="B282" s="190">
        <f>'Données projet'!D255</f>
        <v>0</v>
      </c>
      <c r="C282" s="201"/>
      <c r="D282" s="188">
        <f t="shared" si="12"/>
        <v>0</v>
      </c>
      <c r="E282" s="203"/>
      <c r="F282" s="260"/>
      <c r="G282" s="220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9">
        <f>'Données projet'!A256</f>
        <v>0</v>
      </c>
      <c r="B283" s="190">
        <f>'Données projet'!D256</f>
        <v>0</v>
      </c>
      <c r="C283" s="201"/>
      <c r="D283" s="188">
        <f t="shared" si="12"/>
        <v>0</v>
      </c>
      <c r="E283" s="203"/>
      <c r="F283" s="260"/>
      <c r="G283" s="220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9">
        <f>'Données projet'!A257</f>
        <v>0</v>
      </c>
      <c r="B284" s="190">
        <f>'Données projet'!D257</f>
        <v>0</v>
      </c>
      <c r="C284" s="201"/>
      <c r="D284" s="188">
        <f t="shared" si="12"/>
        <v>0</v>
      </c>
      <c r="E284" s="203"/>
      <c r="F284" s="260"/>
      <c r="G284" s="220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9">
        <f>'Données projet'!A258</f>
        <v>0</v>
      </c>
      <c r="B285" s="190">
        <f>'Données projet'!D258</f>
        <v>0</v>
      </c>
      <c r="C285" s="201"/>
      <c r="D285" s="188">
        <f t="shared" si="12"/>
        <v>0</v>
      </c>
      <c r="E285" s="203"/>
      <c r="F285" s="260"/>
      <c r="G285" s="220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9">
        <f>'Données projet'!A259</f>
        <v>0</v>
      </c>
      <c r="B286" s="190">
        <f>'Données projet'!D259</f>
        <v>0</v>
      </c>
      <c r="C286" s="201"/>
      <c r="D286" s="188">
        <f t="shared" si="12"/>
        <v>0</v>
      </c>
      <c r="E286" s="203"/>
      <c r="F286" s="260"/>
      <c r="G286" s="220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9">
        <f>'Données projet'!A260</f>
        <v>0</v>
      </c>
      <c r="B287" s="190">
        <f>'Données projet'!D260</f>
        <v>0</v>
      </c>
      <c r="C287" s="201"/>
      <c r="D287" s="188">
        <f t="shared" si="12"/>
        <v>0</v>
      </c>
      <c r="E287" s="203"/>
      <c r="F287" s="260"/>
      <c r="G287" s="220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9">
        <f>'Données projet'!A261</f>
        <v>0</v>
      </c>
      <c r="B288" s="190">
        <f>'Données projet'!D261</f>
        <v>0</v>
      </c>
      <c r="C288" s="201"/>
      <c r="D288" s="188">
        <f t="shared" si="12"/>
        <v>0</v>
      </c>
      <c r="E288" s="203"/>
      <c r="F288" s="260"/>
      <c r="G288" s="220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9">
        <f>'Données projet'!A262</f>
        <v>0</v>
      </c>
      <c r="B289" s="190">
        <f>'Données projet'!D262</f>
        <v>0</v>
      </c>
      <c r="C289" s="201"/>
      <c r="D289" s="188">
        <f t="shared" si="12"/>
        <v>0</v>
      </c>
      <c r="E289" s="203"/>
      <c r="F289" s="260"/>
      <c r="G289" s="220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9">
        <f>'Données projet'!A263</f>
        <v>0</v>
      </c>
      <c r="B290" s="190">
        <f>'Données projet'!D263</f>
        <v>0</v>
      </c>
      <c r="C290" s="201"/>
      <c r="D290" s="188">
        <f t="shared" si="12"/>
        <v>0</v>
      </c>
      <c r="E290" s="203"/>
      <c r="F290" s="260"/>
      <c r="G290" s="220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7">
        <v>0</v>
      </c>
      <c r="B296" s="210" t="s">
        <v>132</v>
      </c>
      <c r="C296" s="209" t="s">
        <v>132</v>
      </c>
      <c r="D296" s="208" t="s">
        <v>132</v>
      </c>
      <c r="E296" s="203"/>
      <c r="F296" s="259"/>
      <c r="G296" s="220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7">
        <v>1</v>
      </c>
      <c r="B297" s="210" t="s">
        <v>132</v>
      </c>
      <c r="C297" s="209" t="s">
        <v>132</v>
      </c>
      <c r="D297" s="208" t="s">
        <v>132</v>
      </c>
      <c r="E297" s="203"/>
      <c r="F297" s="259"/>
      <c r="G297" s="218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7">
        <v>2</v>
      </c>
      <c r="B298" s="210" t="s">
        <v>132</v>
      </c>
      <c r="C298" s="209" t="s">
        <v>132</v>
      </c>
      <c r="D298" s="208" t="s">
        <v>132</v>
      </c>
      <c r="E298" s="203"/>
      <c r="F298" s="259"/>
      <c r="G298" s="218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7">
        <v>3</v>
      </c>
      <c r="B299" s="210" t="s">
        <v>132</v>
      </c>
      <c r="C299" s="209" t="s">
        <v>132</v>
      </c>
      <c r="D299" s="208" t="s">
        <v>132</v>
      </c>
      <c r="E299" s="203"/>
      <c r="F299" s="259"/>
      <c r="G299" s="218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7">
        <v>4</v>
      </c>
      <c r="B300" s="210" t="s">
        <v>132</v>
      </c>
      <c r="C300" s="209" t="s">
        <v>132</v>
      </c>
      <c r="D300" s="208" t="s">
        <v>132</v>
      </c>
      <c r="E300" s="203"/>
      <c r="F300" s="259"/>
      <c r="G300" s="218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7">
        <v>5</v>
      </c>
      <c r="B301" s="210" t="s">
        <v>132</v>
      </c>
      <c r="C301" s="209" t="s">
        <v>132</v>
      </c>
      <c r="D301" s="208" t="s">
        <v>132</v>
      </c>
      <c r="E301" s="203"/>
      <c r="F301" s="259"/>
      <c r="G301" s="219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1"/>
      <c r="G302" s="219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3">B303*C303</f>
        <v>0</v>
      </c>
      <c r="E303" s="203"/>
      <c r="F303" s="261"/>
      <c r="G303" s="219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9">
        <f>'Données projet'!A272</f>
        <v>0</v>
      </c>
      <c r="B304" s="190">
        <f>'Données projet'!D272</f>
        <v>0</v>
      </c>
      <c r="C304" s="201"/>
      <c r="D304" s="191">
        <f t="shared" si="13"/>
        <v>0</v>
      </c>
      <c r="E304" s="203"/>
      <c r="F304" s="261"/>
      <c r="G304" s="219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9">
        <f>'Données projet'!A273</f>
        <v>0</v>
      </c>
      <c r="B305" s="190">
        <f>'Données projet'!D273</f>
        <v>0</v>
      </c>
      <c r="C305" s="201"/>
      <c r="D305" s="191">
        <f t="shared" si="13"/>
        <v>0</v>
      </c>
      <c r="E305" s="203"/>
      <c r="F305" s="261"/>
      <c r="G305" s="219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9">
        <f>'Données projet'!A274</f>
        <v>0</v>
      </c>
      <c r="B306" s="190">
        <f>'Données projet'!D274</f>
        <v>0</v>
      </c>
      <c r="C306" s="201"/>
      <c r="D306" s="191">
        <f t="shared" si="13"/>
        <v>0</v>
      </c>
      <c r="E306" s="203"/>
      <c r="F306" s="261"/>
      <c r="G306" s="219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9">
        <f>'Données projet'!A275</f>
        <v>0</v>
      </c>
      <c r="B307" s="190">
        <f>'Données projet'!D275</f>
        <v>0</v>
      </c>
      <c r="C307" s="201"/>
      <c r="D307" s="191">
        <f t="shared" si="13"/>
        <v>0</v>
      </c>
      <c r="E307" s="203"/>
      <c r="F307" s="261"/>
      <c r="G307" s="219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9">
        <f>'Données projet'!A276</f>
        <v>0</v>
      </c>
      <c r="B308" s="190">
        <f>'Données projet'!D276</f>
        <v>0</v>
      </c>
      <c r="C308" s="201"/>
      <c r="D308" s="191">
        <f t="shared" si="13"/>
        <v>0</v>
      </c>
      <c r="E308" s="203"/>
      <c r="F308" s="261"/>
      <c r="G308" s="215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9">
        <f>'Données projet'!A277</f>
        <v>0</v>
      </c>
      <c r="B309" s="190">
        <f>'Données projet'!D277</f>
        <v>0</v>
      </c>
      <c r="C309" s="201"/>
      <c r="D309" s="191">
        <f t="shared" si="13"/>
        <v>0</v>
      </c>
      <c r="E309" s="203"/>
      <c r="F309" s="261"/>
      <c r="G309" s="215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9">
        <f>'Données projet'!A278</f>
        <v>0</v>
      </c>
      <c r="B310" s="190">
        <f>'Données projet'!D278</f>
        <v>0</v>
      </c>
      <c r="C310" s="201"/>
      <c r="D310" s="191">
        <f t="shared" si="13"/>
        <v>0</v>
      </c>
      <c r="E310" s="203"/>
      <c r="F310" s="261"/>
      <c r="G310" s="215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9">
        <f>'Données projet'!A279</f>
        <v>0</v>
      </c>
      <c r="B311" s="190">
        <f>'Données projet'!D279</f>
        <v>0</v>
      </c>
      <c r="C311" s="201"/>
      <c r="D311" s="191">
        <f t="shared" si="13"/>
        <v>0</v>
      </c>
      <c r="E311" s="203"/>
      <c r="F311" s="261"/>
      <c r="G311" s="215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9">
        <f>'Données projet'!A280</f>
        <v>0</v>
      </c>
      <c r="B312" s="190">
        <f>'Données projet'!D280</f>
        <v>0</v>
      </c>
      <c r="C312" s="201"/>
      <c r="D312" s="191">
        <f t="shared" si="13"/>
        <v>0</v>
      </c>
      <c r="E312" s="203"/>
      <c r="F312" s="261"/>
      <c r="G312" s="215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9">
        <f>'Données projet'!A281</f>
        <v>0</v>
      </c>
      <c r="B313" s="190">
        <f>'Données projet'!D281</f>
        <v>0</v>
      </c>
      <c r="C313" s="201"/>
      <c r="D313" s="191">
        <f t="shared" si="13"/>
        <v>0</v>
      </c>
      <c r="E313" s="203"/>
      <c r="F313" s="261"/>
      <c r="G313" s="215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9">
        <f>'Données projet'!A282</f>
        <v>0</v>
      </c>
      <c r="B314" s="190">
        <f>'Données projet'!D282</f>
        <v>0</v>
      </c>
      <c r="C314" s="201"/>
      <c r="D314" s="191">
        <f t="shared" si="13"/>
        <v>0</v>
      </c>
      <c r="E314" s="203"/>
      <c r="F314" s="261"/>
      <c r="G314" s="215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9">
        <f>'Données projet'!A283</f>
        <v>0</v>
      </c>
      <c r="B315" s="190">
        <f>'Données projet'!D283</f>
        <v>0</v>
      </c>
      <c r="C315" s="201"/>
      <c r="D315" s="191">
        <f t="shared" si="13"/>
        <v>0</v>
      </c>
      <c r="E315" s="203"/>
      <c r="F315" s="261"/>
      <c r="G315" s="215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9">
        <f>'Données projet'!A284</f>
        <v>0</v>
      </c>
      <c r="B316" s="190">
        <f>'Données projet'!D284</f>
        <v>0</v>
      </c>
      <c r="C316" s="201"/>
      <c r="D316" s="191">
        <f t="shared" si="13"/>
        <v>0</v>
      </c>
      <c r="E316" s="203"/>
      <c r="F316" s="261"/>
      <c r="G316" s="215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9">
        <f>'Données projet'!A285</f>
        <v>0</v>
      </c>
      <c r="B317" s="190">
        <f>'Données projet'!D285</f>
        <v>0</v>
      </c>
      <c r="C317" s="201"/>
      <c r="D317" s="191">
        <f t="shared" si="13"/>
        <v>0</v>
      </c>
      <c r="E317" s="203"/>
      <c r="F317" s="261"/>
      <c r="G317" s="215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9">
        <f>'Données projet'!A286</f>
        <v>0</v>
      </c>
      <c r="B318" s="190">
        <f>'Données projet'!D286</f>
        <v>0</v>
      </c>
      <c r="C318" s="201"/>
      <c r="D318" s="191">
        <f t="shared" si="13"/>
        <v>0</v>
      </c>
      <c r="E318" s="203"/>
      <c r="F318" s="261"/>
      <c r="G318" s="215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9">
        <f>'Données projet'!A287</f>
        <v>0</v>
      </c>
      <c r="B319" s="190">
        <f>'Données projet'!D287</f>
        <v>0</v>
      </c>
      <c r="C319" s="201"/>
      <c r="D319" s="191">
        <f t="shared" si="13"/>
        <v>0</v>
      </c>
      <c r="E319" s="203"/>
      <c r="F319" s="261"/>
      <c r="G319" s="215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9">
        <f>'Données projet'!A288</f>
        <v>0</v>
      </c>
      <c r="B320" s="190">
        <f>'Données projet'!D288</f>
        <v>0</v>
      </c>
      <c r="C320" s="201"/>
      <c r="D320" s="191">
        <f t="shared" si="13"/>
        <v>0</v>
      </c>
      <c r="E320" s="203"/>
      <c r="F320" s="261"/>
      <c r="G320" s="215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9">
        <f>'Données projet'!A289</f>
        <v>0</v>
      </c>
      <c r="B321" s="190">
        <f>'Données projet'!D289</f>
        <v>0</v>
      </c>
      <c r="C321" s="206"/>
      <c r="D321" s="191">
        <f t="shared" si="13"/>
        <v>0</v>
      </c>
      <c r="E321" s="203"/>
      <c r="F321" s="261"/>
      <c r="G321" s="215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5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5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5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5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5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5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2024-09-20T10:21:17Z</dcterms:modified>
</cp:coreProperties>
</file>