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Emmanuel COSTE/Poudenas/Dossier LBC/"/>
    </mc:Choice>
  </mc:AlternateContent>
  <xr:revisionPtr revIDLastSave="0" documentId="8_{C31628E0-2089-4F13-8AAA-683497ED0CDC}" xr6:coauthVersionLast="47" xr6:coauthVersionMax="47" xr10:uidLastSave="{00000000-0000-0000-0000-000000000000}"/>
  <bookViews>
    <workbookView xWindow="-110" yWindow="-110" windowWidth="19420" windowHeight="1150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BR4" i="2"/>
  <c r="FR4" i="2"/>
  <c r="BQ4" i="2"/>
  <c r="FQ4" i="2"/>
  <c r="EC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HI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G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W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HG33" i="2" s="1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HG37" i="2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EA38" i="2"/>
  <c r="FS38" i="2"/>
  <c r="EX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FS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W78" i="2"/>
  <c r="EC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W85" i="2" s="1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FS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HG113" i="2"/>
  <c r="EX113" i="2"/>
  <c r="HI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FR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G130" i="2"/>
  <c r="EB130" i="2"/>
  <c r="EX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FR140" i="2"/>
  <c r="HH140" i="2"/>
  <c r="HG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G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FR145" i="2"/>
  <c r="EX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HG146" i="2"/>
  <c r="EA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X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I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HG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EA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DH156" i="2" l="1"/>
  <c r="EB156" i="2"/>
  <c r="EX156" i="2"/>
  <c r="HH156" i="2"/>
  <c r="AB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DG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HH161" i="2" s="1"/>
  <c r="GK161" i="2"/>
  <c r="FB161" i="2"/>
  <c r="EQ161" i="2"/>
  <c r="DM161" i="2"/>
  <c r="EG161" i="2"/>
  <c r="ER161" i="2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EX161" i="2"/>
  <c r="EA161" i="2"/>
  <c r="A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EC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V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FR164" i="2" l="1"/>
  <c r="EA164" i="2"/>
  <c r="EV164" i="2"/>
  <c r="HH164" i="2"/>
  <c r="HG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B165" i="2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C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HI168" i="2"/>
  <c r="HH168" i="2"/>
  <c r="EW168" i="2"/>
  <c r="EV168" i="2"/>
  <c r="EY168" i="2" s="1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EB185" i="2"/>
  <c r="HI185" i="2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H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I192" i="2"/>
  <c r="EW192" i="2"/>
  <c r="EC192" i="2"/>
  <c r="EV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HI193" i="2" l="1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EB194" i="2" l="1"/>
  <c r="EA194" i="2"/>
  <c r="FQ194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A195" i="2" l="1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H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B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A201" i="2" l="1"/>
  <c r="HH201" i="2"/>
  <c r="EB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FR202" i="2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18" i="2" a="1"/>
  <c r="FY18" i="2" s="1"/>
  <c r="FY71" i="2" a="1"/>
  <c r="FY71" i="2" s="1"/>
  <c r="FY186" i="2" a="1"/>
  <c r="FY186" i="2" s="1"/>
  <c r="FY152" i="2" a="1"/>
  <c r="FY152" i="2" s="1"/>
  <c r="FY55" i="2" a="1"/>
  <c r="FY55" i="2" s="1"/>
  <c r="FY178" i="2" a="1"/>
  <c r="FY178" i="2" s="1"/>
  <c r="AH92" i="2" a="1"/>
  <c r="AH92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152" i="2" a="1"/>
  <c r="DN152" i="2" s="1"/>
  <c r="DN66" i="2" a="1"/>
  <c r="DN66" i="2" s="1"/>
  <c r="CS116" i="2" a="1"/>
  <c r="CS116" i="2" s="1"/>
  <c r="EI195" i="2" a="1"/>
  <c r="EI195" i="2" s="1"/>
  <c r="CS137" i="2" a="1"/>
  <c r="CS137" i="2" s="1"/>
  <c r="AH151" i="2" a="1"/>
  <c r="AH151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182" i="2" a="1"/>
  <c r="FY182" i="2" s="1"/>
  <c r="FY82" i="2" a="1"/>
  <c r="FY82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CS56" i="2" a="1"/>
  <c r="CS56" i="2" s="1"/>
  <c r="CS114" i="2" a="1"/>
  <c r="CS114" i="2" s="1"/>
  <c r="DN31" i="2" a="1"/>
  <c r="DN31" i="2" s="1"/>
  <c r="DN6" i="2" a="1"/>
  <c r="DN6" i="2" s="1"/>
  <c r="DO6" i="2" s="1"/>
  <c r="CS24" i="2" a="1"/>
  <c r="CS24" i="2" s="1"/>
  <c r="CS134" i="2" a="1"/>
  <c r="CS134" i="2" s="1"/>
  <c r="CS72" i="2" a="1"/>
  <c r="CS72" i="2" s="1"/>
  <c r="FD82" i="2" a="1"/>
  <c r="FD82" i="2" s="1"/>
  <c r="HJ202" i="2"/>
  <c r="EY202" i="2"/>
  <c r="AX200" i="2"/>
  <c r="DN167" i="2" l="1" a="1"/>
  <c r="DN167" i="2" s="1"/>
  <c r="DN29" i="2" a="1"/>
  <c r="DN29" i="2" s="1"/>
  <c r="FY115" i="2" a="1"/>
  <c r="FY115" i="2" s="1"/>
  <c r="DN86" i="2" a="1"/>
  <c r="DN86" i="2" s="1"/>
  <c r="DN41" i="2" a="1"/>
  <c r="DN41" i="2" s="1"/>
  <c r="FY34" i="2" a="1"/>
  <c r="FY34" i="2" s="1"/>
  <c r="FY126" i="2" a="1"/>
  <c r="FY126" i="2" s="1"/>
  <c r="FY173" i="2" a="1"/>
  <c r="FY173" i="2" s="1"/>
  <c r="FY133" i="2" a="1"/>
  <c r="FY133" i="2" s="1"/>
  <c r="FY109" i="2" a="1"/>
  <c r="FY109" i="2" s="1"/>
  <c r="DN46" i="2" a="1"/>
  <c r="DN46" i="2" s="1"/>
  <c r="DN162" i="2" a="1"/>
  <c r="DN162" i="2" s="1"/>
  <c r="FY86" i="2" a="1"/>
  <c r="FY86" i="2" s="1"/>
  <c r="DN114" i="2" a="1"/>
  <c r="DN114" i="2" s="1"/>
  <c r="DN177" i="2" a="1"/>
  <c r="DN177" i="2" s="1"/>
  <c r="DN43" i="2" a="1"/>
  <c r="DN43" i="2" s="1"/>
  <c r="FY164" i="2" a="1"/>
  <c r="FY164" i="2" s="1"/>
  <c r="FY188" i="2" a="1"/>
  <c r="FY188" i="2" s="1"/>
  <c r="FY159" i="2" a="1"/>
  <c r="FY159" i="2" s="1"/>
  <c r="FY140" i="2" a="1"/>
  <c r="FY140" i="2" s="1"/>
  <c r="FY79" i="2" a="1"/>
  <c r="FY79" i="2" s="1"/>
  <c r="DN49" i="2" a="1"/>
  <c r="DN49" i="2" s="1"/>
  <c r="FY58" i="2" a="1"/>
  <c r="FY58" i="2" s="1"/>
  <c r="DN103" i="2" a="1"/>
  <c r="DN103" i="2" s="1"/>
  <c r="DN115" i="2" a="1"/>
  <c r="DN115" i="2" s="1"/>
  <c r="DN186" i="2" a="1"/>
  <c r="DN186" i="2" s="1"/>
  <c r="FY149" i="2" a="1"/>
  <c r="FY149" i="2" s="1"/>
  <c r="FY28" i="2" a="1"/>
  <c r="FY28" i="2" s="1"/>
  <c r="FY143" i="2" a="1"/>
  <c r="FY143" i="2" s="1"/>
  <c r="FY29" i="2" a="1"/>
  <c r="FY29" i="2" s="1"/>
  <c r="FY47" i="2" a="1"/>
  <c r="FY47" i="2" s="1"/>
  <c r="DN30" i="2" a="1"/>
  <c r="DN30" i="2" s="1"/>
  <c r="DN176" i="2" a="1"/>
  <c r="DN176" i="2" s="1"/>
  <c r="FY121" i="2" a="1"/>
  <c r="FY121" i="2" s="1"/>
  <c r="DN153" i="2" a="1"/>
  <c r="DN153" i="2" s="1"/>
  <c r="DN137" i="2" a="1"/>
  <c r="DN137" i="2" s="1"/>
  <c r="FY24" i="2" a="1"/>
  <c r="FY24" i="2" s="1"/>
  <c r="FY78" i="2" a="1"/>
  <c r="FY78" i="2" s="1"/>
  <c r="FY191" i="2" a="1"/>
  <c r="FY191" i="2" s="1"/>
  <c r="FY35" i="2" a="1"/>
  <c r="FY35" i="2" s="1"/>
  <c r="DN187" i="2" a="1"/>
  <c r="DN187" i="2" s="1"/>
  <c r="DN190" i="2" a="1"/>
  <c r="DN190" i="2" s="1"/>
  <c r="DN135" i="2" a="1"/>
  <c r="DN135" i="2" s="1"/>
  <c r="FY167" i="2" a="1"/>
  <c r="FY167" i="2" s="1"/>
  <c r="DN170" i="2" a="1"/>
  <c r="DN170" i="2" s="1"/>
  <c r="FY124" i="2" a="1"/>
  <c r="FY124" i="2" s="1"/>
  <c r="FY174" i="2" a="1"/>
  <c r="FY174" i="2" s="1"/>
  <c r="FY110" i="2" a="1"/>
  <c r="FY110" i="2" s="1"/>
  <c r="FY165" i="2" a="1"/>
  <c r="FY165" i="2" s="1"/>
  <c r="DN16" i="2" a="1"/>
  <c r="DN16" i="2" s="1"/>
  <c r="DN164" i="2" a="1"/>
  <c r="DN164" i="2" s="1"/>
  <c r="DN133" i="2" a="1"/>
  <c r="DN133" i="2" s="1"/>
  <c r="DN38" i="2" a="1"/>
  <c r="DN38" i="2" s="1"/>
  <c r="FY142" i="2" a="1"/>
  <c r="FY142" i="2" s="1"/>
  <c r="DN123" i="2" a="1"/>
  <c r="DN123" i="2" s="1"/>
  <c r="DN129" i="2" a="1"/>
  <c r="DN129" i="2" s="1"/>
  <c r="FY169" i="2" a="1"/>
  <c r="FY169" i="2" s="1"/>
  <c r="FY99" i="2" a="1"/>
  <c r="FY99" i="2" s="1"/>
  <c r="FY153" i="2" a="1"/>
  <c r="FY153" i="2" s="1"/>
  <c r="FY146" i="2" a="1"/>
  <c r="FY146" i="2" s="1"/>
  <c r="DN132" i="2" a="1"/>
  <c r="DN132" i="2" s="1"/>
  <c r="DN188" i="2" a="1"/>
  <c r="DN188" i="2" s="1"/>
  <c r="BX107" i="2" a="1"/>
  <c r="BX107" i="2" s="1"/>
  <c r="DN65" i="2" a="1"/>
  <c r="DN65" i="2" s="1"/>
  <c r="FY80" i="2" a="1"/>
  <c r="FY80" i="2" s="1"/>
  <c r="DN50" i="2" a="1"/>
  <c r="DN50" i="2" s="1"/>
  <c r="DN124" i="2" a="1"/>
  <c r="DN124" i="2" s="1"/>
  <c r="FY62" i="2" a="1"/>
  <c r="FY62" i="2" s="1"/>
  <c r="FY116" i="2" a="1"/>
  <c r="FY116" i="2" s="1"/>
  <c r="FY102" i="2" a="1"/>
  <c r="FY102" i="2" s="1"/>
  <c r="FY32" i="2" a="1"/>
  <c r="FY32" i="2" s="1"/>
  <c r="FS203" i="2"/>
  <c r="DN70" i="2" a="1"/>
  <c r="DN70" i="2" s="1"/>
  <c r="DN63" i="2" a="1"/>
  <c r="DN63" i="2" s="1"/>
  <c r="FY30" i="2" a="1"/>
  <c r="FY30" i="2" s="1"/>
  <c r="DN113" i="2" a="1"/>
  <c r="DN113" i="2" s="1"/>
  <c r="FY190" i="2" a="1"/>
  <c r="FY190" i="2" s="1"/>
  <c r="FY92" i="2" a="1"/>
  <c r="FY92" i="2" s="1"/>
  <c r="FY69" i="2" a="1"/>
  <c r="FY69" i="2" s="1"/>
  <c r="FY22" i="2" a="1"/>
  <c r="FY22" i="2" s="1"/>
  <c r="DN45" i="2" a="1"/>
  <c r="DN45" i="2" s="1"/>
  <c r="DN55" i="2" a="1"/>
  <c r="DN55" i="2" s="1"/>
  <c r="DN80" i="2" a="1"/>
  <c r="DN80" i="2" s="1"/>
  <c r="FY42" i="2" a="1"/>
  <c r="FY42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DN110" i="2" a="1"/>
  <c r="DN110" i="2" s="1"/>
  <c r="FY196" i="2" a="1"/>
  <c r="FY196" i="2" s="1"/>
  <c r="DN192" i="2" a="1"/>
  <c r="DN192" i="2" s="1"/>
  <c r="DN184" i="2" a="1"/>
  <c r="DN184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0" i="2" l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<sst xmlns="http://schemas.openxmlformats.org/spreadsheetml/2006/main" count="1170" uniqueCount="324">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</sst>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2.1469975836096671</c:v>
                </c:pt>
                <c:pt idx="2">
                  <c:v>2.9728368017754918</c:v>
                </c:pt>
                <c:pt idx="3">
                  <c:v>4.117699117132557</c:v>
                </c:pt>
                <c:pt idx="4">
                  <c:v>5.7053200314201407</c:v>
                </c:pt>
                <c:pt idx="5">
                  <c:v>7.9076064460549729</c:v>
                </c:pt>
                <c:pt idx="6">
                  <c:v>10.963455012068536</c:v>
                </c:pt>
                <c:pt idx="7">
                  <c:v>15.204945206802917</c:v>
                </c:pt>
                <c:pt idx="8">
                  <c:v>21.093805547098974</c:v>
                </c:pt>
                <c:pt idx="9">
                  <c:v>29.272193450582005</c:v>
                </c:pt>
                <c:pt idx="10">
                  <c:v>40.633422454286865</c:v>
                </c:pt>
                <c:pt idx="11">
                  <c:v>56.420493337566448</c:v>
                </c:pt>
                <c:pt idx="12">
                  <c:v>78.363387519152326</c:v>
                </c:pt>
                <c:pt idx="13">
                  <c:v>108.87041017504298</c:v>
                </c:pt>
                <c:pt idx="14">
                  <c:v>151.29491335645736</c:v>
                </c:pt>
                <c:pt idx="15">
                  <c:v>128.42920528646451</c:v>
                </c:pt>
                <c:pt idx="16">
                  <c:v>152.49185505694831</c:v>
                </c:pt>
                <c:pt idx="17">
                  <c:v>176.46395824903018</c:v>
                </c:pt>
                <c:pt idx="18">
                  <c:v>200.35956375973319</c:v>
                </c:pt>
                <c:pt idx="19">
                  <c:v>224.18908393280142</c:v>
                </c:pt>
                <c:pt idx="20">
                  <c:v>175.863260727078</c:v>
                </c:pt>
                <c:pt idx="21">
                  <c:v>198.54114021779472</c:v>
                </c:pt>
                <c:pt idx="22">
                  <c:v>221.15890622372544</c:v>
                </c:pt>
                <c:pt idx="23">
                  <c:v>243.72357188655687</c:v>
                </c:pt>
                <c:pt idx="24">
                  <c:v>266.24074405572088</c:v>
                </c:pt>
                <c:pt idx="25">
                  <c:v>288.71500303129221</c:v>
                </c:pt>
                <c:pt idx="26">
                  <c:v>241.98321469369634</c:v>
                </c:pt>
                <c:pt idx="27">
                  <c:v>263.2163538064969</c:v>
                </c:pt>
                <c:pt idx="28">
                  <c:v>284.41085385532108</c:v>
                </c:pt>
                <c:pt idx="29">
                  <c:v>305.56999815134782</c:v>
                </c:pt>
                <c:pt idx="30">
                  <c:v>326.69657812684949</c:v>
                </c:pt>
                <c:pt idx="31">
                  <c:v>347.79299473907673</c:v>
                </c:pt>
                <c:pt idx="32">
                  <c:v>368.86133395874549</c:v>
                </c:pt>
                <c:pt idx="33">
                  <c:v>306.28466920154261</c:v>
                </c:pt>
                <c:pt idx="34">
                  <c:v>325.36618569408159</c:v>
                </c:pt>
                <c:pt idx="35">
                  <c:v>344.42298556093846</c:v>
                </c:pt>
                <c:pt idx="36">
                  <c:v>363.45662822237773</c:v>
                </c:pt>
                <c:pt idx="37">
                  <c:v>382.46849648063909</c:v>
                </c:pt>
                <c:pt idx="38">
                  <c:v>401.45982449025837</c:v>
                </c:pt>
                <c:pt idx="39">
                  <c:v>420.43172015837462</c:v>
                </c:pt>
                <c:pt idx="40">
                  <c:v>439.38518329051726</c:v>
                </c:pt>
                <c:pt idx="41">
                  <c:v>458.32112044223913</c:v>
                </c:pt>
                <c:pt idx="42">
                  <c:v>477.24035718869089</c:v>
                </c:pt>
                <c:pt idx="43">
                  <c:v>496.14364834762438</c:v>
                </c:pt>
                <c:pt idx="44">
                  <c:v>515.03168656369814</c:v>
                </c:pt>
                <c:pt idx="45">
                  <c:v>533.90510956840285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8" zoomScale="80" zoomScaleNormal="80" workbookViewId="0">
      <selection activeCell="E10" sqref="E10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231</v>
      </c>
      <c r="B5" s="268"/>
      <c r="C5" s="24">
        <v>24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36</v>
      </c>
      <c r="C9" s="32">
        <v>1</v>
      </c>
      <c r="D9" s="33">
        <f t="shared" ref="D9:D18" si="0">C9*$C$5</f>
        <v>24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</v>
      </c>
      <c r="D19" s="38">
        <f>SUM(D9:D18)</f>
        <v>24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14</v>
      </c>
      <c r="B36" s="60">
        <v>113.3</v>
      </c>
      <c r="C36" s="60">
        <v>1</v>
      </c>
      <c r="D36" s="60">
        <v>36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8.0928571428571434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19</v>
      </c>
      <c r="B37" s="60">
        <v>169.6</v>
      </c>
      <c r="C37" s="60">
        <v>2</v>
      </c>
      <c r="D37" s="60">
        <v>54.9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18.46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25</v>
      </c>
      <c r="B38" s="60">
        <v>219.8</v>
      </c>
      <c r="C38" s="60">
        <v>3</v>
      </c>
      <c r="D38" s="60">
        <v>52.9</v>
      </c>
      <c r="E38" s="51">
        <v>0</v>
      </c>
      <c r="F38" s="51">
        <v>0.56000000000000005</v>
      </c>
      <c r="G38" s="51">
        <v>0.44</v>
      </c>
      <c r="H38" s="51">
        <v>0</v>
      </c>
      <c r="I38" s="53">
        <f t="shared" si="1"/>
        <v>17.516666666666669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32</v>
      </c>
      <c r="B39" s="60">
        <v>282.5</v>
      </c>
      <c r="C39" s="60">
        <v>4</v>
      </c>
      <c r="D39" s="60">
        <v>63.9</v>
      </c>
      <c r="E39" s="51">
        <v>0</v>
      </c>
      <c r="F39" s="51">
        <v>0.56000000000000005</v>
      </c>
      <c r="G39" s="51">
        <v>0.44</v>
      </c>
      <c r="H39" s="51">
        <v>0</v>
      </c>
      <c r="I39" s="49">
        <f t="shared" si="1"/>
        <v>16.514285714285712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45</v>
      </c>
      <c r="B40" s="60">
        <v>412.5</v>
      </c>
      <c r="C40" s="60">
        <v>5</v>
      </c>
      <c r="D40" s="60">
        <v>412.5</v>
      </c>
      <c r="E40" s="51">
        <v>0.7</v>
      </c>
      <c r="F40" s="51">
        <v>0.17</v>
      </c>
      <c r="G40" s="51">
        <v>0.13</v>
      </c>
      <c r="H40" s="51">
        <v>0</v>
      </c>
      <c r="I40" s="49">
        <f t="shared" si="1"/>
        <v>14.915384615384616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8" sqref="B8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1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/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222.094802682965</v>
      </c>
      <c r="T3" s="59">
        <f>IF('Données projet'!E9&gt;30,$R$33-$H$33,LOOKUP('Données projet'!$E$9,$A$3:$A$203,R3:R203)-LOOKUP('Données projet'!$E$9,$A$3:$A$203,$H$3:$H$203))</f>
        <v>325.33996570337496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258.08783604613262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8.0928571428571434</v>
      </c>
      <c r="N4" s="13">
        <f>IF('Données projet'!$A$36&gt;35,N3+M4-V3,IF(A4&lt;'Données projet'!$A$36,$K$205^A4,IF(A4='Données projet'!$A$36,'Données projet'!$B$36,N3+M4-V3)))</f>
        <v>1.4019441341630408</v>
      </c>
      <c r="O4" s="13">
        <f>N4*VLOOKUP('Données projet'!$B$9,Paramètres!$A$1:$I$89,3,0)*VLOOKUP('Données projet'!$B$9,Paramètres!$A$1:$I$89,5,0)</f>
        <v>0.83836259222949838</v>
      </c>
      <c r="P4" s="13">
        <f>EXP(-1.0587+0.8836*LN(O4)+0.284)</f>
        <v>0.39436329309662627</v>
      </c>
      <c r="Q4" s="20">
        <f t="shared" ref="Q4:Q34" si="2">(O4+P4)*0.475*44/12</f>
        <v>2.1469975836096671</v>
      </c>
      <c r="R4" s="59">
        <f t="shared" si="0"/>
        <v>260.03588647249853</v>
      </c>
      <c r="S4" s="59">
        <f ca="1">AVERAGE(OFFSET($R$3,0,0,'Données projet'!$E$9+1,1))-AVERAGE(OFFSET($H$3,0,0,'Données projet'!$E$9+1,1))</f>
        <v>222.094802682965</v>
      </c>
      <c r="T4" s="59">
        <f>$T$3</f>
        <v>325.33996570337496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259.43610890414124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8.0928571428571434</v>
      </c>
      <c r="N5" s="13">
        <f>IF('Données projet'!$A$36&gt;35,N4+M5-V4,IF(A5&lt;'Données projet'!$A$36,$K$205^A5,IF(A5='Données projet'!$A$36,'Données projet'!$B$36,N4+M5-V4)))</f>
        <v>1.965447355314158</v>
      </c>
      <c r="O5" s="13">
        <f>N5*VLOOKUP('Données projet'!$B$9,Paramètres!$A$1:$I$89,3,0)*VLOOKUP('Données projet'!$B$9,Paramètres!$A$1:$I$89,5,0)</f>
        <v>1.1753375184778667</v>
      </c>
      <c r="P5" s="13">
        <f t="shared" ref="P5:P68" si="33">EXP(-1.0587+0.8836*LN(O5)+0.284)</f>
        <v>0.53155442512528683</v>
      </c>
      <c r="Q5" s="20">
        <f t="shared" si="2"/>
        <v>2.9728368017754918</v>
      </c>
      <c r="R5" s="59">
        <f t="shared" si="0"/>
        <v>262.08394791288663</v>
      </c>
      <c r="S5" s="59">
        <f ca="1">AVERAGE(OFFSET($R$3,0,0,'Données projet'!$E$9+1,1))-AVERAGE(OFFSET($H$3,0,0,'Données projet'!$E$9+1,1))</f>
        <v>222.094802682965</v>
      </c>
      <c r="T5" s="59">
        <f t="shared" ref="T5:T68" si="34">$T$3</f>
        <v>325.33996570337496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260.7608398448956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8.0928571428571434</v>
      </c>
      <c r="N6" s="13">
        <f>IF('Données projet'!$A$36&gt;35,N5+M6-V5,IF(A6&lt;'Données projet'!$A$36,$K$205^A6,IF(A6='Données projet'!$A$36,'Données projet'!$B$36,N5+M6-V5)))</f>
        <v>2.7554473907889454</v>
      </c>
      <c r="O6" s="13">
        <f>N6*VLOOKUP('Données projet'!$B$9,Paramètres!$A$1:$I$89,3,0)*VLOOKUP('Données projet'!$B$9,Paramètres!$A$1:$I$89,5,0)</f>
        <v>1.6477575396917894</v>
      </c>
      <c r="P6" s="13">
        <f t="shared" si="33"/>
        <v>0.7164716184704446</v>
      </c>
      <c r="Q6" s="20">
        <f t="shared" si="2"/>
        <v>4.117699117132557</v>
      </c>
      <c r="R6" s="59">
        <f t="shared" si="0"/>
        <v>264.45103245046585</v>
      </c>
      <c r="S6" s="59">
        <f ca="1">AVERAGE(OFFSET($R$3,0,0,'Données projet'!$E$9+1,1))-AVERAGE(OFFSET($H$3,0,0,'Données projet'!$E$9+1,1))</f>
        <v>222.094802682965</v>
      </c>
      <c r="T6" s="59">
        <f t="shared" si="34"/>
        <v>325.33996570337496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262.07105900009446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8.0928571428571434</v>
      </c>
      <c r="N7" s="13">
        <f>IF('Données projet'!$A$36&gt;35,N6+M7-V6,IF(A7&lt;'Données projet'!$A$36,$K$205^A7,IF(A7='Données projet'!$A$36,'Données projet'!$B$36,N6+M7-V6)))</f>
        <v>3.8629833065114183</v>
      </c>
      <c r="O7" s="13">
        <f>N7*VLOOKUP('Données projet'!$B$9,Paramètres!$A$1:$I$89,3,0)*VLOOKUP('Données projet'!$B$9,Paramètres!$A$1:$I$89,5,0)</f>
        <v>2.3100640172938283</v>
      </c>
      <c r="P7" s="13">
        <f t="shared" si="33"/>
        <v>0.96571781892826258</v>
      </c>
      <c r="Q7" s="20">
        <f t="shared" si="2"/>
        <v>5.7053200314201407</v>
      </c>
      <c r="R7" s="59">
        <f t="shared" si="0"/>
        <v>267.26087558697566</v>
      </c>
      <c r="S7" s="59">
        <f ca="1">AVERAGE(OFFSET($R$3,0,0,'Données projet'!$E$9+1,1))-AVERAGE(OFFSET($H$3,0,0,'Données projet'!$E$9+1,1))</f>
        <v>222.094802682965</v>
      </c>
      <c r="T7" s="59">
        <f t="shared" si="34"/>
        <v>325.33996570337496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263.37085912145096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8.0928571428571434</v>
      </c>
      <c r="N8" s="13">
        <f>IF('Données projet'!$A$36&gt;35,N7+M8-V7,IF(A8&lt;'Données projet'!$A$36,$K$205^A8,IF(A8='Données projet'!$A$36,'Données projet'!$B$36,N7+M8-V7)))</f>
        <v>5.4156867869334304</v>
      </c>
      <c r="O8" s="13">
        <f>N8*VLOOKUP('Données projet'!$B$9,Paramètres!$A$1:$I$89,3,0)*VLOOKUP('Données projet'!$B$9,Paramètres!$A$1:$I$89,5,0)</f>
        <v>3.2385806985861918</v>
      </c>
      <c r="P8" s="13">
        <f t="shared" si="33"/>
        <v>1.3016718063257546</v>
      </c>
      <c r="Q8" s="20">
        <f t="shared" si="2"/>
        <v>7.9076064460549729</v>
      </c>
      <c r="R8" s="59">
        <f t="shared" si="0"/>
        <v>270.68538422383273</v>
      </c>
      <c r="S8" s="59">
        <f ca="1">AVERAGE(OFFSET($R$3,0,0,'Données projet'!$E$9+1,1))-AVERAGE(OFFSET($H$3,0,0,'Données projet'!$E$9+1,1))</f>
        <v>222.094802682965</v>
      </c>
      <c r="T8" s="59">
        <f t="shared" si="34"/>
        <v>325.33996570337496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264.66257488541947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8.0928571428571434</v>
      </c>
      <c r="N9" s="13">
        <f>IF('Données projet'!$A$36&gt;35,N8+M9-V8,IF(A9&lt;'Données projet'!$A$36,$K$205^A9,IF(A9='Données projet'!$A$36,'Données projet'!$B$36,N8+M9-V8)))</f>
        <v>7.5924903234056087</v>
      </c>
      <c r="O9" s="13">
        <f>N9*VLOOKUP('Données projet'!$B$9,Paramètres!$A$1:$I$89,3,0)*VLOOKUP('Données projet'!$B$9,Paramètres!$A$1:$I$89,5,0)</f>
        <v>4.5403092133965544</v>
      </c>
      <c r="P9" s="13">
        <f t="shared" si="33"/>
        <v>1.7544974920973433</v>
      </c>
      <c r="Q9" s="20">
        <f t="shared" si="2"/>
        <v>10.963455012068536</v>
      </c>
      <c r="R9" s="59">
        <f t="shared" si="0"/>
        <v>274.96345501206855</v>
      </c>
      <c r="S9" s="59">
        <f ca="1">AVERAGE(OFFSET($R$3,0,0,'Données projet'!$E$9+1,1))-AVERAGE(OFFSET($H$3,0,0,'Données projet'!$E$9+1,1))</f>
        <v>222.094802682965</v>
      </c>
      <c r="T9" s="59">
        <f t="shared" si="34"/>
        <v>325.33996570337496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265.94771136763848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8.0928571428571434</v>
      </c>
      <c r="N10" s="13">
        <f>IF('Données projet'!$A$36&gt;35,N9+M10-V9,IF(A10&lt;'Données projet'!$A$36,$K$205^A10,IF(A10='Données projet'!$A$36,'Données projet'!$B$36,N9+M10-V9)))</f>
        <v>10.644247272588141</v>
      </c>
      <c r="O10" s="13">
        <f>N10*VLOOKUP('Données projet'!$B$9,Paramètres!$A$1:$I$89,3,0)*VLOOKUP('Données projet'!$B$9,Paramètres!$A$1:$I$89,5,0)</f>
        <v>6.3652598690077093</v>
      </c>
      <c r="P10" s="13">
        <f t="shared" si="33"/>
        <v>2.3648522114532957</v>
      </c>
      <c r="Q10" s="20">
        <f t="shared" si="2"/>
        <v>15.204945206802917</v>
      </c>
      <c r="R10" s="59">
        <f t="shared" si="0"/>
        <v>280.42716742902513</v>
      </c>
      <c r="S10" s="59">
        <f ca="1">AVERAGE(OFFSET($R$3,0,0,'Données projet'!$E$9+1,1))-AVERAGE(OFFSET($H$3,0,0,'Données projet'!$E$9+1,1))</f>
        <v>222.094802682965</v>
      </c>
      <c r="T10" s="59">
        <f t="shared" si="34"/>
        <v>325.33996570337496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267.22731691271065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8.0928571428571434</v>
      </c>
      <c r="N11" s="13">
        <f>IF('Données projet'!$A$36&gt;35,N10+M11-V10,IF(A11&lt;'Données projet'!$A$36,$K$205^A11,IF(A11='Données projet'!$A$36,'Données projet'!$B$36,N10+M11-V10)))</f>
        <v>14.92264002638589</v>
      </c>
      <c r="O11" s="13">
        <f>N11*VLOOKUP('Données projet'!$B$9,Paramètres!$A$1:$I$89,3,0)*VLOOKUP('Données projet'!$B$9,Paramètres!$A$1:$I$89,5,0)</f>
        <v>8.9237387357787625</v>
      </c>
      <c r="P11" s="13">
        <f t="shared" si="33"/>
        <v>3.1875371764311735</v>
      </c>
      <c r="Q11" s="20">
        <f t="shared" si="2"/>
        <v>21.093805547098974</v>
      </c>
      <c r="R11" s="59">
        <f t="shared" si="0"/>
        <v>287.53824999154341</v>
      </c>
      <c r="S11" s="59">
        <f ca="1">AVERAGE(OFFSET($R$3,0,0,'Données projet'!$E$9+1,1))-AVERAGE(OFFSET($H$3,0,0,'Données projet'!$E$9+1,1))</f>
        <v>222.094802682965</v>
      </c>
      <c r="T11" s="59">
        <f t="shared" si="34"/>
        <v>325.33996570337496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268.5021620672548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8.0928571428571434</v>
      </c>
      <c r="N12" s="13">
        <f>IF('Données projet'!$A$36&gt;35,N11+M12-V11,IF(A12&lt;'Données projet'!$A$36,$K$205^A12,IF(A12='Données projet'!$A$36,'Données projet'!$B$36,N11+M12-V11)))</f>
        <v>20.920707651218304</v>
      </c>
      <c r="O12" s="13">
        <f>N12*VLOOKUP('Données projet'!$B$9,Paramètres!$A$1:$I$89,3,0)*VLOOKUP('Données projet'!$B$9,Paramètres!$A$1:$I$89,5,0)</f>
        <v>12.510583175428547</v>
      </c>
      <c r="P12" s="13">
        <f t="shared" si="33"/>
        <v>4.2964178488290647</v>
      </c>
      <c r="Q12" s="20">
        <f t="shared" si="2"/>
        <v>29.272193450582005</v>
      </c>
      <c r="R12" s="59">
        <f t="shared" si="0"/>
        <v>296.93886011724868</v>
      </c>
      <c r="S12" s="59">
        <f ca="1">AVERAGE(OFFSET($R$3,0,0,'Données projet'!$E$9+1,1))-AVERAGE(OFFSET($H$3,0,0,'Données projet'!$E$9+1,1))</f>
        <v>222.094802682965</v>
      </c>
      <c r="T12" s="59">
        <f t="shared" si="34"/>
        <v>325.33996570337496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269.77283609992622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8.0928571428571434</v>
      </c>
      <c r="N13" s="13">
        <f>IF('Données projet'!$A$36&gt;35,N12+M13-V12,IF(A13&lt;'Données projet'!$A$36,$K$205^A13,IF(A13='Données projet'!$A$36,'Données projet'!$B$36,N12+M13-V12)))</f>
        <v>29.329663374165346</v>
      </c>
      <c r="O13" s="13">
        <f>N13*VLOOKUP('Données projet'!$B$9,Paramètres!$A$1:$I$89,3,0)*VLOOKUP('Données projet'!$B$9,Paramètres!$A$1:$I$89,5,0)</f>
        <v>17.539138697750879</v>
      </c>
      <c r="P13" s="13">
        <f t="shared" si="33"/>
        <v>5.7910560128444493</v>
      </c>
      <c r="Q13" s="20">
        <f t="shared" si="2"/>
        <v>40.633422454286865</v>
      </c>
      <c r="R13" s="59">
        <f t="shared" si="0"/>
        <v>309.52231134317572</v>
      </c>
      <c r="S13" s="59">
        <f ca="1">AVERAGE(OFFSET($R$3,0,0,'Données projet'!$E$9+1,1))-AVERAGE(OFFSET($H$3,0,0,'Données projet'!$E$9+1,1))</f>
        <v>222.094802682965</v>
      </c>
      <c r="T13" s="59">
        <f t="shared" si="34"/>
        <v>325.33996570337496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271.03980360576855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8.0928571428571434</v>
      </c>
      <c r="N14" s="13">
        <f>IF('Données projet'!$A$36&gt;35,N13+M14-V13,IF(A14&lt;'Données projet'!$A$36,$K$205^A14,IF(A14='Données projet'!$A$36,'Données projet'!$B$36,N13+M14-V13)))</f>
        <v>41.118549524387682</v>
      </c>
      <c r="O14" s="13">
        <f>N14*VLOOKUP('Données projet'!$B$9,Paramètres!$A$1:$I$89,3,0)*VLOOKUP('Données projet'!$B$9,Paramètres!$A$1:$I$89,5,0)</f>
        <v>24.588892615583834</v>
      </c>
      <c r="P14" s="13">
        <f t="shared" si="33"/>
        <v>7.8056490136409185</v>
      </c>
      <c r="Q14" s="20">
        <f t="shared" si="2"/>
        <v>56.420493337566448</v>
      </c>
      <c r="R14" s="59">
        <f t="shared" si="0"/>
        <v>326.53160444867757</v>
      </c>
      <c r="S14" s="59">
        <f ca="1">AVERAGE(OFFSET($R$3,0,0,'Données projet'!$E$9+1,1))-AVERAGE(OFFSET($H$3,0,0,'Données projet'!$E$9+1,1))</f>
        <v>222.094802682965</v>
      </c>
      <c r="T14" s="59">
        <f t="shared" si="34"/>
        <v>325.33996570337496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272.30343986297339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8.0928571428571434</v>
      </c>
      <c r="N15" s="13">
        <f>IF('Données projet'!$A$36&gt;35,N14+M15-V14,IF(A15&lt;'Données projet'!$A$36,$K$205^A15,IF(A15='Données projet'!$A$36,'Données projet'!$B$36,N14+M15-V14)))</f>
        <v>57.645909311007806</v>
      </c>
      <c r="O15" s="13">
        <f>N15*VLOOKUP('Données projet'!$B$9,Paramètres!$A$1:$I$89,3,0)*VLOOKUP('Données projet'!$B$9,Paramètres!$A$1:$I$89,5,0)</f>
        <v>34.472253767982671</v>
      </c>
      <c r="P15" s="13">
        <f t="shared" si="33"/>
        <v>10.521078778899055</v>
      </c>
      <c r="Q15" s="20">
        <f t="shared" si="2"/>
        <v>78.363387519152326</v>
      </c>
      <c r="R15" s="59">
        <f t="shared" si="0"/>
        <v>349.69672085248567</v>
      </c>
      <c r="S15" s="59">
        <f ca="1">AVERAGE(OFFSET($R$3,0,0,'Données projet'!$E$9+1,1))-AVERAGE(OFFSET($H$3,0,0,'Données projet'!$E$9+1,1))</f>
        <v>222.094802682965</v>
      </c>
      <c r="T15" s="59">
        <f t="shared" si="34"/>
        <v>325.33996570337496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273.56405403670931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8.0928571428571434</v>
      </c>
      <c r="N16" s="13">
        <f>IF('Données projet'!$A$36&gt;35,N15+M16-V15,IF(A16&lt;'Données projet'!$A$36,$K$205^A16,IF(A16='Données projet'!$A$36,'Données projet'!$B$36,N15+M16-V15)))</f>
        <v>80.816344417061998</v>
      </c>
      <c r="O16" s="13">
        <f>N16*VLOOKUP('Données projet'!$B$9,Paramètres!$A$1:$I$89,3,0)*VLOOKUP('Données projet'!$B$9,Paramètres!$A$1:$I$89,5,0)</f>
        <v>48.328173961403081</v>
      </c>
      <c r="P16" s="13">
        <f t="shared" si="33"/>
        <v>14.181152454889533</v>
      </c>
      <c r="Q16" s="20">
        <f t="shared" si="2"/>
        <v>108.87041017504298</v>
      </c>
      <c r="R16" s="59">
        <f t="shared" si="0"/>
        <v>381.42596573059853</v>
      </c>
      <c r="S16" s="59">
        <f ca="1">AVERAGE(OFFSET($R$3,0,0,'Données projet'!$E$9+1,1))-AVERAGE(OFFSET($H$3,0,0,'Données projet'!$E$9+1,1))</f>
        <v>222.094802682965</v>
      </c>
      <c r="T16" s="59">
        <f t="shared" si="34"/>
        <v>325.33996570337496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274.82190502633887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projet'!$A$35:$I$55,2,0)</f>
        <v>113.3</v>
      </c>
      <c r="L17" s="12">
        <f>VLOOKUP(A17,'Données projet'!$A$35:$I$55,9,0)</f>
        <v>8.0928571428571434</v>
      </c>
      <c r="M17" s="12">
        <f t="array" ref="M17">INDEX(L:L,MIN(IF(ISNUMBER(L17:L213),ROW(L17:L213),"")))</f>
        <v>8.0928571428571434</v>
      </c>
      <c r="N17" s="13">
        <f>IF('Données projet'!$A$36&gt;35,N16+M17-V16,IF(A17&lt;'Données projet'!$A$36,$K$205^A17,IF(A17='Données projet'!$A$36,'Données projet'!$B$36,N16+M17-V16)))</f>
        <v>113.3</v>
      </c>
      <c r="O17" s="13">
        <f>N17*VLOOKUP('Données projet'!$B$9,Paramètres!$A$1:$I$89,3,0)*VLOOKUP('Données projet'!$B$9,Paramètres!$A$1:$I$89,5,0)</f>
        <v>67.753399999999999</v>
      </c>
      <c r="P17" s="13">
        <f t="shared" si="33"/>
        <v>19.114492836243478</v>
      </c>
      <c r="Q17" s="20">
        <f t="shared" si="2"/>
        <v>151.29491335645736</v>
      </c>
      <c r="R17" s="59">
        <f t="shared" si="0"/>
        <v>425.07269113423513</v>
      </c>
      <c r="S17" s="59">
        <f ca="1">AVERAGE(OFFSET($R$3,0,0,'Données projet'!$E$9+1,1))-AVERAGE(OFFSET($H$3,0,0,'Données projet'!$E$9+1,1))</f>
        <v>222.094802682965</v>
      </c>
      <c r="T17" s="59">
        <f t="shared" si="34"/>
        <v>325.33996570337496</v>
      </c>
      <c r="U17" s="15">
        <f>IF(ISNA(VLOOKUP(A17,'Données projet'!$A$35:$I$55,3,0)),0,VLOOKUP(A17,'Données projet'!$A$35:$I$55,3,0))</f>
        <v>1</v>
      </c>
      <c r="V17" s="15">
        <f>IF(ISNA(VLOOKUP(A17,'Données projet'!$A$35:$I$55,4,0)),0,VLOOKUP(A17,'Données projet'!$A$35:$I$55,4,0))</f>
        <v>36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0.25200000000000006</v>
      </c>
      <c r="Y17" s="16">
        <f>IF(ISNA(VLOOKUP(A17,'Données projet'!$A$35:$I$55,7,0)),0%,VLOOKUP(A17,'Données projet'!$A$35:$I$55,7,0))</f>
        <v>0.44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7.1683503616298916</v>
      </c>
      <c r="AB17" s="21">
        <f>EXP(-LN(2)/2)*AB16+(1-EXP(-LN(2)/2))/(LN(2)/2)*V17*Y17*VLOOKUP('Données projet'!$B$9,Paramètres!$A$1:$I$89,3,0)*0.475*44/12</f>
        <v>10.724866636505894</v>
      </c>
      <c r="AC17" s="22">
        <f t="shared" si="3"/>
        <v>17.893216998135784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276.07721264982155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18.46</v>
      </c>
      <c r="N18" s="13">
        <f>IF('Données projet'!$A$36&gt;35,N17+M18-V17,IF(A18&lt;'Données projet'!$A$36,$K$205^A18,IF(A18='Données projet'!$A$36,'Données projet'!$B$36,N17+M18-V17)))</f>
        <v>95.759999999999991</v>
      </c>
      <c r="O18" s="13">
        <f>N18*VLOOKUP('Données projet'!$B$9,Paramètres!$A$1:$I$89,3,0)*VLOOKUP('Données projet'!$B$9,Paramètres!$A$1:$I$89,5,0)</f>
        <v>57.264479999999999</v>
      </c>
      <c r="P18" s="13">
        <f t="shared" si="33"/>
        <v>16.474776623807379</v>
      </c>
      <c r="Q18" s="20">
        <f t="shared" si="2"/>
        <v>128.42920528646451</v>
      </c>
      <c r="R18" s="59">
        <f t="shared" si="0"/>
        <v>403.42920528646448</v>
      </c>
      <c r="S18" s="59">
        <f ca="1">AVERAGE(OFFSET($R$3,0,0,'Données projet'!$E$9+1,1))-AVERAGE(OFFSET($H$3,0,0,'Données projet'!$E$9+1,1))</f>
        <v>222.094802682965</v>
      </c>
      <c r="T18" s="59">
        <f t="shared" si="34"/>
        <v>325.33996570337496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6.9723314440239603</v>
      </c>
      <c r="AB18" s="21">
        <f>EXP(-LN(2)/2)*AB17+(1-EXP(-LN(2)/2))/(LN(2)/2)*V18*Y18*VLOOKUP('Données projet'!$B$9,Paramètres!$A$1:$I$89,3,0)*0.475*44/12</f>
        <v>7.5836259259946779</v>
      </c>
      <c r="AC18" s="22">
        <f t="shared" si="3"/>
        <v>14.555957370018639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277.33016575790663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18.46</v>
      </c>
      <c r="N19" s="13">
        <f>IF('Données projet'!$A$36&gt;35,N18+M19-V18,IF(A19&lt;'Données projet'!$A$36,$K$205^A19,IF(A19='Données projet'!$A$36,'Données projet'!$B$36,N18+M19-V18)))</f>
        <v>114.22</v>
      </c>
      <c r="O19" s="13">
        <f>N19*VLOOKUP('Données projet'!$B$9,Paramètres!$A$1:$I$89,3,0)*VLOOKUP('Données projet'!$B$9,Paramètres!$A$1:$I$89,5,0)</f>
        <v>68.303560000000004</v>
      </c>
      <c r="P19" s="13">
        <f t="shared" si="33"/>
        <v>19.25157209011385</v>
      </c>
      <c r="Q19" s="20">
        <f t="shared" si="2"/>
        <v>152.49185505694831</v>
      </c>
      <c r="R19" s="59">
        <f t="shared" si="0"/>
        <v>428.71407727917051</v>
      </c>
      <c r="S19" s="59">
        <f ca="1">AVERAGE(OFFSET($R$3,0,0,'Données projet'!$E$9+1,1))-AVERAGE(OFFSET($H$3,0,0,'Données projet'!$E$9+1,1))</f>
        <v>222.094802682965</v>
      </c>
      <c r="T19" s="59">
        <f t="shared" si="34"/>
        <v>325.33996570337496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6.7816726740281501</v>
      </c>
      <c r="AB19" s="21">
        <f>EXP(-LN(2)/2)*AB18+(1-EXP(-LN(2)/2))/(LN(2)/2)*V19*Y19*VLOOKUP('Données projet'!$B$9,Paramètres!$A$1:$I$89,3,0)*0.475*44/12</f>
        <v>5.3624333182529478</v>
      </c>
      <c r="AC19" s="22">
        <f t="shared" si="3"/>
        <v>12.144105992281098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278.58092826076489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18.46</v>
      </c>
      <c r="N20" s="13">
        <f>IF('Données projet'!$A$36&gt;35,N19+M20-V19,IF(A20&lt;'Données projet'!$A$36,$K$205^A20,IF(A20='Données projet'!$A$36,'Données projet'!$B$36,N19+M20-V19)))</f>
        <v>132.68</v>
      </c>
      <c r="O20" s="13">
        <f>N20*VLOOKUP('Données projet'!$B$9,Paramètres!$A$1:$I$89,3,0)*VLOOKUP('Données projet'!$B$9,Paramètres!$A$1:$I$89,5,0)</f>
        <v>79.342640000000017</v>
      </c>
      <c r="P20" s="13">
        <f t="shared" si="33"/>
        <v>21.97637909035225</v>
      </c>
      <c r="Q20" s="20">
        <f t="shared" si="2"/>
        <v>176.46395824903018</v>
      </c>
      <c r="R20" s="59">
        <f t="shared" si="0"/>
        <v>453.90840269347461</v>
      </c>
      <c r="S20" s="59">
        <f ca="1">AVERAGE(OFFSET($R$3,0,0,'Données projet'!$E$9+1,1))-AVERAGE(OFFSET($H$3,0,0,'Données projet'!$E$9+1,1))</f>
        <v>222.094802682965</v>
      </c>
      <c r="T20" s="59">
        <f t="shared" si="34"/>
        <v>325.33996570337496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6.5962274781241845</v>
      </c>
      <c r="AB20" s="21">
        <f>EXP(-LN(2)/2)*AB19+(1-EXP(-LN(2)/2))/(LN(2)/2)*V20*Y20*VLOOKUP('Données projet'!$B$9,Paramètres!$A$1:$I$89,3,0)*0.475*44/12</f>
        <v>3.7918129629973394</v>
      </c>
      <c r="AC20" s="22">
        <f t="shared" si="3"/>
        <v>10.388040441121523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279.82964369567594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18.46</v>
      </c>
      <c r="N21" s="13">
        <f>IF('Données projet'!$A$36&gt;35,N20+M21-V20,IF(A21&lt;'Données projet'!$A$36,$K$205^A21,IF(A21='Données projet'!$A$36,'Données projet'!$B$36,N20+M21-V20)))</f>
        <v>151.14000000000001</v>
      </c>
      <c r="O21" s="13">
        <f>N21*VLOOKUP('Données projet'!$B$9,Paramètres!$A$1:$I$89,3,0)*VLOOKUP('Données projet'!$B$9,Paramètres!$A$1:$I$89,5,0)</f>
        <v>90.381720000000016</v>
      </c>
      <c r="P21" s="13">
        <f t="shared" si="33"/>
        <v>24.65726397688028</v>
      </c>
      <c r="Q21" s="20">
        <f t="shared" si="2"/>
        <v>200.35956375973319</v>
      </c>
      <c r="R21" s="59">
        <f t="shared" si="0"/>
        <v>479.02623042639988</v>
      </c>
      <c r="S21" s="59">
        <f ca="1">AVERAGE(OFFSET($R$3,0,0,'Données projet'!$E$9+1,1))-AVERAGE(OFFSET($H$3,0,0,'Données projet'!$E$9+1,1))</f>
        <v>222.094802682965</v>
      </c>
      <c r="T21" s="59">
        <f t="shared" si="34"/>
        <v>325.33996570337496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6.4158532908543515</v>
      </c>
      <c r="AB21" s="21">
        <f>EXP(-LN(2)/2)*AB20+(1-EXP(-LN(2)/2))/(LN(2)/2)*V21*Y21*VLOOKUP('Données projet'!$B$9,Paramètres!$A$1:$I$89,3,0)*0.475*44/12</f>
        <v>2.6812166591264743</v>
      </c>
      <c r="AC21" s="22">
        <f t="shared" si="3"/>
        <v>9.0970699499808259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281.07643875057323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169.6</v>
      </c>
      <c r="L22" s="12">
        <f>VLOOKUP(A22,'Données projet'!$A$35:$I$55,9,0)</f>
        <v>18.46</v>
      </c>
      <c r="M22" s="12">
        <f t="array" ref="M22">INDEX(L:L,MIN(IF(ISNUMBER(L22:L218),ROW(L22:L218),"")))</f>
        <v>18.46</v>
      </c>
      <c r="N22" s="13">
        <f>IF('Données projet'!$A$36&gt;35,N21+M22-V21,IF(A22&lt;'Données projet'!$A$36,$K$205^A22,IF(A22='Données projet'!$A$36,'Données projet'!$B$36,N21+M22-V21)))</f>
        <v>169.60000000000002</v>
      </c>
      <c r="O22" s="13">
        <f>N22*VLOOKUP('Données projet'!$B$9,Paramètres!$A$1:$I$89,3,0)*VLOOKUP('Données projet'!$B$9,Paramètres!$A$1:$I$89,5,0)</f>
        <v>101.42080000000003</v>
      </c>
      <c r="P22" s="13">
        <f t="shared" si="33"/>
        <v>27.300205128881199</v>
      </c>
      <c r="Q22" s="20">
        <f t="shared" si="2"/>
        <v>224.18908393280142</v>
      </c>
      <c r="R22" s="59">
        <f t="shared" si="0"/>
        <v>504.07797282169031</v>
      </c>
      <c r="S22" s="59">
        <f ca="1">AVERAGE(OFFSET($R$3,0,0,'Données projet'!$E$9+1,1))-AVERAGE(OFFSET($H$3,0,0,'Données projet'!$E$9+1,1))</f>
        <v>222.094802682965</v>
      </c>
      <c r="T22" s="59">
        <f t="shared" si="34"/>
        <v>325.33996570337496</v>
      </c>
      <c r="U22" s="15">
        <f>IF(ISNA(VLOOKUP(A22,'Données projet'!$A$35:$I$55,3,0)),0,VLOOKUP(A22,'Données projet'!$A$35:$I$55,3,0))</f>
        <v>2</v>
      </c>
      <c r="V22" s="15">
        <f>IF(ISNA(VLOOKUP(A22,'Données projet'!$A$35:$I$55,4,0)),0,VLOOKUP(A22,'Données projet'!$A$35:$I$55,4,0))</f>
        <v>54.9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0.25200000000000006</v>
      </c>
      <c r="Y22" s="16">
        <f>IF(ISNA(VLOOKUP(A22,'Données projet'!$A$35:$I$55,7,0)),0%,VLOOKUP(A22,'Données projet'!$A$35:$I$55,7,0))</f>
        <v>0.44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17.172145746706462</v>
      </c>
      <c r="AB22" s="21">
        <f>EXP(-LN(2)/2)*AB21+(1-EXP(-LN(2)/2))/(LN(2)/2)*V22*Y22*VLOOKUP('Données projet'!$B$9,Paramètres!$A$1:$I$89,3,0)*0.475*44/12</f>
        <v>18.251328102170159</v>
      </c>
      <c r="AC22" s="22">
        <f t="shared" si="3"/>
        <v>35.423473848876625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282.32142602462875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17.516666666666669</v>
      </c>
      <c r="N23" s="13">
        <f>IF('Données projet'!$A$36&gt;35,N22+M23-V22,IF(A23&lt;'Données projet'!$A$36,$K$205^A23,IF(A23='Données projet'!$A$36,'Données projet'!$B$36,N22+M23-V22)))</f>
        <v>132.2166666666667</v>
      </c>
      <c r="O23" s="13">
        <f>N23*VLOOKUP('Données projet'!$B$9,Paramètres!$A$1:$I$89,3,0)*VLOOKUP('Données projet'!$B$9,Paramètres!$A$1:$I$89,5,0)</f>
        <v>79.065566666666697</v>
      </c>
      <c r="P23" s="13">
        <f t="shared" si="33"/>
        <v>21.908554324957056</v>
      </c>
      <c r="Q23" s="20">
        <f t="shared" si="2"/>
        <v>175.863260727078</v>
      </c>
      <c r="R23" s="59">
        <f t="shared" si="0"/>
        <v>456.97437183818914</v>
      </c>
      <c r="S23" s="59">
        <f ca="1">AVERAGE(OFFSET($R$3,0,0,'Données projet'!$E$9+1,1))-AVERAGE(OFFSET($H$3,0,0,'Données projet'!$E$9+1,1))</f>
        <v>222.094802682965</v>
      </c>
      <c r="T23" s="59">
        <f t="shared" si="34"/>
        <v>325.33996570337496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16.702572518218876</v>
      </c>
      <c r="AB23" s="21">
        <f>EXP(-LN(2)/2)*AB22+(1-EXP(-LN(2)/2))/(LN(2)/2)*V23*Y23*VLOOKUP('Données projet'!$B$9,Paramètres!$A$1:$I$89,3,0)*0.475*44/12</f>
        <v>12.905637866705122</v>
      </c>
      <c r="AC23" s="22">
        <f t="shared" si="3"/>
        <v>29.608210384924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283.56470622103035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17.516666666666669</v>
      </c>
      <c r="N24" s="13">
        <f>IF('Données projet'!$A$36&gt;35,N23+M24-V23,IF(A24&lt;'Données projet'!$A$36,$K$205^A24,IF(A24='Données projet'!$A$36,'Données projet'!$B$36,N23+M24-V23)))</f>
        <v>149.73333333333338</v>
      </c>
      <c r="O24" s="13">
        <f>N24*VLOOKUP('Données projet'!$B$9,Paramètres!$A$1:$I$89,3,0)*VLOOKUP('Données projet'!$B$9,Paramètres!$A$1:$I$89,5,0)</f>
        <v>89.540533333333357</v>
      </c>
      <c r="P24" s="13">
        <f t="shared" si="33"/>
        <v>24.454379710376543</v>
      </c>
      <c r="Q24" s="20">
        <f t="shared" si="2"/>
        <v>198.54114021779472</v>
      </c>
      <c r="R24" s="59">
        <f t="shared" si="0"/>
        <v>480.87447355112806</v>
      </c>
      <c r="S24" s="59">
        <f ca="1">AVERAGE(OFFSET($R$3,0,0,'Données projet'!$E$9+1,1))-AVERAGE(OFFSET($H$3,0,0,'Données projet'!$E$9+1,1))</f>
        <v>222.094802682965</v>
      </c>
      <c r="T24" s="59">
        <f t="shared" si="34"/>
        <v>325.33996570337496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16.245839794358066</v>
      </c>
      <c r="AB24" s="21">
        <f>EXP(-LN(2)/2)*AB23+(1-EXP(-LN(2)/2))/(LN(2)/2)*V24*Y24*VLOOKUP('Données projet'!$B$9,Paramètres!$A$1:$I$89,3,0)*0.475*44/12</f>
        <v>9.1256640510850815</v>
      </c>
      <c r="AC24" s="22">
        <f t="shared" si="3"/>
        <v>25.371503845443147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284.8063699102529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17.516666666666669</v>
      </c>
      <c r="N25" s="13">
        <f>IF('Données projet'!$A$36&gt;35,N24+M25-V24,IF(A25&lt;'Données projet'!$A$36,$K$205^A25,IF(A25='Données projet'!$A$36,'Données projet'!$B$36,N24+M25-V24)))</f>
        <v>167.25000000000006</v>
      </c>
      <c r="O25" s="13">
        <f>N25*VLOOKUP('Données projet'!$B$9,Paramètres!$A$1:$I$89,3,0)*VLOOKUP('Données projet'!$B$9,Paramètres!$A$1:$I$89,5,0)</f>
        <v>100.01550000000005</v>
      </c>
      <c r="P25" s="13">
        <f t="shared" si="33"/>
        <v>26.965690176301635</v>
      </c>
      <c r="Q25" s="20">
        <f t="shared" si="2"/>
        <v>221.15890622372544</v>
      </c>
      <c r="R25" s="59">
        <f t="shared" si="0"/>
        <v>504.71446177928101</v>
      </c>
      <c r="S25" s="59">
        <f ca="1">AVERAGE(OFFSET($R$3,0,0,'Données projet'!$E$9+1,1))-AVERAGE(OFFSET($H$3,0,0,'Données projet'!$E$9+1,1))</f>
        <v>222.094802682965</v>
      </c>
      <c r="T25" s="59">
        <f t="shared" si="34"/>
        <v>325.33996570337496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15.801596450849759</v>
      </c>
      <c r="AB25" s="21">
        <f>EXP(-LN(2)/2)*AB24+(1-EXP(-LN(2)/2))/(LN(2)/2)*V25*Y25*VLOOKUP('Données projet'!$B$9,Paramètres!$A$1:$I$89,3,0)*0.475*44/12</f>
        <v>6.4528189333525621</v>
      </c>
      <c r="AC25" s="22">
        <f t="shared" si="3"/>
        <v>22.254415384202321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286.04649896367255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17.516666666666669</v>
      </c>
      <c r="N26" s="13">
        <f>IF('Données projet'!$A$36&gt;35,N25+M26-V25,IF(A26&lt;'Données projet'!$A$36,$K$205^A26,IF(A26='Données projet'!$A$36,'Données projet'!$B$36,N25+M26-V25)))</f>
        <v>184.76666666666674</v>
      </c>
      <c r="O26" s="13">
        <f>N26*VLOOKUP('Données projet'!$B$9,Paramètres!$A$1:$I$89,3,0)*VLOOKUP('Données projet'!$B$9,Paramètres!$A$1:$I$89,5,0)</f>
        <v>110.49046666666672</v>
      </c>
      <c r="P26" s="13">
        <f t="shared" si="33"/>
        <v>29.446512406954433</v>
      </c>
      <c r="Q26" s="20">
        <f t="shared" si="2"/>
        <v>243.72357188655687</v>
      </c>
      <c r="R26" s="59">
        <f t="shared" si="0"/>
        <v>528.50134966433461</v>
      </c>
      <c r="S26" s="59">
        <f ca="1">AVERAGE(OFFSET($R$3,0,0,'Données projet'!$E$9+1,1))-AVERAGE(OFFSET($H$3,0,0,'Données projet'!$E$9+1,1))</f>
        <v>222.094802682965</v>
      </c>
      <c r="T26" s="59">
        <f t="shared" si="34"/>
        <v>325.33996570337496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15.369500964931431</v>
      </c>
      <c r="AB26" s="21">
        <f>EXP(-LN(2)/2)*AB25+(1-EXP(-LN(2)/2))/(LN(2)/2)*V26*Y26*VLOOKUP('Données projet'!$B$9,Paramètres!$A$1:$I$89,3,0)*0.475*44/12</f>
        <v>4.5628320255425416</v>
      </c>
      <c r="AC26" s="22">
        <f t="shared" si="3"/>
        <v>19.932332990473974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287.28516773082151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17.516666666666669</v>
      </c>
      <c r="N27" s="13">
        <f>IF('Données projet'!$A$36&gt;35,N26+M27-V26,IF(A27&lt;'Données projet'!$A$36,$K$205^A27,IF(A27='Données projet'!$A$36,'Données projet'!$B$36,N26+M27-V26)))</f>
        <v>202.28333333333342</v>
      </c>
      <c r="O27" s="13">
        <f>N27*VLOOKUP('Données projet'!$B$9,Paramètres!$A$1:$I$89,3,0)*VLOOKUP('Données projet'!$B$9,Paramètres!$A$1:$I$89,5,0)</f>
        <v>120.96543333333338</v>
      </c>
      <c r="P27" s="13">
        <f t="shared" si="33"/>
        <v>31.900065646027905</v>
      </c>
      <c r="Q27" s="20">
        <f t="shared" si="2"/>
        <v>266.24074405572088</v>
      </c>
      <c r="R27" s="59">
        <f t="shared" si="0"/>
        <v>552.24074405572082</v>
      </c>
      <c r="S27" s="59">
        <f ca="1">AVERAGE(OFFSET($R$3,0,0,'Données projet'!$E$9+1,1))-AVERAGE(OFFSET($H$3,0,0,'Données projet'!$E$9+1,1))</f>
        <v>222.094802682965</v>
      </c>
      <c r="T27" s="59">
        <f t="shared" si="34"/>
        <v>325.33996570337496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14.949221152798453</v>
      </c>
      <c r="AB27" s="21">
        <f>EXP(-LN(2)/2)*AB26+(1-EXP(-LN(2)/2))/(LN(2)/2)*V27*Y27*VLOOKUP('Données projet'!$B$9,Paramètres!$A$1:$I$89,3,0)*0.475*44/12</f>
        <v>3.2264094666762815</v>
      </c>
      <c r="AC27" s="22">
        <f t="shared" si="3"/>
        <v>18.175630619474735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288.52244401490464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219.8</v>
      </c>
      <c r="L28" s="12">
        <f>VLOOKUP(A28,'Données projet'!$A$35:$I$55,9,0)</f>
        <v>17.516666666666669</v>
      </c>
      <c r="M28" s="12">
        <f t="array" ref="M28">INDEX(L:L,MIN(IF(ISNUMBER(L28:L224),ROW(L28:L224),"")))</f>
        <v>17.516666666666669</v>
      </c>
      <c r="N28" s="13">
        <f>IF('Données projet'!$A$36&gt;35,N27+M28-V27,IF(A28&lt;'Données projet'!$A$36,$K$205^A28,IF(A28='Données projet'!$A$36,'Données projet'!$B$36,N27+M28-V27)))</f>
        <v>219.8000000000001</v>
      </c>
      <c r="O28" s="13">
        <f>N28*VLOOKUP('Données projet'!$B$9,Paramètres!$A$1:$I$89,3,0)*VLOOKUP('Données projet'!$B$9,Paramètres!$A$1:$I$89,5,0)</f>
        <v>131.44040000000007</v>
      </c>
      <c r="P28" s="13">
        <f t="shared" si="33"/>
        <v>34.328979730885401</v>
      </c>
      <c r="Q28" s="20">
        <f t="shared" si="2"/>
        <v>288.71500303129221</v>
      </c>
      <c r="R28" s="59">
        <f t="shared" si="0"/>
        <v>575.9372252535145</v>
      </c>
      <c r="S28" s="59">
        <f ca="1">AVERAGE(OFFSET($R$3,0,0,'Données projet'!$E$9+1,1))-AVERAGE(OFFSET($H$3,0,0,'Données projet'!$E$9+1,1))</f>
        <v>222.094802682965</v>
      </c>
      <c r="T28" s="59">
        <f t="shared" si="34"/>
        <v>325.33996570337496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52.9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0.25200000000000006</v>
      </c>
      <c r="Y28" s="16">
        <f>IF(ISNA(VLOOKUP(A28,'Données projet'!$A$35:$I$55,7,0)),0%,VLOOKUP(A28,'Données projet'!$A$35:$I$55,7,0))</f>
        <v>0.44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25.073926528958175</v>
      </c>
      <c r="AB28" s="21">
        <f>EXP(-LN(2)/2)*AB27+(1-EXP(-LN(2)/2))/(LN(2)/2)*V28*Y28*VLOOKUP('Données projet'!$B$9,Paramètres!$A$1:$I$89,3,0)*0.475*44/12</f>
        <v>18.041011709192432</v>
      </c>
      <c r="AC28" s="22">
        <f t="shared" si="3"/>
        <v>43.114938238150607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289.75838988784039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16.514285714285712</v>
      </c>
      <c r="N29" s="13">
        <f>IF('Données projet'!$A$36&gt;35,N28+M29-V28,IF(A29&lt;'Données projet'!$A$36,$K$205^A29,IF(A29='Données projet'!$A$36,'Données projet'!$B$36,N28+M29-V28)))</f>
        <v>183.4142857142858</v>
      </c>
      <c r="O29" s="13">
        <f>N29*VLOOKUP('Données projet'!$B$9,Paramètres!$A$1:$I$89,3,0)*VLOOKUP('Données projet'!$B$9,Paramètres!$A$1:$I$89,5,0)</f>
        <v>109.68174285714291</v>
      </c>
      <c r="P29" s="13">
        <f t="shared" si="33"/>
        <v>29.255988067467435</v>
      </c>
      <c r="Q29" s="20">
        <f t="shared" si="2"/>
        <v>241.98321469369634</v>
      </c>
      <c r="R29" s="59">
        <f t="shared" si="0"/>
        <v>530.42765913814083</v>
      </c>
      <c r="S29" s="59">
        <f ca="1">AVERAGE(OFFSET($R$3,0,0,'Données projet'!$E$9+1,1))-AVERAGE(OFFSET($H$3,0,0,'Données projet'!$E$9+1,1))</f>
        <v>222.094802682965</v>
      </c>
      <c r="T29" s="59">
        <f t="shared" si="34"/>
        <v>325.33996570337496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24.388278689443325</v>
      </c>
      <c r="AB29" s="21">
        <f>EXP(-LN(2)/2)*AB28+(1-EXP(-LN(2)/2))/(LN(2)/2)*V29*Y29*VLOOKUP('Données projet'!$B$9,Paramètres!$A$1:$I$89,3,0)*0.475*44/12</f>
        <v>12.756921719035876</v>
      </c>
      <c r="AC29" s="22">
        <f t="shared" si="3"/>
        <v>37.145200408479198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290.99306237638319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16.514285714285712</v>
      </c>
      <c r="N30" s="13">
        <f>IF('Données projet'!$A$36&gt;35,N29+M30-V29,IF(A30&lt;'Données projet'!$A$36,$K$205^A30,IF(A30='Données projet'!$A$36,'Données projet'!$B$36,N29+M30-V29)))</f>
        <v>199.9285714285715</v>
      </c>
      <c r="O30" s="13">
        <f>N30*VLOOKUP('Données projet'!$B$9,Paramètres!$A$1:$I$89,3,0)*VLOOKUP('Données projet'!$B$9,Paramètres!$A$1:$I$89,5,0)</f>
        <v>119.55728571428575</v>
      </c>
      <c r="P30" s="13">
        <f t="shared" si="33"/>
        <v>31.571721255951683</v>
      </c>
      <c r="Q30" s="20">
        <f t="shared" si="2"/>
        <v>263.2163538064969</v>
      </c>
      <c r="R30" s="59">
        <f t="shared" si="0"/>
        <v>552.88302047316358</v>
      </c>
      <c r="S30" s="59">
        <f ca="1">AVERAGE(OFFSET($R$3,0,0,'Données projet'!$E$9+1,1))-AVERAGE(OFFSET($H$3,0,0,'Données projet'!$E$9+1,1))</f>
        <v>222.094802682965</v>
      </c>
      <c r="T30" s="59">
        <f t="shared" si="34"/>
        <v>325.33996570337496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23.721379926156661</v>
      </c>
      <c r="AB30" s="21">
        <f>EXP(-LN(2)/2)*AB29+(1-EXP(-LN(2)/2))/(LN(2)/2)*V30*Y30*VLOOKUP('Données projet'!$B$9,Paramètres!$A$1:$I$89,3,0)*0.475*44/12</f>
        <v>9.0205058545962178</v>
      </c>
      <c r="AC30" s="22">
        <f t="shared" si="3"/>
        <v>32.741885780752881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292.22651404374136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16.514285714285712</v>
      </c>
      <c r="N31" s="13">
        <f>IF('Données projet'!$A$36&gt;35,N30+M31-V30,IF(A31&lt;'Données projet'!$A$36,$K$205^A31,IF(A31='Données projet'!$A$36,'Données projet'!$B$36,N30+M31-V30)))</f>
        <v>216.44285714285721</v>
      </c>
      <c r="O31" s="13">
        <f>N31*VLOOKUP('Données projet'!$B$9,Paramètres!$A$1:$I$89,3,0)*VLOOKUP('Données projet'!$B$9,Paramètres!$A$1:$I$89,5,0)</f>
        <v>129.43282857142862</v>
      </c>
      <c r="P31" s="13">
        <f t="shared" si="33"/>
        <v>33.865269335932766</v>
      </c>
      <c r="Q31" s="20">
        <f t="shared" si="2"/>
        <v>284.41085385532108</v>
      </c>
      <c r="R31" s="59">
        <f t="shared" si="0"/>
        <v>575.29974274420988</v>
      </c>
      <c r="S31" s="59">
        <f ca="1">AVERAGE(OFFSET($R$3,0,0,'Données projet'!$E$9+1,1))-AVERAGE(OFFSET($H$3,0,0,'Données projet'!$E$9+1,1))</f>
        <v>222.094802682965</v>
      </c>
      <c r="T31" s="59">
        <f t="shared" si="34"/>
        <v>325.33996570337496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23.072717544622755</v>
      </c>
      <c r="AB31" s="21">
        <f>EXP(-LN(2)/2)*AB30+(1-EXP(-LN(2)/2))/(LN(2)/2)*V31*Y31*VLOOKUP('Données projet'!$B$9,Paramètres!$A$1:$I$89,3,0)*0.475*44/12</f>
        <v>6.3784608595179391</v>
      </c>
      <c r="AC31" s="22">
        <f t="shared" si="3"/>
        <v>29.451178404140695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293.45879348577108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16.514285714285712</v>
      </c>
      <c r="N32" s="13">
        <f>IF('Données projet'!$A$36&gt;35,N31+M32-V31,IF(A32&lt;'Données projet'!$A$36,$K$205^A32,IF(A32='Données projet'!$A$36,'Données projet'!$B$36,N31+M32-V31)))</f>
        <v>232.95714285714291</v>
      </c>
      <c r="O32" s="13">
        <f>N32*VLOOKUP('Données projet'!$B$9,Paramètres!$A$1:$I$89,3,0)*VLOOKUP('Données projet'!$B$9,Paramètres!$A$1:$I$89,5,0)</f>
        <v>139.30837142857149</v>
      </c>
      <c r="P32" s="13">
        <f t="shared" si="33"/>
        <v>36.138517462154546</v>
      </c>
      <c r="Q32" s="20">
        <f t="shared" si="2"/>
        <v>305.56999815134782</v>
      </c>
      <c r="R32" s="59">
        <f t="shared" si="0"/>
        <v>597.6811092624589</v>
      </c>
      <c r="S32" s="59">
        <f ca="1">AVERAGE(OFFSET($R$3,0,0,'Données projet'!$E$9+1,1))-AVERAGE(OFFSET($H$3,0,0,'Données projet'!$E$9+1,1))</f>
        <v>222.094802682965</v>
      </c>
      <c r="T32" s="59">
        <f t="shared" si="34"/>
        <v>325.33996570337496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22.441792870023562</v>
      </c>
      <c r="AB32" s="21">
        <f>EXP(-LN(2)/2)*AB31+(1-EXP(-LN(2)/2))/(LN(2)/2)*V32*Y32*VLOOKUP('Données projet'!$B$9,Paramètres!$A$1:$I$89,3,0)*0.475*44/12</f>
        <v>4.5102529272981098</v>
      </c>
      <c r="AC32" s="22">
        <f t="shared" si="3"/>
        <v>26.952045797321674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294.68994575680784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16.514285714285712</v>
      </c>
      <c r="N33" s="13">
        <f>IF('Données projet'!$A$36&gt;35,N32+M33-V32,IF(A33&lt;'Données projet'!$A$36,$K$205^A33,IF(A33='Données projet'!$A$36,'Données projet'!$B$36,N32+M33-V32)))</f>
        <v>249.47142857142862</v>
      </c>
      <c r="O33" s="13">
        <f>N33*VLOOKUP('Données projet'!$B$9,Paramètres!$A$1:$I$89,3,0)*VLOOKUP('Données projet'!$B$9,Paramètres!$A$1:$I$89,5,0)</f>
        <v>149.18391428571434</v>
      </c>
      <c r="P33" s="13">
        <f t="shared" si="33"/>
        <v>38.393068370849974</v>
      </c>
      <c r="Q33" s="20">
        <f t="shared" si="2"/>
        <v>326.69657812684949</v>
      </c>
      <c r="R33" s="59">
        <f t="shared" si="0"/>
        <v>620.0299114601828</v>
      </c>
      <c r="S33" s="59">
        <f ca="1">AVERAGE(OFFSET($R$3,0,0,'Données projet'!$E$9+1,1))-AVERAGE(OFFSET($H$3,0,0,'Données projet'!$E$9+1,1))</f>
        <v>222.094802682965</v>
      </c>
      <c r="T33" s="59">
        <f t="shared" si="34"/>
        <v>325.33996570337496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21.828120863830172</v>
      </c>
      <c r="AB33" s="21">
        <f>EXP(-LN(2)/2)*AB32+(1-EXP(-LN(2)/2))/(LN(2)/2)*V33*Y33*VLOOKUP('Données projet'!$B$9,Paramètres!$A$1:$I$89,3,0)*0.475*44/12</f>
        <v>3.18923042975897</v>
      </c>
      <c r="AC33" s="22">
        <f t="shared" si="3"/>
        <v>25.017351293589144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295.92001273712469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16.514285714285712</v>
      </c>
      <c r="N34" s="13">
        <f>IF('Données projet'!$A$36&gt;35,N33+M34-V33,IF(A34&lt;'Données projet'!$A$36,$K$205^A34,IF(A34='Données projet'!$A$36,'Données projet'!$B$36,N33+M34-V33)))</f>
        <v>265.98571428571432</v>
      </c>
      <c r="O34" s="13">
        <f>N34*VLOOKUP('Données projet'!$B$9,Paramètres!$A$1:$I$89,3,0)*VLOOKUP('Données projet'!$B$9,Paramètres!$A$1:$I$89,5,0)</f>
        <v>159.05945714285718</v>
      </c>
      <c r="P34" s="13">
        <f t="shared" si="33"/>
        <v>40.630300602067265</v>
      </c>
      <c r="Q34" s="20">
        <f t="shared" si="2"/>
        <v>347.79299473907673</v>
      </c>
      <c r="R34" s="59">
        <f t="shared" si="0"/>
        <v>641.12632807241005</v>
      </c>
      <c r="S34" s="59">
        <f ca="1">AVERAGE(OFFSET($R$3,0,0,'Données projet'!$E$9+1,1))-AVERAGE(OFFSET($H$3,0,0,'Données projet'!$E$9+1,1))</f>
        <v>222.094802682965</v>
      </c>
      <c r="T34" s="59">
        <f t="shared" si="34"/>
        <v>325.33996570337496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21.231229750917748</v>
      </c>
      <c r="AB34" s="21">
        <f>EXP(-LN(2)/2)*AB33+(1-EXP(-LN(2)/2))/(LN(2)/2)*V34*Y34*VLOOKUP('Données projet'!$B$9,Paramètres!$A$1:$I$89,3,0)*0.475*44/12</f>
        <v>2.2551264636490549</v>
      </c>
      <c r="AC34" s="22">
        <f t="shared" si="3"/>
        <v>23.486356214566804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297.14903345164504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282.5</v>
      </c>
      <c r="L35" s="12">
        <f>VLOOKUP(A35,'Données projet'!$A$35:$I$55,9,0)</f>
        <v>16.514285714285712</v>
      </c>
      <c r="M35" s="12">
        <f t="array" ref="M35">INDEX(L:L,MIN(IF(ISNUMBER(L35:L231),ROW(L35:L231),"")))</f>
        <v>16.514285714285712</v>
      </c>
      <c r="N35" s="13">
        <f>IF('Données projet'!$A$36&gt;35,N34+M35-V34,IF(A35&lt;'Données projet'!$A$36,$K$205^A35,IF(A35='Données projet'!$A$36,'Données projet'!$B$36,N34+M35-V34)))</f>
        <v>282.50000000000006</v>
      </c>
      <c r="O35" s="13">
        <f>N35*VLOOKUP('Données projet'!$B$9,Paramètres!$A$1:$I$89,3,0)*VLOOKUP('Données projet'!$B$9,Paramètres!$A$1:$I$89,5,0)</f>
        <v>168.93500000000006</v>
      </c>
      <c r="P35" s="13">
        <f t="shared" si="33"/>
        <v>42.851411842341875</v>
      </c>
      <c r="Q35" s="20">
        <f t="shared" ref="Q35:Q66" si="53">(O35+P35)*0.475*44/12</f>
        <v>368.86133395874549</v>
      </c>
      <c r="R35" s="59">
        <f t="shared" si="0"/>
        <v>662.19466729207875</v>
      </c>
      <c r="S35" s="59">
        <f ca="1">AVERAGE(OFFSET($R$3,0,0,'Données projet'!$E$9+1,1))-AVERAGE(OFFSET($H$3,0,0,'Données projet'!$E$9+1,1))</f>
        <v>222.094802682965</v>
      </c>
      <c r="T35" s="59">
        <f t="shared" si="34"/>
        <v>325.33996570337496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63.9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0.25200000000000006</v>
      </c>
      <c r="Y35" s="16">
        <f>IF(ISNA(VLOOKUP(A35,'Données projet'!$A$35:$I$55,7,0)),0%,VLOOKUP(A35,'Données projet'!$A$35:$I$55,7,0))</f>
        <v>0.44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33.374482548770111</v>
      </c>
      <c r="AB35" s="21">
        <f>EXP(-LN(2)/2)*AB34+(1-EXP(-LN(2)/2))/(LN(2)/2)*V35*Y35*VLOOKUP('Données projet'!$B$9,Paramètres!$A$1:$I$89,3,0)*0.475*44/12</f>
        <v>20.631253494677445</v>
      </c>
      <c r="AC35" s="22">
        <f t="shared" si="3"/>
        <v>54.005736043447556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298.37704434769694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14.915384615384616</v>
      </c>
      <c r="N36" s="13">
        <f>IF('Données projet'!$A$36&gt;35,N35+M36-V35,IF(A36&lt;'Données projet'!$A$36,$K$205^A36,IF(A36='Données projet'!$A$36,'Données projet'!$B$36,N35+M36-V35)))</f>
        <v>233.51538461538465</v>
      </c>
      <c r="O36" s="13">
        <f>N36*VLOOKUP('Données projet'!$B$9,Paramètres!$A$1:$I$89,3,0)*VLOOKUP('Données projet'!$B$9,Paramètres!$A$1:$I$89,5,0)</f>
        <v>139.64220000000003</v>
      </c>
      <c r="P36" s="13">
        <f t="shared" si="33"/>
        <v>36.215026335813917</v>
      </c>
      <c r="Q36" s="20">
        <f t="shared" si="53"/>
        <v>306.28466920154261</v>
      </c>
      <c r="R36" s="59">
        <f t="shared" si="0"/>
        <v>599.61800253487593</v>
      </c>
      <c r="S36" s="59">
        <f ca="1">AVERAGE(OFFSET($R$3,0,0,'Données projet'!$E$9+1,1))-AVERAGE(OFFSET($H$3,0,0,'Données projet'!$E$9+1,1))</f>
        <v>222.094802682965</v>
      </c>
      <c r="T36" s="59">
        <f t="shared" si="34"/>
        <v>325.33996570337496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32.461855568386234</v>
      </c>
      <c r="AB36" s="21">
        <f>EXP(-LN(2)/2)*AB35+(1-EXP(-LN(2)/2))/(LN(2)/2)*V36*Y36*VLOOKUP('Données projet'!$B$9,Paramètres!$A$1:$I$89,3,0)*0.475*44/12</f>
        <v>14.588499250465079</v>
      </c>
      <c r="AC36" s="22">
        <f t="shared" si="3"/>
        <v>47.050354818851311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299.60407953815456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14.915384615384616</v>
      </c>
      <c r="N37" s="13">
        <f>IF('Données projet'!$A$36&gt;35,N36+M37-V36,IF(A37&lt;'Données projet'!$A$36,$K$205^A37,IF(A37='Données projet'!$A$36,'Données projet'!$B$36,N36+M37-V36)))</f>
        <v>248.43076923076927</v>
      </c>
      <c r="O37" s="13">
        <f>N37*VLOOKUP('Données projet'!$B$9,Paramètres!$A$1:$I$89,3,0)*VLOOKUP('Données projet'!$B$9,Paramètres!$A$1:$I$89,5,0)</f>
        <v>148.56160000000003</v>
      </c>
      <c r="P37" s="13">
        <f t="shared" si="33"/>
        <v>38.251520972678406</v>
      </c>
      <c r="Q37" s="20">
        <f t="shared" si="53"/>
        <v>325.36618569408159</v>
      </c>
      <c r="R37" s="59">
        <f t="shared" si="0"/>
        <v>618.69951902741491</v>
      </c>
      <c r="S37" s="59">
        <f ca="1">AVERAGE(OFFSET($R$3,0,0,'Données projet'!$E$9+1,1))-AVERAGE(OFFSET($H$3,0,0,'Données projet'!$E$9+1,1))</f>
        <v>222.094802682965</v>
      </c>
      <c r="T37" s="59">
        <f t="shared" si="34"/>
        <v>325.33996570337496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31.574184420773921</v>
      </c>
      <c r="AB37" s="21">
        <f>EXP(-LN(2)/2)*AB36+(1-EXP(-LN(2)/2))/(LN(2)/2)*V37*Y37*VLOOKUP('Données projet'!$B$9,Paramètres!$A$1:$I$89,3,0)*0.475*44/12</f>
        <v>10.315626747338724</v>
      </c>
      <c r="AC37" s="22">
        <f t="shared" si="3"/>
        <v>41.889811168112644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300.83017101517061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14.915384615384616</v>
      </c>
      <c r="N38" s="13">
        <f>IF('Données projet'!$A$36&gt;35,N37+M38-V37,IF(A38&lt;'Données projet'!$A$36,$K$205^A38,IF(A38='Données projet'!$A$36,'Données projet'!$B$36,N37+M38-V37)))</f>
        <v>263.34615384615387</v>
      </c>
      <c r="O38" s="13">
        <f>N38*VLOOKUP('Données projet'!$B$9,Paramètres!$A$1:$I$89,3,0)*VLOOKUP('Données projet'!$B$9,Paramètres!$A$1:$I$89,5,0)</f>
        <v>157.48100000000002</v>
      </c>
      <c r="P38" s="13">
        <f t="shared" si="33"/>
        <v>40.273824245514902</v>
      </c>
      <c r="Q38" s="20">
        <f t="shared" si="53"/>
        <v>344.42298556093846</v>
      </c>
      <c r="R38" s="59">
        <f t="shared" si="0"/>
        <v>637.75631889427177</v>
      </c>
      <c r="S38" s="59">
        <f ca="1">AVERAGE(OFFSET($R$3,0,0,'Données projet'!$E$9+1,1))-AVERAGE(OFFSET($H$3,0,0,'Données projet'!$E$9+1,1))</f>
        <v>222.094802682965</v>
      </c>
      <c r="T38" s="59">
        <f t="shared" si="34"/>
        <v>325.33996570337496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30.710786687373663</v>
      </c>
      <c r="AB38" s="21">
        <f>EXP(-LN(2)/2)*AB37+(1-EXP(-LN(2)/2))/(LN(2)/2)*V38*Y38*VLOOKUP('Données projet'!$B$9,Paramètres!$A$1:$I$89,3,0)*0.475*44/12</f>
        <v>7.2942496252325411</v>
      </c>
      <c r="AC38" s="22">
        <f t="shared" si="3"/>
        <v>38.005036312606201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302.05534883879602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14.915384615384616</v>
      </c>
      <c r="N39" s="13">
        <f>IF('Données projet'!$A$36&gt;35,N38+M39-V38,IF(A39&lt;'Données projet'!$A$36,$K$205^A39,IF(A39='Données projet'!$A$36,'Données projet'!$B$36,N38+M39-V38)))</f>
        <v>278.26153846153846</v>
      </c>
      <c r="O39" s="13">
        <f>N39*VLOOKUP('Données projet'!$B$9,Paramètres!$A$1:$I$89,3,0)*VLOOKUP('Données projet'!$B$9,Paramètres!$A$1:$I$89,5,0)</f>
        <v>166.40040000000002</v>
      </c>
      <c r="P39" s="13">
        <f t="shared" si="33"/>
        <v>42.282831515240822</v>
      </c>
      <c r="Q39" s="20">
        <f t="shared" si="53"/>
        <v>363.45662822237773</v>
      </c>
      <c r="R39" s="59">
        <f t="shared" si="0"/>
        <v>656.78996155571099</v>
      </c>
      <c r="S39" s="59">
        <f ca="1">AVERAGE(OFFSET($R$3,0,0,'Données projet'!$E$9+1,1))-AVERAGE(OFFSET($H$3,0,0,'Données projet'!$E$9+1,1))</f>
        <v>222.094802682965</v>
      </c>
      <c r="T39" s="59">
        <f t="shared" si="34"/>
        <v>325.33996570337496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29.870998610397347</v>
      </c>
      <c r="AB39" s="21">
        <f>EXP(-LN(2)/2)*AB38+(1-EXP(-LN(2)/2))/(LN(2)/2)*V39*Y39*VLOOKUP('Données projet'!$B$9,Paramètres!$A$1:$I$89,3,0)*0.475*44/12</f>
        <v>5.157813373669363</v>
      </c>
      <c r="AC39" s="22">
        <f t="shared" si="3"/>
        <v>35.028811984066706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303.27964130405229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14.915384615384616</v>
      </c>
      <c r="N40" s="13">
        <f>IF('Données projet'!$A$36&gt;35,N39+M40-V39,IF(A40&lt;'Données projet'!$A$36,$K$205^A40,IF(A40='Données projet'!$A$36,'Données projet'!$B$36,N39+M40-V39)))</f>
        <v>293.17692307692306</v>
      </c>
      <c r="O40" s="13">
        <f>N40*VLOOKUP('Données projet'!$B$9,Paramètres!$A$1:$I$89,3,0)*VLOOKUP('Données projet'!$B$9,Paramètres!$A$1:$I$89,5,0)</f>
        <v>175.31980000000001</v>
      </c>
      <c r="P40" s="13">
        <f t="shared" si="33"/>
        <v>44.279336735295146</v>
      </c>
      <c r="Q40" s="20">
        <f t="shared" si="53"/>
        <v>382.46849648063909</v>
      </c>
      <c r="R40" s="59">
        <f t="shared" si="0"/>
        <v>675.8018298139724</v>
      </c>
      <c r="S40" s="59">
        <f ca="1">AVERAGE(OFFSET($R$3,0,0,'Données projet'!$E$9+1,1))-AVERAGE(OFFSET($H$3,0,0,'Données projet'!$E$9+1,1))</f>
        <v>222.094802682965</v>
      </c>
      <c r="T40" s="59">
        <f t="shared" si="34"/>
        <v>325.33996570337496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29.054174582548487</v>
      </c>
      <c r="AB40" s="21">
        <f>EXP(-LN(2)/2)*AB39+(1-EXP(-LN(2)/2))/(LN(2)/2)*V40*Y40*VLOOKUP('Données projet'!$B$9,Paramètres!$A$1:$I$89,3,0)*0.475*44/12</f>
        <v>3.647124812616271</v>
      </c>
      <c r="AC40" s="22">
        <f t="shared" si="3"/>
        <v>32.70129939516476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304.50307508943433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14.915384615384616</v>
      </c>
      <c r="N41" s="13">
        <f>IF('Données projet'!$A$36&gt;35,N40+M41-V40,IF(A41&lt;'Données projet'!$A$36,$K$205^A41,IF(A41='Données projet'!$A$36,'Données projet'!$B$36,N40+M41-V40)))</f>
        <v>308.09230769230766</v>
      </c>
      <c r="O41" s="13">
        <f>N41*VLOOKUP('Données projet'!$B$9,Paramètres!$A$1:$I$89,3,0)*VLOOKUP('Données projet'!$B$9,Paramètres!$A$1:$I$89,5,0)</f>
        <v>184.23919999999998</v>
      </c>
      <c r="P41" s="13">
        <f t="shared" si="33"/>
        <v>46.264048511153163</v>
      </c>
      <c r="Q41" s="20">
        <f t="shared" si="53"/>
        <v>401.45982449025837</v>
      </c>
      <c r="R41" s="59">
        <f t="shared" si="0"/>
        <v>694.79315782359163</v>
      </c>
      <c r="S41" s="59">
        <f ca="1">AVERAGE(OFFSET($R$3,0,0,'Données projet'!$E$9+1,1))-AVERAGE(OFFSET($H$3,0,0,'Données projet'!$E$9+1,1))</f>
        <v>222.094802682965</v>
      </c>
      <c r="T41" s="59">
        <f t="shared" si="34"/>
        <v>325.33996570337496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28.259686650696061</v>
      </c>
      <c r="AB41" s="21">
        <f>EXP(-LN(2)/2)*AB40+(1-EXP(-LN(2)/2))/(LN(2)/2)*V41*Y41*VLOOKUP('Données projet'!$B$9,Paramètres!$A$1:$I$89,3,0)*0.475*44/12</f>
        <v>2.5789066868346819</v>
      </c>
      <c r="AC41" s="22">
        <f t="shared" si="3"/>
        <v>30.838593337530742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305.72567538934157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14.915384615384616</v>
      </c>
      <c r="N42" s="13">
        <f>IF('Données projet'!$A$36&gt;35,N41+M42-V41,IF(A42&lt;'Données projet'!$A$36,$K$205^A42,IF(A42='Données projet'!$A$36,'Données projet'!$B$36,N41+M42-V41)))</f>
        <v>323.00769230769225</v>
      </c>
      <c r="O42" s="13">
        <f>N42*VLOOKUP('Données projet'!$B$9,Paramètres!$A$1:$I$89,3,0)*VLOOKUP('Données projet'!$B$9,Paramètres!$A$1:$I$89,5,0)</f>
        <v>193.15859999999998</v>
      </c>
      <c r="P42" s="13">
        <f t="shared" si="33"/>
        <v>48.237602961746205</v>
      </c>
      <c r="Q42" s="20">
        <f t="shared" si="53"/>
        <v>420.43172015837462</v>
      </c>
      <c r="R42" s="59">
        <f t="shared" si="0"/>
        <v>713.76505349170793</v>
      </c>
      <c r="S42" s="59">
        <f ca="1">AVERAGE(OFFSET($R$3,0,0,'Données projet'!$E$9+1,1))-AVERAGE(OFFSET($H$3,0,0,'Données projet'!$E$9+1,1))</f>
        <v>222.094802682965</v>
      </c>
      <c r="T42" s="59">
        <f t="shared" si="34"/>
        <v>325.33996570337496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27.486924033120445</v>
      </c>
      <c r="AB42" s="21">
        <f>EXP(-LN(2)/2)*AB41+(1-EXP(-LN(2)/2))/(LN(2)/2)*V42*Y42*VLOOKUP('Données projet'!$B$9,Paramètres!$A$1:$I$89,3,0)*0.475*44/12</f>
        <v>1.8235624063081357</v>
      </c>
      <c r="AC42" s="22">
        <f t="shared" si="3"/>
        <v>29.31048643942858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306.9474660325443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14.915384615384616</v>
      </c>
      <c r="N43" s="13">
        <f>IF('Données projet'!$A$36&gt;35,N42+M43-V42,IF(A43&lt;'Données projet'!$A$36,$K$205^A43,IF(A43='Données projet'!$A$36,'Données projet'!$B$36,N42+M43-V42)))</f>
        <v>337.92307692307685</v>
      </c>
      <c r="O43" s="13">
        <f>N43*VLOOKUP('Données projet'!$B$9,Paramètres!$A$1:$I$89,3,0)*VLOOKUP('Données projet'!$B$9,Paramètres!$A$1:$I$89,5,0)</f>
        <v>202.07799999999997</v>
      </c>
      <c r="P43" s="13">
        <f t="shared" si="33"/>
        <v>50.200574138096044</v>
      </c>
      <c r="Q43" s="20">
        <f t="shared" si="53"/>
        <v>439.38518329051726</v>
      </c>
      <c r="R43" s="59">
        <f t="shared" si="0"/>
        <v>732.71851662385052</v>
      </c>
      <c r="S43" s="59">
        <f ca="1">AVERAGE(OFFSET($R$3,0,0,'Données projet'!$E$9+1,1))-AVERAGE(OFFSET($H$3,0,0,'Données projet'!$E$9+1,1))</f>
        <v>222.094802682965</v>
      </c>
      <c r="T43" s="59">
        <f t="shared" si="34"/>
        <v>325.33996570337496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26.735292649960254</v>
      </c>
      <c r="AB43" s="21">
        <f>EXP(-LN(2)/2)*AB42+(1-EXP(-LN(2)/2))/(LN(2)/2)*V43*Y43*VLOOKUP('Données projet'!$B$9,Paramètres!$A$1:$I$89,3,0)*0.475*44/12</f>
        <v>1.289453343417341</v>
      </c>
      <c r="AC43" s="22">
        <f t="shared" si="3"/>
        <v>28.024745993377596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308.16846958846969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14.915384615384616</v>
      </c>
      <c r="N44" s="13">
        <f>IF('Données projet'!$A$36&gt;35,N43+M44-V43,IF(A44&lt;'Données projet'!$A$36,$K$205^A44,IF(A44='Données projet'!$A$36,'Données projet'!$B$36,N43+M44-V43)))</f>
        <v>352.83846153846144</v>
      </c>
      <c r="O44" s="13">
        <f>N44*VLOOKUP('Données projet'!$B$9,Paramètres!$A$1:$I$89,3,0)*VLOOKUP('Données projet'!$B$9,Paramètres!$A$1:$I$89,5,0)</f>
        <v>210.99739999999997</v>
      </c>
      <c r="P44" s="13">
        <f t="shared" si="33"/>
        <v>52.153482550567972</v>
      </c>
      <c r="Q44" s="20">
        <f t="shared" si="53"/>
        <v>458.32112044223913</v>
      </c>
      <c r="R44" s="59">
        <f t="shared" si="0"/>
        <v>751.65445377557239</v>
      </c>
      <c r="S44" s="59">
        <f ca="1">AVERAGE(OFFSET($R$3,0,0,'Données projet'!$E$9+1,1))-AVERAGE(OFFSET($H$3,0,0,'Données projet'!$E$9+1,1))</f>
        <v>222.094802682965</v>
      </c>
      <c r="T44" s="59">
        <f t="shared" si="34"/>
        <v>325.33996570337496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26.004214666499156</v>
      </c>
      <c r="AB44" s="21">
        <f>EXP(-LN(2)/2)*AB43+(1-EXP(-LN(2)/2))/(LN(2)/2)*V44*Y44*VLOOKUP('Données projet'!$B$9,Paramètres!$A$1:$I$89,3,0)*0.475*44/12</f>
        <v>0.91178120315406785</v>
      </c>
      <c r="AC44" s="22">
        <f t="shared" si="3"/>
        <v>26.915995869653223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309.38870746282663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14.915384615384616</v>
      </c>
      <c r="N45" s="13">
        <f>IF('Données projet'!$A$36&gt;35,N44+M45-V44,IF(A45&lt;'Données projet'!$A$36,$K$205^A45,IF(A45='Données projet'!$A$36,'Données projet'!$B$36,N44+M45-V44)))</f>
        <v>367.75384615384604</v>
      </c>
      <c r="O45" s="13">
        <f>N45*VLOOKUP('Données projet'!$B$9,Paramètres!$A$1:$I$89,3,0)*VLOOKUP('Données projet'!$B$9,Paramètres!$A$1:$I$89,5,0)</f>
        <v>219.91679999999994</v>
      </c>
      <c r="P45" s="13">
        <f t="shared" si="33"/>
        <v>54.096802213602508</v>
      </c>
      <c r="Q45" s="20">
        <f t="shared" si="53"/>
        <v>477.24035718869089</v>
      </c>
      <c r="R45" s="59">
        <f t="shared" si="0"/>
        <v>770.57369052202421</v>
      </c>
      <c r="S45" s="59">
        <f ca="1">AVERAGE(OFFSET($R$3,0,0,'Données projet'!$E$9+1,1))-AVERAGE(OFFSET($H$3,0,0,'Données projet'!$E$9+1,1))</f>
        <v>222.094802682965</v>
      </c>
      <c r="T45" s="59">
        <f t="shared" si="34"/>
        <v>325.33996570337496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25.293128048941519</v>
      </c>
      <c r="AB45" s="21">
        <f>EXP(-LN(2)/2)*AB44+(1-EXP(-LN(2)/2))/(LN(2)/2)*V45*Y45*VLOOKUP('Données projet'!$B$9,Paramètres!$A$1:$I$89,3,0)*0.475*44/12</f>
        <v>0.64472667170867048</v>
      </c>
      <c r="AC45" s="22">
        <f t="shared" si="3"/>
        <v>25.93785472065019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310.608199983867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14.915384615384616</v>
      </c>
      <c r="N46" s="13">
        <f>IF('Données projet'!$A$36&gt;35,N45+M46-V45,IF(A46&lt;'Données projet'!$A$36,$K$205^A46,IF(A46='Données projet'!$A$36,'Données projet'!$B$36,N45+M46-V45)))</f>
        <v>382.66923076923064</v>
      </c>
      <c r="O46" s="13">
        <f>N46*VLOOKUP('Données projet'!$B$9,Paramètres!$A$1:$I$89,3,0)*VLOOKUP('Données projet'!$B$9,Paramètres!$A$1:$I$89,5,0)</f>
        <v>228.83619999999993</v>
      </c>
      <c r="P46" s="13">
        <f t="shared" si="33"/>
        <v>56.030966515382502</v>
      </c>
      <c r="Q46" s="20">
        <f t="shared" si="53"/>
        <v>496.14364834762438</v>
      </c>
      <c r="R46" s="59">
        <f t="shared" si="0"/>
        <v>789.47698168095769</v>
      </c>
      <c r="S46" s="59">
        <f ca="1">AVERAGE(OFFSET($R$3,0,0,'Données projet'!$E$9+1,1))-AVERAGE(OFFSET($H$3,0,0,'Données projet'!$E$9+1,1))</f>
        <v>222.094802682965</v>
      </c>
      <c r="T46" s="59">
        <f t="shared" si="34"/>
        <v>325.33996570337496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24.601486132335417</v>
      </c>
      <c r="AB46" s="21">
        <f>EXP(-LN(2)/2)*AB45+(1-EXP(-LN(2)/2))/(LN(2)/2)*V46*Y46*VLOOKUP('Données projet'!$B$9,Paramètres!$A$1:$I$89,3,0)*0.475*44/12</f>
        <v>0.45589060157703393</v>
      </c>
      <c r="AC46" s="22">
        <f t="shared" si="3"/>
        <v>25.057376733912452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311.82696648039632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14.915384615384616</v>
      </c>
      <c r="N47" s="13">
        <f>IF('Données projet'!$A$36&gt;35,N46+M47-V46,IF(A47&lt;'Données projet'!$A$36,$K$205^A47,IF(A47='Données projet'!$A$36,'Données projet'!$B$36,N46+M47-V46)))</f>
        <v>397.58461538461523</v>
      </c>
      <c r="O47" s="13">
        <f>N47*VLOOKUP('Données projet'!$B$9,Paramètres!$A$1:$I$89,3,0)*VLOOKUP('Données projet'!$B$9,Paramètres!$A$1:$I$89,5,0)</f>
        <v>237.75559999999993</v>
      </c>
      <c r="P47" s="13">
        <f t="shared" si="33"/>
        <v>57.956373146620955</v>
      </c>
      <c r="Q47" s="20">
        <f t="shared" si="53"/>
        <v>515.03168656369814</v>
      </c>
      <c r="R47" s="59">
        <f t="shared" si="0"/>
        <v>808.36501989703152</v>
      </c>
      <c r="S47" s="59">
        <f ca="1">AVERAGE(OFFSET($R$3,0,0,'Données projet'!$E$9+1,1))-AVERAGE(OFFSET($H$3,0,0,'Données projet'!$E$9+1,1))</f>
        <v>222.094802682965</v>
      </c>
      <c r="T47" s="59">
        <f t="shared" si="34"/>
        <v>325.33996570337496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23.928757200310777</v>
      </c>
      <c r="AB47" s="21">
        <f>EXP(-LN(2)/2)*AB46+(1-EXP(-LN(2)/2))/(LN(2)/2)*V47*Y47*VLOOKUP('Données projet'!$B$9,Paramètres!$A$1:$I$89,3,0)*0.475*44/12</f>
        <v>0.32236333585433524</v>
      </c>
      <c r="AC47" s="22">
        <f t="shared" si="3"/>
        <v>24.251120536165111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313.04502535249287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412.5</v>
      </c>
      <c r="L48" s="12">
        <f>VLOOKUP(A48,'Données projet'!$A$35:$I$55,9,0)</f>
        <v>14.915384615384616</v>
      </c>
      <c r="M48" s="12">
        <f t="array" ref="M48">INDEX(L:L,MIN(IF(ISNUMBER(L48:L244),ROW(L48:L244),"")))</f>
        <v>14.915384615384616</v>
      </c>
      <c r="N48" s="13">
        <f>IF('Données projet'!$A$36&gt;35,N47+M48-V47,IF(A48&lt;'Données projet'!$A$36,$K$205^A48,IF(A48='Données projet'!$A$36,'Données projet'!$B$36,N47+M48-V47)))</f>
        <v>412.49999999999983</v>
      </c>
      <c r="O48" s="13">
        <f>N48*VLOOKUP('Données projet'!$B$9,Paramètres!$A$1:$I$89,3,0)*VLOOKUP('Données projet'!$B$9,Paramètres!$A$1:$I$89,5,0)</f>
        <v>246.67499999999993</v>
      </c>
      <c r="P48" s="13">
        <f t="shared" si="33"/>
        <v>59.8733882689395</v>
      </c>
      <c r="Q48" s="20">
        <f t="shared" si="53"/>
        <v>533.90510956840285</v>
      </c>
      <c r="R48" s="59">
        <f t="shared" si="0"/>
        <v>827.23844290173611</v>
      </c>
      <c r="S48" s="59">
        <f ca="1">AVERAGE(OFFSET($R$3,0,0,'Données projet'!$E$9+1,1))-AVERAGE(OFFSET($H$3,0,0,'Données projet'!$E$9+1,1))</f>
        <v>222.094802682965</v>
      </c>
      <c r="T48" s="59">
        <f t="shared" si="34"/>
        <v>325.33996570337496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412.5</v>
      </c>
      <c r="W48" s="16">
        <f>IF(ISNA(VLOOKUP(A48,'Données projet'!$A$35:$I$55,5,0)),0%,VLOOKUP(A48,'Données projet'!$A$35:$I$55,5,0)*VLOOKUP('Données projet'!$B$9,Paramètres!$A$1:$I$89,7,0))</f>
        <v>0.315</v>
      </c>
      <c r="X48" s="16">
        <f>IF(ISNA(VLOOKUP(A48,'Données projet'!$A$35:$I$55,6,0)),0%,VLOOKUP(A48,'Données projet'!$A$35:$I$55,6,0)*VLOOKUP('Données projet'!$B$9,Paramètres!$A$1:$I$89,7,0))</f>
        <v>7.6500000000000012E-2</v>
      </c>
      <c r="Y48" s="16">
        <f>IF(ISNA(VLOOKUP(A48,'Données projet'!$A$35:$I$55,7,0)),0%,VLOOKUP(A48,'Données projet'!$A$35:$I$55,7,0))</f>
        <v>0.13</v>
      </c>
      <c r="Z48" s="21">
        <f>EXP(-LN(2)/35)*Z47+(1-EXP(-LN(2)/35))/(LN(2)/35)*V48*W48*VLOOKUP('Données projet'!$B$9,Paramètres!$A$1:$I$89,3,0)*0.475*44/12</f>
        <v>103.07754041934778</v>
      </c>
      <c r="AA48" s="21">
        <f>EXP(-LN(2)/25)*AA47+(1-EXP(-LN(2)/25))/(LN(2)/25)*Calculateur!V48*Calculateur!X48*VLOOKUP('Données projet'!$B$9,Paramètres!$A$1:$I$89,3,0)*0.475*44/12</f>
        <v>48.208976115461226</v>
      </c>
      <c r="AB48" s="21">
        <f>EXP(-LN(2)/2)*AB47+(1-EXP(-LN(2)/2))/(LN(2)/2)*V48*Y48*VLOOKUP('Données projet'!$B$9,Paramètres!$A$1:$I$89,3,0)*0.475*44/12</f>
        <v>36.536087559792847</v>
      </c>
      <c r="AC48" s="22">
        <f t="shared" si="3"/>
        <v>187.82260409460184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314.26239413576309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-1.7053025658242404E-13</v>
      </c>
      <c r="O49" s="13">
        <f>N49*VLOOKUP('Données projet'!$B$9,Paramètres!$A$1:$I$89,3,0)*VLOOKUP('Données projet'!$B$9,Paramètres!$A$1:$I$89,5,0)</f>
        <v>-1.0197709343628959E-13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222.094802682965</v>
      </c>
      <c r="T49" s="59">
        <f t="shared" si="34"/>
        <v>325.33996570337496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101.05625272281603</v>
      </c>
      <c r="AA49" s="21">
        <f>EXP(-LN(2)/25)*AA48+(1-EXP(-LN(2)/25))/(LN(2)/25)*Calculateur!V49*Calculateur!X49*VLOOKUP('Données projet'!$B$9,Paramètres!$A$1:$I$89,3,0)*0.475*44/12</f>
        <v>46.890699128384071</v>
      </c>
      <c r="AB49" s="21">
        <f>EXP(-LN(2)/2)*AB48+(1-EXP(-LN(2)/2))/(LN(2)/2)*V49*Y49*VLOOKUP('Données projet'!$B$9,Paramètres!$A$1:$I$89,3,0)*0.475*44/12</f>
        <v>25.834915271554983</v>
      </c>
      <c r="AC49" s="22">
        <f t="shared" si="3"/>
        <v>173.78186712275507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315.47908955985213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-1.7053025658242404E-13</v>
      </c>
      <c r="O50" s="13">
        <f>N50*VLOOKUP('Données projet'!$B$9,Paramètres!$A$1:$I$89,3,0)*VLOOKUP('Données projet'!$B$9,Paramètres!$A$1:$I$89,5,0)</f>
        <v>-1.0197709343628959E-13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222.094802682965</v>
      </c>
      <c r="T50" s="59">
        <f t="shared" si="34"/>
        <v>325.33996570337496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99.074601245149495</v>
      </c>
      <c r="AA50" s="21">
        <f>EXP(-LN(2)/25)*AA49+(1-EXP(-LN(2)/25))/(LN(2)/25)*Calculateur!V50*Calculateur!X50*VLOOKUP('Données projet'!$B$9,Paramètres!$A$1:$I$89,3,0)*0.475*44/12</f>
        <v>45.608470494843715</v>
      </c>
      <c r="AB50" s="21">
        <f>EXP(-LN(2)/2)*AB49+(1-EXP(-LN(2)/2))/(LN(2)/2)*V50*Y50*VLOOKUP('Données projet'!$B$9,Paramètres!$A$1:$I$89,3,0)*0.475*44/12</f>
        <v>18.268043779896427</v>
      </c>
      <c r="AC50" s="22">
        <f t="shared" si="3"/>
        <v>162.95111551988964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316.69512760183437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-1.7053025658242404E-13</v>
      </c>
      <c r="O51" s="13">
        <f>N51*VLOOKUP('Données projet'!$B$9,Paramètres!$A$1:$I$89,3,0)*VLOOKUP('Données projet'!$B$9,Paramètres!$A$1:$I$89,5,0)</f>
        <v>-1.0197709343628959E-13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222.094802682965</v>
      </c>
      <c r="T51" s="59">
        <f t="shared" si="34"/>
        <v>325.33996570337496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97.13180874427195</v>
      </c>
      <c r="AA51" s="21">
        <f>EXP(-LN(2)/25)*AA50+(1-EXP(-LN(2)/25))/(LN(2)/25)*Calculateur!V51*Calculateur!X51*VLOOKUP('Données projet'!$B$9,Paramètres!$A$1:$I$89,3,0)*0.475*44/12</f>
        <v>44.361304470716988</v>
      </c>
      <c r="AB51" s="21">
        <f>EXP(-LN(2)/2)*AB50+(1-EXP(-LN(2)/2))/(LN(2)/2)*V51*Y51*VLOOKUP('Données projet'!$B$9,Paramètres!$A$1:$I$89,3,0)*0.475*44/12</f>
        <v>12.917457635777494</v>
      </c>
      <c r="AC51" s="22">
        <f t="shared" si="3"/>
        <v>154.41057085076642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317.91052353502909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-1.7053025658242404E-13</v>
      </c>
      <c r="O52" s="13">
        <f>N52*VLOOKUP('Données projet'!$B$9,Paramètres!$A$1:$I$89,3,0)*VLOOKUP('Données projet'!$B$9,Paramètres!$A$1:$I$89,5,0)</f>
        <v>-1.0197709343628959E-13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222.094802682965</v>
      </c>
      <c r="T52" s="59">
        <f t="shared" si="34"/>
        <v>325.33996570337496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95.227113219350201</v>
      </c>
      <c r="AA52" s="21">
        <f>EXP(-LN(2)/25)*AA51+(1-EXP(-LN(2)/25))/(LN(2)/25)*Calculateur!V52*Calculateur!X52*VLOOKUP('Données projet'!$B$9,Paramètres!$A$1:$I$89,3,0)*0.475*44/12</f>
        <v>43.148242267105616</v>
      </c>
      <c r="AB52" s="21">
        <f>EXP(-LN(2)/2)*AB51+(1-EXP(-LN(2)/2))/(LN(2)/2)*V52*Y52*VLOOKUP('Données projet'!$B$9,Paramètres!$A$1:$I$89,3,0)*0.475*44/12</f>
        <v>9.1340218899482135</v>
      </c>
      <c r="AC52" s="22">
        <f t="shared" si="3"/>
        <v>147.50937737640402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319.12529197371839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-1.7053025658242404E-13</v>
      </c>
      <c r="O53" s="13">
        <f>N53*VLOOKUP('Données projet'!$B$9,Paramètres!$A$1:$I$89,3,0)*VLOOKUP('Données projet'!$B$9,Paramètres!$A$1:$I$89,5,0)</f>
        <v>-1.0197709343628959E-13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222.094802682965</v>
      </c>
      <c r="T53" s="59">
        <f t="shared" si="34"/>
        <v>325.33996570337496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93.359767611922607</v>
      </c>
      <c r="AA53" s="21">
        <f>EXP(-LN(2)/25)*AA52+(1-EXP(-LN(2)/25))/(LN(2)/25)*Calculateur!V53*Calculateur!X53*VLOOKUP('Données projet'!$B$9,Paramètres!$A$1:$I$89,3,0)*0.475*44/12</f>
        <v>41.96835131324417</v>
      </c>
      <c r="AB53" s="21">
        <f>EXP(-LN(2)/2)*AB52+(1-EXP(-LN(2)/2))/(LN(2)/2)*V53*Y53*VLOOKUP('Données projet'!$B$9,Paramètres!$A$1:$I$89,3,0)*0.475*44/12</f>
        <v>6.4587288178887468</v>
      </c>
      <c r="AC53" s="22">
        <f t="shared" si="3"/>
        <v>141.78684774305555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320.33944691418702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-1.7053025658242404E-13</v>
      </c>
      <c r="O54" s="13">
        <f>N54*VLOOKUP('Données projet'!$B$9,Paramètres!$A$1:$I$89,3,0)*VLOOKUP('Données projet'!$B$9,Paramètres!$A$1:$I$89,5,0)</f>
        <v>-1.0197709343628959E-13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222.094802682965</v>
      </c>
      <c r="T54" s="59">
        <f t="shared" si="34"/>
        <v>325.33996570337496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91.529039512888318</v>
      </c>
      <c r="AA54" s="21">
        <f>EXP(-LN(2)/25)*AA53+(1-EXP(-LN(2)/25))/(LN(2)/25)*Calculateur!V54*Calculateur!X54*VLOOKUP('Données projet'!$B$9,Paramètres!$A$1:$I$89,3,0)*0.475*44/12</f>
        <v>40.820724539563834</v>
      </c>
      <c r="AB54" s="21">
        <f>EXP(-LN(2)/2)*AB53+(1-EXP(-LN(2)/2))/(LN(2)/2)*V54*Y54*VLOOKUP('Données projet'!$B$9,Paramètres!$A$1:$I$89,3,0)*0.475*44/12</f>
        <v>4.5670109449741068</v>
      </c>
      <c r="AC54" s="22">
        <f t="shared" si="3"/>
        <v>136.91677499742624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321.55300177245209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-1.7053025658242404E-13</v>
      </c>
      <c r="O55" s="13">
        <f>N55*VLOOKUP('Données projet'!$B$9,Paramètres!$A$1:$I$89,3,0)*VLOOKUP('Données projet'!$B$9,Paramètres!$A$1:$I$89,5,0)</f>
        <v>-1.0197709343628959E-13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222.094802682965</v>
      </c>
      <c r="T55" s="59">
        <f t="shared" si="34"/>
        <v>325.33996570337496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89.734210875242198</v>
      </c>
      <c r="AA55" s="21">
        <f>EXP(-LN(2)/25)*AA54+(1-EXP(-LN(2)/25))/(LN(2)/25)*Calculateur!V55*Calculateur!X55*VLOOKUP('Données projet'!$B$9,Paramètres!$A$1:$I$89,3,0)*0.475*44/12</f>
        <v>39.704479680360855</v>
      </c>
      <c r="AB55" s="21">
        <f>EXP(-LN(2)/2)*AB54+(1-EXP(-LN(2)/2))/(LN(2)/2)*V55*Y55*VLOOKUP('Données projet'!$B$9,Paramètres!$A$1:$I$89,3,0)*0.475*44/12</f>
        <v>3.2293644089443734</v>
      </c>
      <c r="AC55" s="22">
        <f t="shared" si="3"/>
        <v>132.66805496454742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322.76596941900885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-1.7053025658242404E-13</v>
      </c>
      <c r="O56" s="13">
        <f>N56*VLOOKUP('Données projet'!$B$9,Paramètres!$A$1:$I$89,3,0)*VLOOKUP('Données projet'!$B$9,Paramètres!$A$1:$I$89,5,0)</f>
        <v>-1.0197709343628959E-13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222.094802682965</v>
      </c>
      <c r="T56" s="59">
        <f t="shared" si="34"/>
        <v>325.33996570337496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87.974577732442953</v>
      </c>
      <c r="AA56" s="21">
        <f>EXP(-LN(2)/25)*AA55+(1-EXP(-LN(2)/25))/(LN(2)/25)*Calculateur!V56*Calculateur!X56*VLOOKUP('Données projet'!$B$9,Paramètres!$A$1:$I$89,3,0)*0.475*44/12</f>
        <v>38.618758595533549</v>
      </c>
      <c r="AB56" s="21">
        <f>EXP(-LN(2)/2)*AB55+(1-EXP(-LN(2)/2))/(LN(2)/2)*V56*Y56*VLOOKUP('Données projet'!$B$9,Paramètres!$A$1:$I$89,3,0)*0.475*44/12</f>
        <v>2.2835054724870534</v>
      </c>
      <c r="AC56" s="22">
        <f t="shared" si="3"/>
        <v>128.87684180046355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323.97836221087948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-1.7053025658242404E-13</v>
      </c>
      <c r="O57" s="13">
        <f>N57*VLOOKUP('Données projet'!$B$9,Paramètres!$A$1:$I$89,3,0)*VLOOKUP('Données projet'!$B$9,Paramètres!$A$1:$I$89,5,0)</f>
        <v>-1.0197709343628959E-13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222.094802682965</v>
      </c>
      <c r="T57" s="59">
        <f t="shared" si="34"/>
        <v>325.33996570337496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86.249449922303754</v>
      </c>
      <c r="AA57" s="21">
        <f>EXP(-LN(2)/25)*AA56+(1-EXP(-LN(2)/25))/(LN(2)/25)*Calculateur!V57*Calculateur!X57*VLOOKUP('Données projet'!$B$9,Paramètres!$A$1:$I$89,3,0)*0.475*44/12</f>
        <v>37.562726610866434</v>
      </c>
      <c r="AB57" s="21">
        <f>EXP(-LN(2)/2)*AB56+(1-EXP(-LN(2)/2))/(LN(2)/2)*V57*Y57*VLOOKUP('Données projet'!$B$9,Paramètres!$A$1:$I$89,3,0)*0.475*44/12</f>
        <v>1.6146822044721867</v>
      </c>
      <c r="AC57" s="22">
        <f t="shared" si="3"/>
        <v>125.42685873764238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325.19019202122132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-1.7053025658242404E-13</v>
      </c>
      <c r="O58" s="13">
        <f>N58*VLOOKUP('Données projet'!$B$9,Paramètres!$A$1:$I$89,3,0)*VLOOKUP('Données projet'!$B$9,Paramètres!$A$1:$I$89,5,0)</f>
        <v>-1.0197709343628959E-13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222.094802682965</v>
      </c>
      <c r="T58" s="59">
        <f t="shared" si="34"/>
        <v>325.33996570337496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84.558150816297328</v>
      </c>
      <c r="AA58" s="21">
        <f>EXP(-LN(2)/25)*AA57+(1-EXP(-LN(2)/25))/(LN(2)/25)*Calculateur!V58*Calculateur!X58*VLOOKUP('Données projet'!$B$9,Paramètres!$A$1:$I$89,3,0)*0.475*44/12</f>
        <v>36.535571876354354</v>
      </c>
      <c r="AB58" s="21">
        <f>EXP(-LN(2)/2)*AB57+(1-EXP(-LN(2)/2))/(LN(2)/2)*V58*Y58*VLOOKUP('Données projet'!$B$9,Paramètres!$A$1:$I$89,3,0)*0.475*44/12</f>
        <v>1.1417527362435267</v>
      </c>
      <c r="AC58" s="22">
        <f t="shared" si="3"/>
        <v>122.23547542889521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326.40147026672037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-1.7053025658242404E-13</v>
      </c>
      <c r="O59" s="13">
        <f>N59*VLOOKUP('Données projet'!$B$9,Paramètres!$A$1:$I$89,3,0)*VLOOKUP('Données projet'!$B$9,Paramètres!$A$1:$I$89,5,0)</f>
        <v>-1.0197709343628959E-13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222.094802682965</v>
      </c>
      <c r="T59" s="59">
        <f t="shared" si="34"/>
        <v>325.33996570337496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82.900017054169084</v>
      </c>
      <c r="AA59" s="21">
        <f>EXP(-LN(2)/25)*AA58+(1-EXP(-LN(2)/25))/(LN(2)/25)*Calculateur!V59*Calculateur!X59*VLOOKUP('Données projet'!$B$9,Paramètres!$A$1:$I$89,3,0)*0.475*44/12</f>
        <v>35.53650474207322</v>
      </c>
      <c r="AB59" s="21">
        <f>EXP(-LN(2)/2)*AB58+(1-EXP(-LN(2)/2))/(LN(2)/2)*V59*Y59*VLOOKUP('Données projet'!$B$9,Paramètres!$A$1:$I$89,3,0)*0.475*44/12</f>
        <v>0.80734110223609334</v>
      </c>
      <c r="AC59" s="22">
        <f t="shared" si="3"/>
        <v>119.2438628984784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327.61220793297304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-1.7053025658242404E-13</v>
      </c>
      <c r="O60" s="13">
        <f>N60*VLOOKUP('Données projet'!$B$9,Paramètres!$A$1:$I$89,3,0)*VLOOKUP('Données projet'!$B$9,Paramètres!$A$1:$I$89,5,0)</f>
        <v>-1.0197709343628959E-13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222.094802682965</v>
      </c>
      <c r="T60" s="59">
        <f t="shared" si="34"/>
        <v>325.33996570337496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81.274398283754451</v>
      </c>
      <c r="AA60" s="21">
        <f>EXP(-LN(2)/25)*AA59+(1-EXP(-LN(2)/25))/(LN(2)/25)*Calculateur!V60*Calculateur!X60*VLOOKUP('Données projet'!$B$9,Paramètres!$A$1:$I$89,3,0)*0.475*44/12</f>
        <v>34.564757151117661</v>
      </c>
      <c r="AB60" s="21">
        <f>EXP(-LN(2)/2)*AB59+(1-EXP(-LN(2)/2))/(LN(2)/2)*V60*Y60*VLOOKUP('Données projet'!$B$9,Paramètres!$A$1:$I$89,3,0)*0.475*44/12</f>
        <v>0.57087636812176334</v>
      </c>
      <c r="AC60" s="22">
        <f t="shared" si="3"/>
        <v>116.41003180299387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328.82241559803606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-1.7053025658242404E-13</v>
      </c>
      <c r="O61" s="13">
        <f>N61*VLOOKUP('Données projet'!$B$9,Paramètres!$A$1:$I$89,3,0)*VLOOKUP('Données projet'!$B$9,Paramètres!$A$1:$I$89,5,0)</f>
        <v>-1.0197709343628959E-13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222.094802682965</v>
      </c>
      <c r="T61" s="59">
        <f t="shared" si="34"/>
        <v>325.33996570337496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79.680656905898104</v>
      </c>
      <c r="AA61" s="21">
        <f>EXP(-LN(2)/25)*AA60+(1-EXP(-LN(2)/25))/(LN(2)/25)*Calculateur!V61*Calculateur!X61*VLOOKUP('Données projet'!$B$9,Paramètres!$A$1:$I$89,3,0)*0.475*44/12</f>
        <v>33.619582049138771</v>
      </c>
      <c r="AB61" s="21">
        <f>EXP(-LN(2)/2)*AB60+(1-EXP(-LN(2)/2))/(LN(2)/2)*V61*Y61*VLOOKUP('Données projet'!$B$9,Paramètres!$A$1:$I$89,3,0)*0.475*44/12</f>
        <v>0.40367055111804667</v>
      </c>
      <c r="AC61" s="22">
        <f t="shared" si="3"/>
        <v>113.70390950615491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330.03210345430642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-1.7053025658242404E-13</v>
      </c>
      <c r="O62" s="13">
        <f>N62*VLOOKUP('Données projet'!$B$9,Paramètres!$A$1:$I$89,3,0)*VLOOKUP('Données projet'!$B$9,Paramètres!$A$1:$I$89,5,0)</f>
        <v>-1.0197709343628959E-13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222.094802682965</v>
      </c>
      <c r="T62" s="59">
        <f t="shared" si="34"/>
        <v>325.33996570337496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78.118167824375263</v>
      </c>
      <c r="AA62" s="21">
        <f>EXP(-LN(2)/25)*AA61+(1-EXP(-LN(2)/25))/(LN(2)/25)*Calculateur!V62*Calculateur!X62*VLOOKUP('Données projet'!$B$9,Paramètres!$A$1:$I$89,3,0)*0.475*44/12</f>
        <v>32.70025281002809</v>
      </c>
      <c r="AB62" s="21">
        <f>EXP(-LN(2)/2)*AB61+(1-EXP(-LN(2)/2))/(LN(2)/2)*V62*Y62*VLOOKUP('Données projet'!$B$9,Paramètres!$A$1:$I$89,3,0)*0.475*44/12</f>
        <v>0.28543818406088167</v>
      </c>
      <c r="AC62" s="22">
        <f t="shared" si="3"/>
        <v>111.10385881846423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331.24128132887591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-1.7053025658242404E-13</v>
      </c>
      <c r="O63" s="13">
        <f>N63*VLOOKUP('Données projet'!$B$9,Paramètres!$A$1:$I$89,3,0)*VLOOKUP('Données projet'!$B$9,Paramètres!$A$1:$I$89,5,0)</f>
        <v>-1.0197709343628959E-13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222.094802682965</v>
      </c>
      <c r="T63" s="59">
        <f t="shared" si="34"/>
        <v>325.33996570337496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76.586318200716846</v>
      </c>
      <c r="AA63" s="21">
        <f>EXP(-LN(2)/25)*AA62+(1-EXP(-LN(2)/25))/(LN(2)/25)*Calculateur!V63*Calculateur!X63*VLOOKUP('Données projet'!$B$9,Paramètres!$A$1:$I$89,3,0)*0.475*44/12</f>
        <v>31.806062677306315</v>
      </c>
      <c r="AB63" s="21">
        <f>EXP(-LN(2)/2)*AB62+(1-EXP(-LN(2)/2))/(LN(2)/2)*V63*Y63*VLOOKUP('Données projet'!$B$9,Paramètres!$A$1:$I$89,3,0)*0.475*44/12</f>
        <v>0.20183527555902334</v>
      </c>
      <c r="AC63" s="22">
        <f t="shared" si="3"/>
        <v>108.59421615358218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332.44995870249011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-1.7053025658242404E-13</v>
      </c>
      <c r="O64" s="13">
        <f>N64*VLOOKUP('Données projet'!$B$9,Paramètres!$A$1:$I$89,3,0)*VLOOKUP('Données projet'!$B$9,Paramètres!$A$1:$I$89,5,0)</f>
        <v>-1.0197709343628959E-13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222.094802682965</v>
      </c>
      <c r="T64" s="59">
        <f t="shared" si="34"/>
        <v>325.33996570337496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75.084507213842357</v>
      </c>
      <c r="AA64" s="21">
        <f>EXP(-LN(2)/25)*AA63+(1-EXP(-LN(2)/25))/(LN(2)/25)*Calculateur!V64*Calculateur!X64*VLOOKUP('Données projet'!$B$9,Paramètres!$A$1:$I$89,3,0)*0.475*44/12</f>
        <v>30.936324220787231</v>
      </c>
      <c r="AB64" s="21">
        <f>EXP(-LN(2)/2)*AB63+(1-EXP(-LN(2)/2))/(LN(2)/2)*V64*Y64*VLOOKUP('Données projet'!$B$9,Paramètres!$A$1:$I$89,3,0)*0.475*44/12</f>
        <v>0.14271909203044084</v>
      </c>
      <c r="AC64" s="22">
        <f t="shared" si="3"/>
        <v>106.16355052666003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333.65814472722889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-1.7053025658242404E-13</v>
      </c>
      <c r="O65" s="13">
        <f>N65*VLOOKUP('Données projet'!$B$9,Paramètres!$A$1:$I$89,3,0)*VLOOKUP('Données projet'!$B$9,Paramètres!$A$1:$I$89,5,0)</f>
        <v>-1.0197709343628959E-13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222.094802682965</v>
      </c>
      <c r="T65" s="59">
        <f t="shared" si="34"/>
        <v>325.33996570337496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73.612145824406227</v>
      </c>
      <c r="AA65" s="21">
        <f>EXP(-LN(2)/25)*AA64+(1-EXP(-LN(2)/25))/(LN(2)/25)*Calculateur!V65*Calculateur!X65*VLOOKUP('Données projet'!$B$9,Paramètres!$A$1:$I$89,3,0)*0.475*44/12</f>
        <v>30.090368808099221</v>
      </c>
      <c r="AB65" s="21">
        <f>EXP(-LN(2)/2)*AB64+(1-EXP(-LN(2)/2))/(LN(2)/2)*V65*Y65*VLOOKUP('Données projet'!$B$9,Paramètres!$A$1:$I$89,3,0)*0.475*44/12</f>
        <v>0.10091763777951167</v>
      </c>
      <c r="AC65" s="22">
        <f t="shared" si="3"/>
        <v>103.80343227028497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334.86584824301428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-1.7053025658242404E-13</v>
      </c>
      <c r="O66" s="13">
        <f>N66*VLOOKUP('Données projet'!$B$9,Paramètres!$A$1:$I$89,3,0)*VLOOKUP('Données projet'!$B$9,Paramètres!$A$1:$I$89,5,0)</f>
        <v>-1.0197709343628959E-13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222.094802682965</v>
      </c>
      <c r="T66" s="59">
        <f t="shared" si="34"/>
        <v>325.33996570337496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72.168656543765167</v>
      </c>
      <c r="AA66" s="21">
        <f>EXP(-LN(2)/25)*AA65+(1-EXP(-LN(2)/25))/(LN(2)/25)*Calculateur!V66*Calculateur!X66*VLOOKUP('Données projet'!$B$9,Paramètres!$A$1:$I$89,3,0)*0.475*44/12</f>
        <v>29.267546090658026</v>
      </c>
      <c r="AB66" s="21">
        <f>EXP(-LN(2)/2)*AB65+(1-EXP(-LN(2)/2))/(LN(2)/2)*V66*Y66*VLOOKUP('Données projet'!$B$9,Paramètres!$A$1:$I$89,3,0)*0.475*44/12</f>
        <v>7.1359546015220418E-2</v>
      </c>
      <c r="AC66" s="22">
        <f t="shared" si="3"/>
        <v>101.50756218043841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336.07307779303983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-1.7053025658242404E-13</v>
      </c>
      <c r="O67" s="13">
        <f>N67*VLOOKUP('Données projet'!$B$9,Paramètres!$A$1:$I$89,3,0)*VLOOKUP('Données projet'!$B$9,Paramètres!$A$1:$I$89,5,0)</f>
        <v>-1.0197709343628959E-13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222.094802682965</v>
      </c>
      <c r="T67" s="59">
        <f t="shared" si="34"/>
        <v>325.33996570337496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70.753473207475949</v>
      </c>
      <c r="AA67" s="21">
        <f>EXP(-LN(2)/25)*AA66+(1-EXP(-LN(2)/25))/(LN(2)/25)*Calculateur!V67*Calculateur!X67*VLOOKUP('Données projet'!$B$9,Paramètres!$A$1:$I$89,3,0)*0.475*44/12</f>
        <v>28.467223503695624</v>
      </c>
      <c r="AB67" s="21">
        <f>EXP(-LN(2)/2)*AB66+(1-EXP(-LN(2)/2))/(LN(2)/2)*V67*Y67*VLOOKUP('Données projet'!$B$9,Paramètres!$A$1:$I$89,3,0)*0.475*44/12</f>
        <v>5.0458818889755834E-2</v>
      </c>
      <c r="AC67" s="22">
        <f t="shared" si="3"/>
        <v>99.271155530061321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337.27984163820884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-1.7053025658242404E-13</v>
      </c>
      <c r="O68" s="13">
        <f>N68*VLOOKUP('Données projet'!$B$9,Paramètres!$A$1:$I$89,3,0)*VLOOKUP('Données projet'!$B$9,Paramètres!$A$1:$I$89,5,0)</f>
        <v>-1.0197709343628959E-13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222.094802682965</v>
      </c>
      <c r="T68" s="59">
        <f t="shared" si="34"/>
        <v>325.33996570337496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69.36604075323477</v>
      </c>
      <c r="AA68" s="21">
        <f>EXP(-LN(2)/25)*AA67+(1-EXP(-LN(2)/25))/(LN(2)/25)*Calculateur!V68*Calculateur!X68*VLOOKUP('Données projet'!$B$9,Paramètres!$A$1:$I$89,3,0)*0.475*44/12</f>
        <v>27.688785779960845</v>
      </c>
      <c r="AB68" s="21">
        <f>EXP(-LN(2)/2)*AB67+(1-EXP(-LN(2)/2))/(LN(2)/2)*V68*Y68*VLOOKUP('Données projet'!$B$9,Paramètres!$A$1:$I$89,3,0)*0.475*44/12</f>
        <v>3.5679773007610209E-2</v>
      </c>
      <c r="AC68" s="22">
        <f t="shared" ref="AC68:AC131" si="57">SUM(Z68:AB68)</f>
        <v>97.090506306203224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338.48614777065865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-1.7053025658242404E-13</v>
      </c>
      <c r="O69" s="13">
        <f>N69*VLOOKUP('Données projet'!$B$9,Paramètres!$A$1:$I$89,3,0)*VLOOKUP('Données projet'!$B$9,Paramètres!$A$1:$I$89,5,0)</f>
        <v>-1.0197709343628959E-13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222.094802682965</v>
      </c>
      <c r="T69" s="59">
        <f t="shared" ref="T69:T132" si="88">$T$3</f>
        <v>325.33996570337496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68.005815003171023</v>
      </c>
      <c r="AA69" s="21">
        <f>EXP(-LN(2)/25)*AA68+(1-EXP(-LN(2)/25))/(LN(2)/25)*Calculateur!V69*Calculateur!X69*VLOOKUP('Données projet'!$B$9,Paramètres!$A$1:$I$89,3,0)*0.475*44/12</f>
        <v>26.931634476717857</v>
      </c>
      <c r="AB69" s="21">
        <f>EXP(-LN(2)/2)*AB68+(1-EXP(-LN(2)/2))/(LN(2)/2)*V69*Y69*VLOOKUP('Données projet'!$B$9,Paramètres!$A$1:$I$89,3,0)*0.475*44/12</f>
        <v>2.5229409444877917E-2</v>
      </c>
      <c r="AC69" s="22">
        <f t="shared" si="57"/>
        <v>94.962678889333759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339.69200392644217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-1.7053025658242404E-13</v>
      </c>
      <c r="O70" s="13">
        <f>N70*VLOOKUP('Données projet'!$B$9,Paramètres!$A$1:$I$89,3,0)*VLOOKUP('Données projet'!$B$9,Paramètres!$A$1:$I$89,5,0)</f>
        <v>-1.0197709343628959E-13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222.094802682965</v>
      </c>
      <c r="T70" s="59">
        <f t="shared" si="88"/>
        <v>325.33996570337496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66.67226245041023</v>
      </c>
      <c r="AA70" s="21">
        <f>EXP(-LN(2)/25)*AA69+(1-EXP(-LN(2)/25))/(LN(2)/25)*Calculateur!V70*Calculateur!X70*VLOOKUP('Données projet'!$B$9,Paramètres!$A$1:$I$89,3,0)*0.475*44/12</f>
        <v>26.195187515678903</v>
      </c>
      <c r="AB70" s="21">
        <f>EXP(-LN(2)/2)*AB69+(1-EXP(-LN(2)/2))/(LN(2)/2)*V70*Y70*VLOOKUP('Données projet'!$B$9,Paramètres!$A$1:$I$89,3,0)*0.475*44/12</f>
        <v>1.7839886503805105E-2</v>
      </c>
      <c r="AC70" s="22">
        <f t="shared" si="57"/>
        <v>92.885289852592948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340.89741759743021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-1.7053025658242404E-13</v>
      </c>
      <c r="O71" s="13">
        <f>N71*VLOOKUP('Données projet'!$B$9,Paramètres!$A$1:$I$89,3,0)*VLOOKUP('Données projet'!$B$9,Paramètres!$A$1:$I$89,5,0)</f>
        <v>-1.0197709343628959E-13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222.094802682965</v>
      </c>
      <c r="T71" s="59">
        <f t="shared" si="88"/>
        <v>325.33996570337496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65.36486004982234</v>
      </c>
      <c r="AA71" s="21">
        <f>EXP(-LN(2)/25)*AA70+(1-EXP(-LN(2)/25))/(LN(2)/25)*Calculateur!V71*Calculateur!X71*VLOOKUP('Données projet'!$B$9,Paramètres!$A$1:$I$89,3,0)*0.475*44/12</f>
        <v>25.478878735517622</v>
      </c>
      <c r="AB71" s="21">
        <f>EXP(-LN(2)/2)*AB70+(1-EXP(-LN(2)/2))/(LN(2)/2)*V71*Y71*VLOOKUP('Données projet'!$B$9,Paramètres!$A$1:$I$89,3,0)*0.475*44/12</f>
        <v>1.2614704722438959E-2</v>
      </c>
      <c r="AC71" s="22">
        <f t="shared" si="57"/>
        <v>90.856353490062403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342.10239604249472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-1.7053025658242404E-13</v>
      </c>
      <c r="O72" s="13">
        <f>N72*VLOOKUP('Données projet'!$B$9,Paramètres!$A$1:$I$89,3,0)*VLOOKUP('Données projet'!$B$9,Paramètres!$A$1:$I$89,5,0)</f>
        <v>-1.0197709343628959E-13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222.094802682965</v>
      </c>
      <c r="T72" s="59">
        <f t="shared" si="88"/>
        <v>325.33996570337496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64.083095012873258</v>
      </c>
      <c r="AA72" s="21">
        <f>EXP(-LN(2)/25)*AA71+(1-EXP(-LN(2)/25))/(LN(2)/25)*Calculateur!V72*Calculateur!X72*VLOOKUP('Données projet'!$B$9,Paramètres!$A$1:$I$89,3,0)*0.475*44/12</f>
        <v>24.782157456618894</v>
      </c>
      <c r="AB72" s="21">
        <f>EXP(-LN(2)/2)*AB71+(1-EXP(-LN(2)/2))/(LN(2)/2)*V72*Y72*VLOOKUP('Données projet'!$B$9,Paramètres!$A$1:$I$89,3,0)*0.475*44/12</f>
        <v>8.9199432519025523E-3</v>
      </c>
      <c r="AC72" s="22">
        <f t="shared" si="57"/>
        <v>88.874172412744045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343.30694629802451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-1.7053025658242404E-13</v>
      </c>
      <c r="O73" s="13">
        <f>N73*VLOOKUP('Données projet'!$B$9,Paramètres!$A$1:$I$89,3,0)*VLOOKUP('Données projet'!$B$9,Paramètres!$A$1:$I$89,5,0)</f>
        <v>-1.0197709343628959E-13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222.094802682965</v>
      </c>
      <c r="T73" s="59">
        <f t="shared" si="88"/>
        <v>325.33996570337496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62.826464606499265</v>
      </c>
      <c r="AA73" s="21">
        <f>EXP(-LN(2)/25)*AA72+(1-EXP(-LN(2)/25))/(LN(2)/25)*Calculateur!V73*Calculateur!X73*VLOOKUP('Données projet'!$B$9,Paramètres!$A$1:$I$89,3,0)*0.475*44/12</f>
        <v>24.104488057730631</v>
      </c>
      <c r="AB73" s="21">
        <f>EXP(-LN(2)/2)*AB72+(1-EXP(-LN(2)/2))/(LN(2)/2)*V73*Y73*VLOOKUP('Données projet'!$B$9,Paramètres!$A$1:$I$89,3,0)*0.475*44/12</f>
        <v>6.3073523612194793E-3</v>
      </c>
      <c r="AC73" s="22">
        <f t="shared" si="57"/>
        <v>86.937260016591111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344.51107518782362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-1.7053025658242404E-13</v>
      </c>
      <c r="O74" s="13">
        <f>N74*VLOOKUP('Données projet'!$B$9,Paramètres!$A$1:$I$89,3,0)*VLOOKUP('Données projet'!$B$9,Paramètres!$A$1:$I$89,5,0)</f>
        <v>-1.0197709343628959E-13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222.094802682965</v>
      </c>
      <c r="T74" s="59">
        <f t="shared" si="88"/>
        <v>325.33996570337496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61.594475955925404</v>
      </c>
      <c r="AA74" s="21">
        <f>EXP(-LN(2)/25)*AA73+(1-EXP(-LN(2)/25))/(LN(2)/25)*Calculateur!V74*Calculateur!X74*VLOOKUP('Données projet'!$B$9,Paramètres!$A$1:$I$89,3,0)*0.475*44/12</f>
        <v>23.44534956419205</v>
      </c>
      <c r="AB74" s="21">
        <f>EXP(-LN(2)/2)*AB73+(1-EXP(-LN(2)/2))/(LN(2)/2)*V74*Y74*VLOOKUP('Données projet'!$B$9,Paramètres!$A$1:$I$89,3,0)*0.475*44/12</f>
        <v>4.4599716259512761E-3</v>
      </c>
      <c r="AC74" s="22">
        <f t="shared" si="57"/>
        <v>85.044285491743409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345.71478933243532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-1.7053025658242404E-13</v>
      </c>
      <c r="O75" s="13">
        <f>N75*VLOOKUP('Données projet'!$B$9,Paramètres!$A$1:$I$89,3,0)*VLOOKUP('Données projet'!$B$9,Paramètres!$A$1:$I$89,5,0)</f>
        <v>-1.0197709343628959E-13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222.094802682965</v>
      </c>
      <c r="T75" s="59">
        <f t="shared" si="88"/>
        <v>325.33996570337496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60.386645851350416</v>
      </c>
      <c r="AA75" s="21">
        <f>EXP(-LN(2)/25)*AA74+(1-EXP(-LN(2)/25))/(LN(2)/25)*Calculateur!V75*Calculateur!X75*VLOOKUP('Données projet'!$B$9,Paramètres!$A$1:$I$89,3,0)*0.475*44/12</f>
        <v>22.804235247421868</v>
      </c>
      <c r="AB75" s="21">
        <f>EXP(-LN(2)/2)*AB74+(1-EXP(-LN(2)/2))/(LN(2)/2)*V75*Y75*VLOOKUP('Données projet'!$B$9,Paramètres!$A$1:$I$89,3,0)*0.475*44/12</f>
        <v>3.1536761806097396E-3</v>
      </c>
      <c r="AC75" s="22">
        <f t="shared" si="57"/>
        <v>83.194034774952897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346.9180951579346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-1.7053025658242404E-13</v>
      </c>
      <c r="O76" s="13">
        <f>N76*VLOOKUP('Données projet'!$B$9,Paramètres!$A$1:$I$89,3,0)*VLOOKUP('Données projet'!$B$9,Paramètres!$A$1:$I$89,5,0)</f>
        <v>-1.0197709343628959E-13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222.094802682965</v>
      </c>
      <c r="T76" s="59">
        <f t="shared" si="88"/>
        <v>325.33996570337496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59.202500558422521</v>
      </c>
      <c r="AA76" s="21">
        <f>EXP(-LN(2)/25)*AA75+(1-EXP(-LN(2)/25))/(LN(2)/25)*Calculateur!V76*Calculateur!X76*VLOOKUP('Données projet'!$B$9,Paramètres!$A$1:$I$89,3,0)*0.475*44/12</f>
        <v>22.180652235358504</v>
      </c>
      <c r="AB76" s="21">
        <f>EXP(-LN(2)/2)*AB75+(1-EXP(-LN(2)/2))/(LN(2)/2)*V76*Y76*VLOOKUP('Données projet'!$B$9,Paramètres!$A$1:$I$89,3,0)*0.475*44/12</f>
        <v>2.2299858129756381E-3</v>
      </c>
      <c r="AC76" s="22">
        <f t="shared" si="57"/>
        <v>81.385382779593996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348.12099890422405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-1.7053025658242404E-13</v>
      </c>
      <c r="O77" s="13">
        <f>N77*VLOOKUP('Données projet'!$B$9,Paramètres!$A$1:$I$89,3,0)*VLOOKUP('Données projet'!$B$9,Paramètres!$A$1:$I$89,5,0)</f>
        <v>-1.0197709343628959E-13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222.094802682965</v>
      </c>
      <c r="T77" s="59">
        <f t="shared" si="88"/>
        <v>325.33996570337496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58.041575632431631</v>
      </c>
      <c r="AA77" s="21">
        <f>EXP(-LN(2)/25)*AA76+(1-EXP(-LN(2)/25))/(LN(2)/25)*Calculateur!V77*Calculateur!X77*VLOOKUP('Données projet'!$B$9,Paramètres!$A$1:$I$89,3,0)*0.475*44/12</f>
        <v>21.574121133552818</v>
      </c>
      <c r="AB77" s="21">
        <f>EXP(-LN(2)/2)*AB76+(1-EXP(-LN(2)/2))/(LN(2)/2)*V77*Y77*VLOOKUP('Données projet'!$B$9,Paramètres!$A$1:$I$89,3,0)*0.475*44/12</f>
        <v>1.5768380903048698E-3</v>
      </c>
      <c r="AC77" s="22">
        <f t="shared" si="57"/>
        <v>79.617273604074754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349.32350663286911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-1.7053025658242404E-13</v>
      </c>
      <c r="O78" s="13">
        <f>N78*VLOOKUP('Données projet'!$B$9,Paramètres!$A$1:$I$89,3,0)*VLOOKUP('Données projet'!$B$9,Paramètres!$A$1:$I$89,5,0)</f>
        <v>-1.0197709343628959E-13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222.094802682965</v>
      </c>
      <c r="T78" s="59">
        <f t="shared" si="88"/>
        <v>325.33996570337496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56.903415736145135</v>
      </c>
      <c r="AA78" s="21">
        <f>EXP(-LN(2)/25)*AA77+(1-EXP(-LN(2)/25))/(LN(2)/25)*Calculateur!V78*Calculateur!X78*VLOOKUP('Données projet'!$B$9,Paramètres!$A$1:$I$89,3,0)*0.475*44/12</f>
        <v>20.984175656622096</v>
      </c>
      <c r="AB78" s="21">
        <f>EXP(-LN(2)/2)*AB77+(1-EXP(-LN(2)/2))/(LN(2)/2)*V78*Y78*VLOOKUP('Données projet'!$B$9,Paramètres!$A$1:$I$89,3,0)*0.475*44/12</f>
        <v>1.114992906487819E-3</v>
      </c>
      <c r="AC78" s="22">
        <f t="shared" si="57"/>
        <v>77.888706385673729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350.5256242345036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-1.7053025658242404E-13</v>
      </c>
      <c r="O79" s="13">
        <f>N79*VLOOKUP('Données projet'!$B$9,Paramètres!$A$1:$I$89,3,0)*VLOOKUP('Données projet'!$B$9,Paramètres!$A$1:$I$89,5,0)</f>
        <v>-1.0197709343628959E-13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222.094802682965</v>
      </c>
      <c r="T79" s="59">
        <f t="shared" si="88"/>
        <v>325.33996570337496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55.787574461215833</v>
      </c>
      <c r="AA79" s="21">
        <f>EXP(-LN(2)/25)*AA78+(1-EXP(-LN(2)/25))/(LN(2)/25)*Calculateur!V79*Calculateur!X79*VLOOKUP('Données projet'!$B$9,Paramètres!$A$1:$I$89,3,0)*0.475*44/12</f>
        <v>20.410362269781928</v>
      </c>
      <c r="AB79" s="21">
        <f>EXP(-LN(2)/2)*AB78+(1-EXP(-LN(2)/2))/(LN(2)/2)*V79*Y79*VLOOKUP('Données projet'!$B$9,Paramètres!$A$1:$I$89,3,0)*0.475*44/12</f>
        <v>7.8841904515243491E-4</v>
      </c>
      <c r="AC79" s="22">
        <f t="shared" si="57"/>
        <v>76.198725150042904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351.72735743583411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-1.7053025658242404E-13</v>
      </c>
      <c r="O80" s="13">
        <f>N80*VLOOKUP('Données projet'!$B$9,Paramètres!$A$1:$I$89,3,0)*VLOOKUP('Données projet'!$B$9,Paramètres!$A$1:$I$89,5,0)</f>
        <v>-1.0197709343628959E-13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222.094802682965</v>
      </c>
      <c r="T80" s="59">
        <f t="shared" si="88"/>
        <v>325.33996570337496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54.693614153091922</v>
      </c>
      <c r="AA80" s="21">
        <f>EXP(-LN(2)/25)*AA79+(1-EXP(-LN(2)/25))/(LN(2)/25)*Calculateur!V80*Calculateur!X80*VLOOKUP('Données projet'!$B$9,Paramètres!$A$1:$I$89,3,0)*0.475*44/12</f>
        <v>19.852239840180438</v>
      </c>
      <c r="AB80" s="21">
        <f>EXP(-LN(2)/2)*AB79+(1-EXP(-LN(2)/2))/(LN(2)/2)*V80*Y80*VLOOKUP('Données projet'!$B$9,Paramètres!$A$1:$I$89,3,0)*0.475*44/12</f>
        <v>5.5749645324390952E-4</v>
      </c>
      <c r="AC80" s="22">
        <f t="shared" si="57"/>
        <v>74.5464114897256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352.92871180627031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-1.7053025658242404E-13</v>
      </c>
      <c r="O81" s="13">
        <f>N81*VLOOKUP('Données projet'!$B$9,Paramètres!$A$1:$I$89,3,0)*VLOOKUP('Données projet'!$B$9,Paramètres!$A$1:$I$89,5,0)</f>
        <v>-1.0197709343628959E-13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222.094802682965</v>
      </c>
      <c r="T81" s="59">
        <f t="shared" si="88"/>
        <v>325.33996570337496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53.621105739360416</v>
      </c>
      <c r="AA81" s="21">
        <f>EXP(-LN(2)/25)*AA80+(1-EXP(-LN(2)/25))/(LN(2)/25)*Calculateur!V81*Calculateur!X81*VLOOKUP('Données projet'!$B$9,Paramètres!$A$1:$I$89,3,0)*0.475*44/12</f>
        <v>19.309379297766785</v>
      </c>
      <c r="AB81" s="21">
        <f>EXP(-LN(2)/2)*AB80+(1-EXP(-LN(2)/2))/(LN(2)/2)*V81*Y81*VLOOKUP('Données projet'!$B$9,Paramètres!$A$1:$I$89,3,0)*0.475*44/12</f>
        <v>3.9420952257621745E-4</v>
      </c>
      <c r="AC81" s="22">
        <f t="shared" si="57"/>
        <v>72.930879246649781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354.12969276420569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-1.7053025658242404E-13</v>
      </c>
      <c r="O82" s="13">
        <f>N82*VLOOKUP('Données projet'!$B$9,Paramètres!$A$1:$I$89,3,0)*VLOOKUP('Données projet'!$B$9,Paramètres!$A$1:$I$89,5,0)</f>
        <v>-1.0197709343628959E-13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222.094802682965</v>
      </c>
      <c r="T82" s="59">
        <f t="shared" si="88"/>
        <v>325.33996570337496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52.569628561456646</v>
      </c>
      <c r="AA82" s="21">
        <f>EXP(-LN(2)/25)*AA81+(1-EXP(-LN(2)/25))/(LN(2)/25)*Calculateur!V82*Calculateur!X82*VLOOKUP('Données projet'!$B$9,Paramètres!$A$1:$I$89,3,0)*0.475*44/12</f>
        <v>18.781363305433228</v>
      </c>
      <c r="AB82" s="21">
        <f>EXP(-LN(2)/2)*AB81+(1-EXP(-LN(2)/2))/(LN(2)/2)*V82*Y82*VLOOKUP('Données projet'!$B$9,Paramètres!$A$1:$I$89,3,0)*0.475*44/12</f>
        <v>2.7874822662195476E-4</v>
      </c>
      <c r="AC82" s="22">
        <f t="shared" si="57"/>
        <v>71.351270615116491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355.33030558297088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-1.7053025658242404E-13</v>
      </c>
      <c r="O83" s="13">
        <f>N83*VLOOKUP('Données projet'!$B$9,Paramètres!$A$1:$I$89,3,0)*VLOOKUP('Données projet'!$B$9,Paramètres!$A$1:$I$89,5,0)</f>
        <v>-1.0197709343628959E-13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222.094802682965</v>
      </c>
      <c r="T83" s="59">
        <f t="shared" si="88"/>
        <v>325.33996570337496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51.538770209673814</v>
      </c>
      <c r="AA83" s="21">
        <f>EXP(-LN(2)/25)*AA82+(1-EXP(-LN(2)/25))/(LN(2)/25)*Calculateur!V83*Calculateur!X83*VLOOKUP('Données projet'!$B$9,Paramètres!$A$1:$I$89,3,0)*0.475*44/12</f>
        <v>18.267785938177184</v>
      </c>
      <c r="AB83" s="21">
        <f>EXP(-LN(2)/2)*AB82+(1-EXP(-LN(2)/2))/(LN(2)/2)*V83*Y83*VLOOKUP('Données projet'!$B$9,Paramètres!$A$1:$I$89,3,0)*0.475*44/12</f>
        <v>1.9710476128810873E-4</v>
      </c>
      <c r="AC83" s="22">
        <f t="shared" si="57"/>
        <v>69.806753252612282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356.53055539648136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-1.7053025658242404E-13</v>
      </c>
      <c r="O84" s="13">
        <f>N84*VLOOKUP('Données projet'!$B$9,Paramètres!$A$1:$I$89,3,0)*VLOOKUP('Données projet'!$B$9,Paramètres!$A$1:$I$89,5,0)</f>
        <v>-1.0197709343628959E-13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222.094802682965</v>
      </c>
      <c r="T84" s="59">
        <f t="shared" si="88"/>
        <v>325.33996570337496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50.528126361407935</v>
      </c>
      <c r="AA84" s="21">
        <f>EXP(-LN(2)/25)*AA83+(1-EXP(-LN(2)/25))/(LN(2)/25)*Calculateur!V84*Calculateur!X84*VLOOKUP('Données projet'!$B$9,Paramètres!$A$1:$I$89,3,0)*0.475*44/12</f>
        <v>17.768252371036617</v>
      </c>
      <c r="AB84" s="21">
        <f>EXP(-LN(2)/2)*AB83+(1-EXP(-LN(2)/2))/(LN(2)/2)*V84*Y84*VLOOKUP('Données projet'!$B$9,Paramètres!$A$1:$I$89,3,0)*0.475*44/12</f>
        <v>1.3937411331097738E-4</v>
      </c>
      <c r="AC84" s="22">
        <f t="shared" si="57"/>
        <v>68.296518106557869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357.73044720459762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-1.7053025658242404E-13</v>
      </c>
      <c r="O85" s="13">
        <f>N85*VLOOKUP('Données projet'!$B$9,Paramètres!$A$1:$I$89,3,0)*VLOOKUP('Données projet'!$B$9,Paramètres!$A$1:$I$89,5,0)</f>
        <v>-1.0197709343628959E-13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222.094802682965</v>
      </c>
      <c r="T85" s="59">
        <f t="shared" si="88"/>
        <v>325.33996570337496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49.537300622574669</v>
      </c>
      <c r="AA85" s="21">
        <f>EXP(-LN(2)/25)*AA84+(1-EXP(-LN(2)/25))/(LN(2)/25)*Calculateur!V85*Calculateur!X85*VLOOKUP('Données projet'!$B$9,Paramètres!$A$1:$I$89,3,0)*0.475*44/12</f>
        <v>17.282378575558837</v>
      </c>
      <c r="AB85" s="21">
        <f>EXP(-LN(2)/2)*AB84+(1-EXP(-LN(2)/2))/(LN(2)/2)*V85*Y85*VLOOKUP('Données projet'!$B$9,Paramètres!$A$1:$I$89,3,0)*0.475*44/12</f>
        <v>9.8552380644054363E-5</v>
      </c>
      <c r="AC85" s="22">
        <f t="shared" si="57"/>
        <v>66.819777750514163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358.92998587821728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-1.7053025658242404E-13</v>
      </c>
      <c r="O86" s="13">
        <f>N86*VLOOKUP('Données projet'!$B$9,Paramètres!$A$1:$I$89,3,0)*VLOOKUP('Données projet'!$B$9,Paramètres!$A$1:$I$89,5,0)</f>
        <v>-1.0197709343628959E-13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222.094802682965</v>
      </c>
      <c r="T86" s="59">
        <f t="shared" si="88"/>
        <v>325.33996570337496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48.565904372135897</v>
      </c>
      <c r="AA86" s="21">
        <f>EXP(-LN(2)/25)*AA85+(1-EXP(-LN(2)/25))/(LN(2)/25)*Calculateur!V86*Calculateur!X86*VLOOKUP('Données projet'!$B$9,Paramètres!$A$1:$I$89,3,0)*0.475*44/12</f>
        <v>16.809791024569392</v>
      </c>
      <c r="AB86" s="21">
        <f>EXP(-LN(2)/2)*AB85+(1-EXP(-LN(2)/2))/(LN(2)/2)*V86*Y86*VLOOKUP('Données projet'!$B$9,Paramètres!$A$1:$I$89,3,0)*0.475*44/12</f>
        <v>6.968705665548869E-5</v>
      </c>
      <c r="AC86" s="22">
        <f t="shared" si="57"/>
        <v>65.375765083761934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360.12917616411374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-1.7053025658242404E-13</v>
      </c>
      <c r="O87" s="13">
        <f>N87*VLOOKUP('Données projet'!$B$9,Paramètres!$A$1:$I$89,3,0)*VLOOKUP('Données projet'!$B$9,Paramètres!$A$1:$I$89,5,0)</f>
        <v>-1.0197709343628959E-13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222.094802682965</v>
      </c>
      <c r="T87" s="59">
        <f t="shared" si="88"/>
        <v>325.33996570337496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47.613556609675022</v>
      </c>
      <c r="AA87" s="21">
        <f>EXP(-LN(2)/25)*AA86+(1-EXP(-LN(2)/25))/(LN(2)/25)*Calculateur!V87*Calculateur!X87*VLOOKUP('Données projet'!$B$9,Paramètres!$A$1:$I$89,3,0)*0.475*44/12</f>
        <v>16.350126405014052</v>
      </c>
      <c r="AB87" s="21">
        <f>EXP(-LN(2)/2)*AB86+(1-EXP(-LN(2)/2))/(LN(2)/2)*V87*Y87*VLOOKUP('Données projet'!$B$9,Paramètres!$A$1:$I$89,3,0)*0.475*44/12</f>
        <v>4.9276190322027182E-5</v>
      </c>
      <c r="AC87" s="22">
        <f t="shared" si="57"/>
        <v>63.963732290879399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361.32802268953901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-1.7053025658242404E-13</v>
      </c>
      <c r="O88" s="13">
        <f>N88*VLOOKUP('Données projet'!$B$9,Paramètres!$A$1:$I$89,3,0)*VLOOKUP('Données projet'!$B$9,Paramètres!$A$1:$I$89,5,0)</f>
        <v>-1.0197709343628959E-13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222.094802682965</v>
      </c>
      <c r="T88" s="59">
        <f t="shared" si="88"/>
        <v>325.33996570337496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46.679883805961225</v>
      </c>
      <c r="AA88" s="21">
        <f>EXP(-LN(2)/25)*AA87+(1-EXP(-LN(2)/25))/(LN(2)/25)*Calculateur!V88*Calculateur!X88*VLOOKUP('Données projet'!$B$9,Paramètres!$A$1:$I$89,3,0)*0.475*44/12</f>
        <v>15.903031338653165</v>
      </c>
      <c r="AB88" s="21">
        <f>EXP(-LN(2)/2)*AB87+(1-EXP(-LN(2)/2))/(LN(2)/2)*V88*Y88*VLOOKUP('Données projet'!$B$9,Paramètres!$A$1:$I$89,3,0)*0.475*44/12</f>
        <v>3.4843528327744345E-5</v>
      </c>
      <c r="AC88" s="22">
        <f t="shared" si="57"/>
        <v>62.582949988142715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362.52652996660277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-1.7053025658242404E-13</v>
      </c>
      <c r="O89" s="13">
        <f>N89*VLOOKUP('Données projet'!$B$9,Paramètres!$A$1:$I$89,3,0)*VLOOKUP('Données projet'!$B$9,Paramètres!$A$1:$I$89,5,0)</f>
        <v>-1.0197709343628959E-13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222.094802682965</v>
      </c>
      <c r="T89" s="59">
        <f t="shared" si="88"/>
        <v>325.33996570337496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45.764519756444081</v>
      </c>
      <c r="AA89" s="21">
        <f>EXP(-LN(2)/25)*AA88+(1-EXP(-LN(2)/25))/(LN(2)/25)*Calculateur!V89*Calculateur!X89*VLOOKUP('Données projet'!$B$9,Paramètres!$A$1:$I$89,3,0)*0.475*44/12</f>
        <v>15.468162110393623</v>
      </c>
      <c r="AB89" s="21">
        <f>EXP(-LN(2)/2)*AB88+(1-EXP(-LN(2)/2))/(LN(2)/2)*V89*Y89*VLOOKUP('Données projet'!$B$9,Paramètres!$A$1:$I$89,3,0)*0.475*44/12</f>
        <v>2.4638095161013591E-5</v>
      </c>
      <c r="AC89" s="22">
        <f t="shared" si="57"/>
        <v>61.232706504932864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363.72470239644252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-1.7053025658242404E-13</v>
      </c>
      <c r="O90" s="13">
        <f>N90*VLOOKUP('Données projet'!$B$9,Paramètres!$A$1:$I$89,3,0)*VLOOKUP('Données projet'!$B$9,Paramètres!$A$1:$I$89,5,0)</f>
        <v>-1.0197709343628959E-13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222.094802682965</v>
      </c>
      <c r="T90" s="59">
        <f t="shared" si="88"/>
        <v>325.33996570337496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44.867105437621028</v>
      </c>
      <c r="AA90" s="21">
        <f>EXP(-LN(2)/25)*AA89+(1-EXP(-LN(2)/25))/(LN(2)/25)*Calculateur!V90*Calculateur!X90*VLOOKUP('Données projet'!$B$9,Paramètres!$A$1:$I$89,3,0)*0.475*44/12</f>
        <v>15.045184404049616</v>
      </c>
      <c r="AB90" s="21">
        <f>EXP(-LN(2)/2)*AB89+(1-EXP(-LN(2)/2))/(LN(2)/2)*V90*Y90*VLOOKUP('Données projet'!$B$9,Paramètres!$A$1:$I$89,3,0)*0.475*44/12</f>
        <v>1.7421764163872172E-5</v>
      </c>
      <c r="AC90" s="22">
        <f t="shared" si="57"/>
        <v>59.912307263434805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364.92254427319637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-1.7053025658242404E-13</v>
      </c>
      <c r="O91" s="13">
        <f>N91*VLOOKUP('Données projet'!$B$9,Paramètres!$A$1:$I$89,3,0)*VLOOKUP('Données projet'!$B$9,Paramètres!$A$1:$I$89,5,0)</f>
        <v>-1.0197709343628959E-13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222.094802682965</v>
      </c>
      <c r="T91" s="59">
        <f t="shared" si="88"/>
        <v>325.33996570337496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43.987288866221405</v>
      </c>
      <c r="AA91" s="21">
        <f>EXP(-LN(2)/25)*AA90+(1-EXP(-LN(2)/25))/(LN(2)/25)*Calculateur!V91*Calculateur!X91*VLOOKUP('Données projet'!$B$9,Paramètres!$A$1:$I$89,3,0)*0.475*44/12</f>
        <v>14.633773045329017</v>
      </c>
      <c r="AB91" s="21">
        <f>EXP(-LN(2)/2)*AB90+(1-EXP(-LN(2)/2))/(LN(2)/2)*V91*Y91*VLOOKUP('Données projet'!$B$9,Paramètres!$A$1:$I$89,3,0)*0.475*44/12</f>
        <v>1.2319047580506795E-5</v>
      </c>
      <c r="AC91" s="22">
        <f t="shared" si="57"/>
        <v>58.621074230597998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366.12005978779001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-1.7053025658242404E-13</v>
      </c>
      <c r="O92" s="13">
        <f>N92*VLOOKUP('Données projet'!$B$9,Paramètres!$A$1:$I$89,3,0)*VLOOKUP('Données projet'!$B$9,Paramètres!$A$1:$I$89,5,0)</f>
        <v>-1.0197709343628959E-13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222.094802682965</v>
      </c>
      <c r="T92" s="59">
        <f t="shared" si="88"/>
        <v>325.33996570337496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43.124724961151806</v>
      </c>
      <c r="AA92" s="21">
        <f>EXP(-LN(2)/25)*AA91+(1-EXP(-LN(2)/25))/(LN(2)/25)*Calculateur!V92*Calculateur!X92*VLOOKUP('Données projet'!$B$9,Paramètres!$A$1:$I$89,3,0)*0.475*44/12</f>
        <v>14.233611751847816</v>
      </c>
      <c r="AB92" s="21">
        <f>EXP(-LN(2)/2)*AB91+(1-EXP(-LN(2)/2))/(LN(2)/2)*V92*Y92*VLOOKUP('Données projet'!$B$9,Paramètres!$A$1:$I$89,3,0)*0.475*44/12</f>
        <v>8.7108820819360862E-6</v>
      </c>
      <c r="AC92" s="22">
        <f t="shared" si="57"/>
        <v>57.358345423881708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367.31725303154894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-1.7053025658242404E-13</v>
      </c>
      <c r="O93" s="13">
        <f>N93*VLOOKUP('Données projet'!$B$9,Paramètres!$A$1:$I$89,3,0)*VLOOKUP('Données projet'!$B$9,Paramètres!$A$1:$I$89,5,0)</f>
        <v>-1.0197709343628959E-13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222.094802682965</v>
      </c>
      <c r="T93" s="59">
        <f t="shared" si="88"/>
        <v>325.33996570337496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42.279075408148593</v>
      </c>
      <c r="AA93" s="21">
        <f>EXP(-LN(2)/25)*AA92+(1-EXP(-LN(2)/25))/(LN(2)/25)*Calculateur!V93*Calculateur!X93*VLOOKUP('Données projet'!$B$9,Paramètres!$A$1:$I$89,3,0)*0.475*44/12</f>
        <v>13.844392889980426</v>
      </c>
      <c r="AB93" s="21">
        <f>EXP(-LN(2)/2)*AB92+(1-EXP(-LN(2)/2))/(LN(2)/2)*V93*Y93*VLOOKUP('Données projet'!$B$9,Paramètres!$A$1:$I$89,3,0)*0.475*44/12</f>
        <v>6.1595237902533977E-6</v>
      </c>
      <c r="AC93" s="22">
        <f t="shared" si="57"/>
        <v>56.123474457652812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368.51412799964498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-1.7053025658242404E-13</v>
      </c>
      <c r="O94" s="13">
        <f>N94*VLOOKUP('Données projet'!$B$9,Paramètres!$A$1:$I$89,3,0)*VLOOKUP('Données projet'!$B$9,Paramètres!$A$1:$I$89,5,0)</f>
        <v>-1.0197709343628959E-13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222.094802682965</v>
      </c>
      <c r="T94" s="59">
        <f t="shared" si="88"/>
        <v>325.33996570337496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41.450008527084478</v>
      </c>
      <c r="AA94" s="21">
        <f>EXP(-LN(2)/25)*AA93+(1-EXP(-LN(2)/25))/(LN(2)/25)*Calculateur!V94*Calculateur!X94*VLOOKUP('Données projet'!$B$9,Paramètres!$A$1:$I$89,3,0)*0.475*44/12</f>
        <v>13.465817238358932</v>
      </c>
      <c r="AB94" s="21">
        <f>EXP(-LN(2)/2)*AB93+(1-EXP(-LN(2)/2))/(LN(2)/2)*V94*Y94*VLOOKUP('Données projet'!$B$9,Paramètres!$A$1:$I$89,3,0)*0.475*44/12</f>
        <v>4.3554410409680431E-6</v>
      </c>
      <c r="AC94" s="22">
        <f t="shared" si="57"/>
        <v>54.915830120884451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369.71068859438765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-1.7053025658242404E-13</v>
      </c>
      <c r="O95" s="13">
        <f>N95*VLOOKUP('Données projet'!$B$9,Paramètres!$A$1:$I$89,3,0)*VLOOKUP('Données projet'!$B$9,Paramètres!$A$1:$I$89,5,0)</f>
        <v>-1.0197709343628959E-13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222.094802682965</v>
      </c>
      <c r="T95" s="59">
        <f t="shared" si="88"/>
        <v>325.33996570337496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40.637199141877161</v>
      </c>
      <c r="AA95" s="21">
        <f>EXP(-LN(2)/25)*AA94+(1-EXP(-LN(2)/25))/(LN(2)/25)*Calculateur!V95*Calculateur!X95*VLOOKUP('Données projet'!$B$9,Paramètres!$A$1:$I$89,3,0)*0.475*44/12</f>
        <v>13.097593757839455</v>
      </c>
      <c r="AB95" s="21">
        <f>EXP(-LN(2)/2)*AB94+(1-EXP(-LN(2)/2))/(LN(2)/2)*V95*Y95*VLOOKUP('Données projet'!$B$9,Paramètres!$A$1:$I$89,3,0)*0.475*44/12</f>
        <v>3.0797618951266989E-6</v>
      </c>
      <c r="AC95" s="22">
        <f t="shared" si="57"/>
        <v>53.734795979478513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370.90693862836775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-1.7053025658242404E-13</v>
      </c>
      <c r="O96" s="13">
        <f>N96*VLOOKUP('Données projet'!$B$9,Paramètres!$A$1:$I$89,3,0)*VLOOKUP('Données projet'!$B$9,Paramètres!$A$1:$I$89,5,0)</f>
        <v>-1.0197709343628959E-13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222.094802682965</v>
      </c>
      <c r="T96" s="59">
        <f t="shared" si="88"/>
        <v>325.33996570337496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39.840328452948988</v>
      </c>
      <c r="AA96" s="21">
        <f>EXP(-LN(2)/25)*AA95+(1-EXP(-LN(2)/25))/(LN(2)/25)*Calculateur!V96*Calculateur!X96*VLOOKUP('Données projet'!$B$9,Paramètres!$A$1:$I$89,3,0)*0.475*44/12</f>
        <v>12.739439367758814</v>
      </c>
      <c r="AB96" s="21">
        <f>EXP(-LN(2)/2)*AB95+(1-EXP(-LN(2)/2))/(LN(2)/2)*V96*Y96*VLOOKUP('Données projet'!$B$9,Paramètres!$A$1:$I$89,3,0)*0.475*44/12</f>
        <v>2.1777205204840215E-6</v>
      </c>
      <c r="AC96" s="22">
        <f t="shared" si="57"/>
        <v>52.579769998428318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372.10288182746245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-1.7053025658242404E-13</v>
      </c>
      <c r="O97" s="13">
        <f>N97*VLOOKUP('Données projet'!$B$9,Paramètres!$A$1:$I$89,3,0)*VLOOKUP('Données projet'!$B$9,Paramètres!$A$1:$I$89,5,0)</f>
        <v>-1.0197709343628959E-13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222.094802682965</v>
      </c>
      <c r="T97" s="59">
        <f t="shared" si="88"/>
        <v>325.33996570337496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39.059083912187567</v>
      </c>
      <c r="AA97" s="21">
        <f>EXP(-LN(2)/25)*AA96+(1-EXP(-LN(2)/25))/(LN(2)/25)*Calculateur!V97*Calculateur!X97*VLOOKUP('Données projet'!$B$9,Paramètres!$A$1:$I$89,3,0)*0.475*44/12</f>
        <v>12.39107872830945</v>
      </c>
      <c r="AB97" s="21">
        <f>EXP(-LN(2)/2)*AB96+(1-EXP(-LN(2)/2))/(LN(2)/2)*V97*Y97*VLOOKUP('Données projet'!$B$9,Paramètres!$A$1:$I$89,3,0)*0.475*44/12</f>
        <v>1.5398809475633494E-6</v>
      </c>
      <c r="AC97" s="22">
        <f t="shared" si="57"/>
        <v>51.450164180377968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373.29852183370838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-1.7053025658242404E-13</v>
      </c>
      <c r="O98" s="13">
        <f>N98*VLOOKUP('Données projet'!$B$9,Paramètres!$A$1:$I$89,3,0)*VLOOKUP('Données projet'!$B$9,Paramètres!$A$1:$I$89,5,0)</f>
        <v>-1.0197709343628959E-13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222.094802682965</v>
      </c>
      <c r="T98" s="59">
        <f t="shared" si="88"/>
        <v>325.33996570337496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38.293159100358359</v>
      </c>
      <c r="AA98" s="21">
        <f>EXP(-LN(2)/25)*AA97+(1-EXP(-LN(2)/25))/(LN(2)/25)*Calculateur!V98*Calculateur!X98*VLOOKUP('Données projet'!$B$9,Paramètres!$A$1:$I$89,3,0)*0.475*44/12</f>
        <v>12.052244028865319</v>
      </c>
      <c r="AB98" s="21">
        <f>EXP(-LN(2)/2)*AB97+(1-EXP(-LN(2)/2))/(LN(2)/2)*V98*Y98*VLOOKUP('Données projet'!$B$9,Paramètres!$A$1:$I$89,3,0)*0.475*44/12</f>
        <v>1.0888602602420108E-6</v>
      </c>
      <c r="AC98" s="22">
        <f t="shared" si="57"/>
        <v>50.345404218083935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374.49386220805047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-1.7053025658242404E-13</v>
      </c>
      <c r="O99" s="13">
        <f>N99*VLOOKUP('Données projet'!$B$9,Paramètres!$A$1:$I$89,3,0)*VLOOKUP('Données projet'!$B$9,Paramètres!$A$1:$I$89,5,0)</f>
        <v>-1.0197709343628959E-13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222.094802682965</v>
      </c>
      <c r="T99" s="59">
        <f t="shared" si="88"/>
        <v>325.33996570337496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37.542253606921115</v>
      </c>
      <c r="AA99" s="21">
        <f>EXP(-LN(2)/25)*AA98+(1-EXP(-LN(2)/25))/(LN(2)/25)*Calculateur!V99*Calculateur!X99*VLOOKUP('Données projet'!$B$9,Paramètres!$A$1:$I$89,3,0)*0.475*44/12</f>
        <v>11.722674782096028</v>
      </c>
      <c r="AB99" s="21">
        <f>EXP(-LN(2)/2)*AB98+(1-EXP(-LN(2)/2))/(LN(2)/2)*V99*Y99*VLOOKUP('Données projet'!$B$9,Paramètres!$A$1:$I$89,3,0)*0.475*44/12</f>
        <v>7.6994047378167471E-7</v>
      </c>
      <c r="AC99" s="22">
        <f t="shared" si="57"/>
        <v>49.264929158957614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375.68890643297289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-1.7053025658242404E-13</v>
      </c>
      <c r="O100" s="13">
        <f>N100*VLOOKUP('Données projet'!$B$9,Paramètres!$A$1:$I$89,3,0)*VLOOKUP('Données projet'!$B$9,Paramètres!$A$1:$I$89,5,0)</f>
        <v>-1.0197709343628959E-13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222.094802682965</v>
      </c>
      <c r="T100" s="59">
        <f t="shared" si="88"/>
        <v>325.33996570337496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36.806072912203049</v>
      </c>
      <c r="AA100" s="21">
        <f>EXP(-LN(2)/25)*AA99+(1-EXP(-LN(2)/25))/(LN(2)/25)*Calculateur!V100*Calculateur!X100*VLOOKUP('Données projet'!$B$9,Paramètres!$A$1:$I$89,3,0)*0.475*44/12</f>
        <v>11.402117623710938</v>
      </c>
      <c r="AB100" s="21">
        <f>EXP(-LN(2)/2)*AB99+(1-EXP(-LN(2)/2))/(LN(2)/2)*V100*Y100*VLOOKUP('Données projet'!$B$9,Paramètres!$A$1:$I$89,3,0)*0.475*44/12</f>
        <v>5.4443013012100539E-7</v>
      </c>
      <c r="AC100" s="22">
        <f t="shared" si="57"/>
        <v>48.208191080344115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376.88365791501889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-1.7053025658242404E-13</v>
      </c>
      <c r="O101" s="13">
        <f>N101*VLOOKUP('Données projet'!$B$9,Paramètres!$A$1:$I$89,3,0)*VLOOKUP('Données projet'!$B$9,Paramètres!$A$1:$I$89,5,0)</f>
        <v>-1.0197709343628959E-13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222.094802682965</v>
      </c>
      <c r="T101" s="59">
        <f t="shared" si="88"/>
        <v>325.33996570337496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36.084328271882519</v>
      </c>
      <c r="AA101" s="21">
        <f>EXP(-LN(2)/25)*AA100+(1-EXP(-LN(2)/25))/(LN(2)/25)*Calculateur!V101*Calculateur!X101*VLOOKUP('Données projet'!$B$9,Paramètres!$A$1:$I$89,3,0)*0.475*44/12</f>
        <v>11.090326117679256</v>
      </c>
      <c r="AB101" s="21">
        <f>EXP(-LN(2)/2)*AB100+(1-EXP(-LN(2)/2))/(LN(2)/2)*V101*Y101*VLOOKUP('Données projet'!$B$9,Paramètres!$A$1:$I$89,3,0)*0.475*44/12</f>
        <v>3.8497023689083736E-7</v>
      </c>
      <c r="AC101" s="22">
        <f t="shared" si="57"/>
        <v>47.174654774532009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378.07811998720388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-1.7053025658242404E-13</v>
      </c>
      <c r="O102" s="13">
        <f>N102*VLOOKUP('Données projet'!$B$9,Paramètres!$A$1:$I$89,3,0)*VLOOKUP('Données projet'!$B$9,Paramètres!$A$1:$I$89,5,0)</f>
        <v>-1.0197709343628959E-13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222.094802682965</v>
      </c>
      <c r="T102" s="59">
        <f t="shared" si="88"/>
        <v>325.33996570337496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35.376736603737918</v>
      </c>
      <c r="AA102" s="21">
        <f>EXP(-LN(2)/25)*AA101+(1-EXP(-LN(2)/25))/(LN(2)/25)*Calculateur!V102*Calculateur!X102*VLOOKUP('Données projet'!$B$9,Paramètres!$A$1:$I$89,3,0)*0.475*44/12</f>
        <v>10.787060566776413</v>
      </c>
      <c r="AB102" s="21">
        <f>EXP(-LN(2)/2)*AB101+(1-EXP(-LN(2)/2))/(LN(2)/2)*V102*Y102*VLOOKUP('Données projet'!$B$9,Paramètres!$A$1:$I$89,3,0)*0.475*44/12</f>
        <v>2.7221506506050269E-7</v>
      </c>
      <c r="AC102" s="22">
        <f t="shared" si="57"/>
        <v>46.163797442729397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379.27229591132925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-1.7053025658242404E-13</v>
      </c>
      <c r="O103" s="13">
        <f>N103*VLOOKUP('Données projet'!$B$9,Paramètres!$A$1:$I$89,3,0)*VLOOKUP('Données projet'!$B$9,Paramètres!$A$1:$I$89,5,0)</f>
        <v>-1.0197709343628959E-13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222.094802682965</v>
      </c>
      <c r="T103" s="59">
        <f t="shared" si="88"/>
        <v>325.33996570337496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34.683020376617328</v>
      </c>
      <c r="AA103" s="21">
        <f>EXP(-LN(2)/25)*AA102+(1-EXP(-LN(2)/25))/(LN(2)/25)*Calculateur!V103*Calculateur!X103*VLOOKUP('Données projet'!$B$9,Paramètres!$A$1:$I$89,3,0)*0.475*44/12</f>
        <v>10.492087828311051</v>
      </c>
      <c r="AB103" s="21">
        <f>EXP(-LN(2)/2)*AB102+(1-EXP(-LN(2)/2))/(LN(2)/2)*V103*Y103*VLOOKUP('Données projet'!$B$9,Paramètres!$A$1:$I$89,3,0)*0.475*44/12</f>
        <v>1.9248511844541868E-7</v>
      </c>
      <c r="AC103" s="22">
        <f t="shared" si="57"/>
        <v>45.175108397413496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380.46618888020032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-1.7053025658242404E-13</v>
      </c>
      <c r="O104" s="13">
        <f>N104*VLOOKUP('Données projet'!$B$9,Paramètres!$A$1:$I$89,3,0)*VLOOKUP('Données projet'!$B$9,Paramètres!$A$1:$I$89,5,0)</f>
        <v>-1.0197709343628959E-13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222.094802682965</v>
      </c>
      <c r="T104" s="59">
        <f t="shared" si="88"/>
        <v>325.33996570337496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34.002907501585454</v>
      </c>
      <c r="AA104" s="21">
        <f>EXP(-LN(2)/25)*AA103+(1-EXP(-LN(2)/25))/(LN(2)/25)*Calculateur!V104*Calculateur!X104*VLOOKUP('Données projet'!$B$9,Paramètres!$A$1:$I$89,3,0)*0.475*44/12</f>
        <v>10.205181134890967</v>
      </c>
      <c r="AB104" s="21">
        <f>EXP(-LN(2)/2)*AB103+(1-EXP(-LN(2)/2))/(LN(2)/2)*V104*Y104*VLOOKUP('Données projet'!$B$9,Paramètres!$A$1:$I$89,3,0)*0.475*44/12</f>
        <v>1.3610753253025135E-7</v>
      </c>
      <c r="AC104" s="22">
        <f t="shared" si="57"/>
        <v>44.208088772583949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381.6598020197543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-1.7053025658242404E-13</v>
      </c>
      <c r="O105" s="13">
        <f>N105*VLOOKUP('Données projet'!$B$9,Paramètres!$A$1:$I$89,3,0)*VLOOKUP('Données projet'!$B$9,Paramètres!$A$1:$I$89,5,0)</f>
        <v>-1.0197709343628959E-13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222.094802682965</v>
      </c>
      <c r="T105" s="59">
        <f t="shared" si="88"/>
        <v>325.33996570337496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33.336131225205065</v>
      </c>
      <c r="AA105" s="21">
        <f>EXP(-LN(2)/25)*AA104+(1-EXP(-LN(2)/25))/(LN(2)/25)*Calculateur!V105*Calculateur!X105*VLOOKUP('Données projet'!$B$9,Paramètres!$A$1:$I$89,3,0)*0.475*44/12</f>
        <v>9.9261199200902226</v>
      </c>
      <c r="AB105" s="21">
        <f>EXP(-LN(2)/2)*AB104+(1-EXP(-LN(2)/2))/(LN(2)/2)*V105*Y105*VLOOKUP('Données projet'!$B$9,Paramètres!$A$1:$I$89,3,0)*0.475*44/12</f>
        <v>9.6242559222709339E-8</v>
      </c>
      <c r="AC105" s="22">
        <f t="shared" si="57"/>
        <v>43.262251241537847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382.85313839110199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-1.7053025658242404E-13</v>
      </c>
      <c r="O106" s="13">
        <f>N106*VLOOKUP('Données projet'!$B$9,Paramètres!$A$1:$I$89,3,0)*VLOOKUP('Données projet'!$B$9,Paramètres!$A$1:$I$89,5,0)</f>
        <v>-1.0197709343628959E-13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222.094802682965</v>
      </c>
      <c r="T106" s="59">
        <f t="shared" si="88"/>
        <v>325.33996570337496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32.68243002491112</v>
      </c>
      <c r="AA106" s="21">
        <f>EXP(-LN(2)/25)*AA105+(1-EXP(-LN(2)/25))/(LN(2)/25)*Calculateur!V106*Calculateur!X106*VLOOKUP('Données projet'!$B$9,Paramètres!$A$1:$I$89,3,0)*0.475*44/12</f>
        <v>9.6546896488833944</v>
      </c>
      <c r="AB106" s="21">
        <f>EXP(-LN(2)/2)*AB105+(1-EXP(-LN(2)/2))/(LN(2)/2)*V106*Y106*VLOOKUP('Données projet'!$B$9,Paramètres!$A$1:$I$89,3,0)*0.475*44/12</f>
        <v>6.8053766265125673E-8</v>
      </c>
      <c r="AC106" s="22">
        <f t="shared" si="57"/>
        <v>42.337119741848284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384.04620099248854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-1.7053025658242404E-13</v>
      </c>
      <c r="O107" s="13">
        <f>N107*VLOOKUP('Données projet'!$B$9,Paramètres!$A$1:$I$89,3,0)*VLOOKUP('Données projet'!$B$9,Paramètres!$A$1:$I$89,5,0)</f>
        <v>-1.0197709343628959E-13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222.094802682965</v>
      </c>
      <c r="T107" s="59">
        <f t="shared" si="88"/>
        <v>325.33996570337496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32.041547506436579</v>
      </c>
      <c r="AA107" s="21">
        <f>EXP(-LN(2)/25)*AA106+(1-EXP(-LN(2)/25))/(LN(2)/25)*Calculateur!V107*Calculateur!X107*VLOOKUP('Données projet'!$B$9,Paramètres!$A$1:$I$89,3,0)*0.475*44/12</f>
        <v>9.3906816527166157</v>
      </c>
      <c r="AB107" s="21">
        <f>EXP(-LN(2)/2)*AB106+(1-EXP(-LN(2)/2))/(LN(2)/2)*V107*Y107*VLOOKUP('Données projet'!$B$9,Paramètres!$A$1:$I$89,3,0)*0.475*44/12</f>
        <v>4.812127961135467E-8</v>
      </c>
      <c r="AC107" s="22">
        <f t="shared" si="57"/>
        <v>41.432229207274474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385.23899276117606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-1.7053025658242404E-13</v>
      </c>
      <c r="O108" s="13">
        <f>N108*VLOOKUP('Données projet'!$B$9,Paramètres!$A$1:$I$89,3,0)*VLOOKUP('Données projet'!$B$9,Paramètres!$A$1:$I$89,5,0)</f>
        <v>-1.0197709343628959E-13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222.094802682965</v>
      </c>
      <c r="T108" s="59">
        <f t="shared" si="88"/>
        <v>325.33996570337496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31.413232303249586</v>
      </c>
      <c r="AA108" s="21">
        <f>EXP(-LN(2)/25)*AA107+(1-EXP(-LN(2)/25))/(LN(2)/25)*Calculateur!V108*Calculateur!X108*VLOOKUP('Données projet'!$B$9,Paramètres!$A$1:$I$89,3,0)*0.475*44/12</f>
        <v>9.1338929690885937</v>
      </c>
      <c r="AB108" s="21">
        <f>EXP(-LN(2)/2)*AB107+(1-EXP(-LN(2)/2))/(LN(2)/2)*V108*Y108*VLOOKUP('Données projet'!$B$9,Paramètres!$A$1:$I$89,3,0)*0.475*44/12</f>
        <v>3.4026883132562837E-8</v>
      </c>
      <c r="AC108" s="22">
        <f t="shared" si="57"/>
        <v>40.547125306365061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386.43151657525294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-1.7053025658242404E-13</v>
      </c>
      <c r="O109" s="13">
        <f>N109*VLOOKUP('Données projet'!$B$9,Paramètres!$A$1:$I$89,3,0)*VLOOKUP('Données projet'!$B$9,Paramètres!$A$1:$I$89,5,0)</f>
        <v>-1.0197709343628959E-13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222.094802682965</v>
      </c>
      <c r="T109" s="59">
        <f t="shared" si="88"/>
        <v>325.33996570337496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30.797237977962656</v>
      </c>
      <c r="AA109" s="21">
        <f>EXP(-LN(2)/25)*AA108+(1-EXP(-LN(2)/25))/(LN(2)/25)*Calculateur!V109*Calculateur!X109*VLOOKUP('Données projet'!$B$9,Paramètres!$A$1:$I$89,3,0)*0.475*44/12</f>
        <v>8.8841261855183102</v>
      </c>
      <c r="AB109" s="21">
        <f>EXP(-LN(2)/2)*AB108+(1-EXP(-LN(2)/2))/(LN(2)/2)*V109*Y109*VLOOKUP('Données projet'!$B$9,Paramètres!$A$1:$I$89,3,0)*0.475*44/12</f>
        <v>2.4060639805677335E-8</v>
      </c>
      <c r="AC109" s="22">
        <f t="shared" si="57"/>
        <v>39.681364187541604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387.62377525537238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-1.7053025658242404E-13</v>
      </c>
      <c r="O110" s="13">
        <f>N110*VLOOKUP('Données projet'!$B$9,Paramètres!$A$1:$I$89,3,0)*VLOOKUP('Données projet'!$B$9,Paramètres!$A$1:$I$89,5,0)</f>
        <v>-1.0197709343628959E-13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222.094802682965</v>
      </c>
      <c r="T110" s="59">
        <f t="shared" si="88"/>
        <v>325.33996570337496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30.193322925675162</v>
      </c>
      <c r="AA110" s="21">
        <f>EXP(-LN(2)/25)*AA109+(1-EXP(-LN(2)/25))/(LN(2)/25)*Calculateur!V110*Calculateur!X110*VLOOKUP('Données projet'!$B$9,Paramètres!$A$1:$I$89,3,0)*0.475*44/12</f>
        <v>8.6411892877794205</v>
      </c>
      <c r="AB110" s="21">
        <f>EXP(-LN(2)/2)*AB109+(1-EXP(-LN(2)/2))/(LN(2)/2)*V110*Y110*VLOOKUP('Données projet'!$B$9,Paramètres!$A$1:$I$89,3,0)*0.475*44/12</f>
        <v>1.7013441566281418E-8</v>
      </c>
      <c r="AC110" s="22">
        <f t="shared" si="57"/>
        <v>38.834512230468022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388.81577156642459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-1.7053025658242404E-13</v>
      </c>
      <c r="O111" s="13">
        <f>N111*VLOOKUP('Données projet'!$B$9,Paramètres!$A$1:$I$89,3,0)*VLOOKUP('Données projet'!$B$9,Paramètres!$A$1:$I$89,5,0)</f>
        <v>-1.0197709343628959E-13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222.094802682965</v>
      </c>
      <c r="T111" s="59">
        <f t="shared" si="88"/>
        <v>325.33996570337496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29.601250279211218</v>
      </c>
      <c r="AA111" s="21">
        <f>EXP(-LN(2)/25)*AA110+(1-EXP(-LN(2)/25))/(LN(2)/25)*Calculateur!V111*Calculateur!X111*VLOOKUP('Données projet'!$B$9,Paramètres!$A$1:$I$89,3,0)*0.475*44/12</f>
        <v>8.404895512284698</v>
      </c>
      <c r="AB111" s="21">
        <f>EXP(-LN(2)/2)*AB110+(1-EXP(-LN(2)/2))/(LN(2)/2)*V111*Y111*VLOOKUP('Données projet'!$B$9,Paramètres!$A$1:$I$89,3,0)*0.475*44/12</f>
        <v>1.2030319902838667E-8</v>
      </c>
      <c r="AC111" s="22">
        <f t="shared" si="57"/>
        <v>38.006145803526238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390.00750821914528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-1.7053025658242404E-13</v>
      </c>
      <c r="O112" s="13">
        <f>N112*VLOOKUP('Données projet'!$B$9,Paramètres!$A$1:$I$89,3,0)*VLOOKUP('Données projet'!$B$9,Paramètres!$A$1:$I$89,5,0)</f>
        <v>-1.0197709343628959E-13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222.094802682965</v>
      </c>
      <c r="T112" s="59">
        <f t="shared" si="88"/>
        <v>325.33996570337496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29.020787816215776</v>
      </c>
      <c r="AA112" s="21">
        <f>EXP(-LN(2)/25)*AA111+(1-EXP(-LN(2)/25))/(LN(2)/25)*Calculateur!V112*Calculateur!X112*VLOOKUP('Données projet'!$B$9,Paramètres!$A$1:$I$89,3,0)*0.475*44/12</f>
        <v>8.1750632025070278</v>
      </c>
      <c r="AB112" s="21">
        <f>EXP(-LN(2)/2)*AB111+(1-EXP(-LN(2)/2))/(LN(2)/2)*V112*Y112*VLOOKUP('Données projet'!$B$9,Paramètres!$A$1:$I$89,3,0)*0.475*44/12</f>
        <v>8.5067207831407092E-9</v>
      </c>
      <c r="AC112" s="22">
        <f t="shared" si="57"/>
        <v>37.19585102722953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391.19898787166267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-1.7053025658242404E-13</v>
      </c>
      <c r="O113" s="13">
        <f>N113*VLOOKUP('Données projet'!$B$9,Paramètres!$A$1:$I$89,3,0)*VLOOKUP('Données projet'!$B$9,Paramètres!$A$1:$I$89,5,0)</f>
        <v>-1.0197709343628959E-13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222.094802682965</v>
      </c>
      <c r="T113" s="59">
        <f t="shared" si="88"/>
        <v>325.33996570337496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28.451707868072532</v>
      </c>
      <c r="AA113" s="21">
        <f>EXP(-LN(2)/25)*AA112+(1-EXP(-LN(2)/25))/(LN(2)/25)*Calculateur!V113*Calculateur!X113*VLOOKUP('Données projet'!$B$9,Paramètres!$A$1:$I$89,3,0)*0.475*44/12</f>
        <v>7.951515669326584</v>
      </c>
      <c r="AB113" s="21">
        <f>EXP(-LN(2)/2)*AB112+(1-EXP(-LN(2)/2))/(LN(2)/2)*V113*Y113*VLOOKUP('Données projet'!$B$9,Paramètres!$A$1:$I$89,3,0)*0.475*44/12</f>
        <v>6.0151599514193337E-9</v>
      </c>
      <c r="AC113" s="22">
        <f t="shared" si="57"/>
        <v>36.403223543414278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392.39021313098795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-1.7053025658242404E-13</v>
      </c>
      <c r="O114" s="13">
        <f>N114*VLOOKUP('Données projet'!$B$9,Paramètres!$A$1:$I$89,3,0)*VLOOKUP('Données projet'!$B$9,Paramètres!$A$1:$I$89,5,0)</f>
        <v>-1.0197709343628959E-13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222.094802682965</v>
      </c>
      <c r="T114" s="59">
        <f t="shared" si="88"/>
        <v>325.33996570337496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27.893787230607881</v>
      </c>
      <c r="AA114" s="21">
        <f>EXP(-LN(2)/25)*AA113+(1-EXP(-LN(2)/25))/(LN(2)/25)*Calculateur!V114*Calculateur!X114*VLOOKUP('Données projet'!$B$9,Paramètres!$A$1:$I$89,3,0)*0.475*44/12</f>
        <v>7.7340810551968131</v>
      </c>
      <c r="AB114" s="21">
        <f>EXP(-LN(2)/2)*AB113+(1-EXP(-LN(2)/2))/(LN(2)/2)*V114*Y114*VLOOKUP('Données projet'!$B$9,Paramètres!$A$1:$I$89,3,0)*0.475*44/12</f>
        <v>4.2533603915703546E-9</v>
      </c>
      <c r="AC114" s="22">
        <f t="shared" si="57"/>
        <v>35.627868290058053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393.581186554449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-1.7053025658242404E-13</v>
      </c>
      <c r="O115" s="13">
        <f>N115*VLOOKUP('Données projet'!$B$9,Paramètres!$A$1:$I$89,3,0)*VLOOKUP('Données projet'!$B$9,Paramètres!$A$1:$I$89,5,0)</f>
        <v>-1.0197709343628959E-13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222.094802682965</v>
      </c>
      <c r="T115" s="59">
        <f t="shared" si="88"/>
        <v>325.33996570337496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27.346807076545925</v>
      </c>
      <c r="AA115" s="21">
        <f>EXP(-LN(2)/25)*AA114+(1-EXP(-LN(2)/25))/(LN(2)/25)*Calculateur!V115*Calculateur!X115*VLOOKUP('Données projet'!$B$9,Paramètres!$A$1:$I$89,3,0)*0.475*44/12</f>
        <v>7.5225922020248097</v>
      </c>
      <c r="AB115" s="21">
        <f>EXP(-LN(2)/2)*AB114+(1-EXP(-LN(2)/2))/(LN(2)/2)*V115*Y115*VLOOKUP('Données projet'!$B$9,Paramètres!$A$1:$I$89,3,0)*0.475*44/12</f>
        <v>3.0075799757096668E-9</v>
      </c>
      <c r="AC115" s="22">
        <f t="shared" si="57"/>
        <v>34.86939928157831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394.77191065107274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-1.7053025658242404E-13</v>
      </c>
      <c r="O116" s="13">
        <f>N116*VLOOKUP('Données projet'!$B$9,Paramètres!$A$1:$I$89,3,0)*VLOOKUP('Données projet'!$B$9,Paramètres!$A$1:$I$89,5,0)</f>
        <v>-1.0197709343628959E-13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222.094802682965</v>
      </c>
      <c r="T116" s="59">
        <f t="shared" si="88"/>
        <v>325.33996570337496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26.810552869680173</v>
      </c>
      <c r="AA116" s="21">
        <f>EXP(-LN(2)/25)*AA115+(1-EXP(-LN(2)/25))/(LN(2)/25)*Calculateur!V116*Calculateur!X116*VLOOKUP('Données projet'!$B$9,Paramètres!$A$1:$I$89,3,0)*0.475*44/12</f>
        <v>7.3168865226645101</v>
      </c>
      <c r="AB116" s="21">
        <f>EXP(-LN(2)/2)*AB115+(1-EXP(-LN(2)/2))/(LN(2)/2)*V116*Y116*VLOOKUP('Données projet'!$B$9,Paramètres!$A$1:$I$89,3,0)*0.475*44/12</f>
        <v>2.1266801957851773E-9</v>
      </c>
      <c r="AC116" s="22">
        <f t="shared" si="57"/>
        <v>34.127439394471367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395.96238788291635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-1.7053025658242404E-13</v>
      </c>
      <c r="O117" s="13">
        <f>N117*VLOOKUP('Données projet'!$B$9,Paramètres!$A$1:$I$89,3,0)*VLOOKUP('Données projet'!$B$9,Paramètres!$A$1:$I$89,5,0)</f>
        <v>-1.0197709343628959E-13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222.094802682965</v>
      </c>
      <c r="T117" s="59">
        <f t="shared" si="88"/>
        <v>325.33996570337496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26.284814280728288</v>
      </c>
      <c r="AA117" s="21">
        <f>EXP(-LN(2)/25)*AA116+(1-EXP(-LN(2)/25))/(LN(2)/25)*Calculateur!V117*Calculateur!X117*VLOOKUP('Données projet'!$B$9,Paramètres!$A$1:$I$89,3,0)*0.475*44/12</f>
        <v>7.1168058759239097</v>
      </c>
      <c r="AB117" s="21">
        <f>EXP(-LN(2)/2)*AB116+(1-EXP(-LN(2)/2))/(LN(2)/2)*V117*Y117*VLOOKUP('Données projet'!$B$9,Paramètres!$A$1:$I$89,3,0)*0.475*44/12</f>
        <v>1.5037899878548334E-9</v>
      </c>
      <c r="AC117" s="22">
        <f t="shared" si="57"/>
        <v>33.401620158155993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397.15262066635069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-1.7053025658242404E-13</v>
      </c>
      <c r="O118" s="13">
        <f>N118*VLOOKUP('Données projet'!$B$9,Paramètres!$A$1:$I$89,3,0)*VLOOKUP('Données projet'!$B$9,Paramètres!$A$1:$I$89,5,0)</f>
        <v>-1.0197709343628959E-13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222.094802682965</v>
      </c>
      <c r="T118" s="59">
        <f t="shared" si="88"/>
        <v>325.33996570337496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25.769385104836875</v>
      </c>
      <c r="AA118" s="21">
        <f>EXP(-LN(2)/25)*AA117+(1-EXP(-LN(2)/25))/(LN(2)/25)*Calculateur!V118*Calculateur!X118*VLOOKUP('Données projet'!$B$9,Paramètres!$A$1:$I$89,3,0)*0.475*44/12</f>
        <v>6.9221964449902149</v>
      </c>
      <c r="AB118" s="21">
        <f>EXP(-LN(2)/2)*AB117+(1-EXP(-LN(2)/2))/(LN(2)/2)*V118*Y118*VLOOKUP('Données projet'!$B$9,Paramètres!$A$1:$I$89,3,0)*0.475*44/12</f>
        <v>1.0633400978925886E-9</v>
      </c>
      <c r="AC118" s="22">
        <f t="shared" si="57"/>
        <v>32.691581550890433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398.34261137329793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-1.7053025658242404E-13</v>
      </c>
      <c r="O119" s="13">
        <f>N119*VLOOKUP('Données projet'!$B$9,Paramètres!$A$1:$I$89,3,0)*VLOOKUP('Données projet'!$B$9,Paramètres!$A$1:$I$89,5,0)</f>
        <v>-1.0197709343628959E-13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222.094802682965</v>
      </c>
      <c r="T119" s="59">
        <f t="shared" si="88"/>
        <v>325.33996570337496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25.264063180703936</v>
      </c>
      <c r="AA119" s="21">
        <f>EXP(-LN(2)/25)*AA118+(1-EXP(-LN(2)/25))/(LN(2)/25)*Calculateur!V119*Calculateur!X119*VLOOKUP('Données projet'!$B$9,Paramètres!$A$1:$I$89,3,0)*0.475*44/12</f>
        <v>6.7329086191794669</v>
      </c>
      <c r="AB119" s="21">
        <f>EXP(-LN(2)/2)*AB118+(1-EXP(-LN(2)/2))/(LN(2)/2)*V119*Y119*VLOOKUP('Données projet'!$B$9,Paramètres!$A$1:$I$89,3,0)*0.475*44/12</f>
        <v>7.5189499392741671E-10</v>
      </c>
      <c r="AC119" s="22">
        <f t="shared" si="57"/>
        <v>31.996971800635301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399.53236233242478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-1.7053025658242404E-13</v>
      </c>
      <c r="O120" s="13">
        <f>N120*VLOOKUP('Données projet'!$B$9,Paramètres!$A$1:$I$89,3,0)*VLOOKUP('Données projet'!$B$9,Paramètres!$A$1:$I$89,5,0)</f>
        <v>-1.0197709343628959E-13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222.094802682965</v>
      </c>
      <c r="T120" s="59">
        <f t="shared" si="88"/>
        <v>325.33996570337496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24.768650311287303</v>
      </c>
      <c r="AA120" s="21">
        <f>EXP(-LN(2)/25)*AA119+(1-EXP(-LN(2)/25))/(LN(2)/25)*Calculateur!V120*Calculateur!X120*VLOOKUP('Données projet'!$B$9,Paramètres!$A$1:$I$89,3,0)*0.475*44/12</f>
        <v>6.5487968789197284</v>
      </c>
      <c r="AB120" s="21">
        <f>EXP(-LN(2)/2)*AB119+(1-EXP(-LN(2)/2))/(LN(2)/2)*V120*Y120*VLOOKUP('Données projet'!$B$9,Paramètres!$A$1:$I$89,3,0)*0.475*44/12</f>
        <v>5.3167004894629432E-10</v>
      </c>
      <c r="AC120" s="22">
        <f t="shared" si="57"/>
        <v>31.317447190738701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400.72187583029472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-1.7053025658242404E-13</v>
      </c>
      <c r="O121" s="13">
        <f>N121*VLOOKUP('Données projet'!$B$9,Paramètres!$A$1:$I$89,3,0)*VLOOKUP('Données projet'!$B$9,Paramètres!$A$1:$I$89,5,0)</f>
        <v>-1.0197709343628959E-13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222.094802682965</v>
      </c>
      <c r="T121" s="59">
        <f t="shared" si="88"/>
        <v>325.33996570337496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24.282952186067917</v>
      </c>
      <c r="AA121" s="21">
        <f>EXP(-LN(2)/25)*AA120+(1-EXP(-LN(2)/25))/(LN(2)/25)*Calculateur!V121*Calculateur!X121*VLOOKUP('Données projet'!$B$9,Paramètres!$A$1:$I$89,3,0)*0.475*44/12</f>
        <v>6.3697196838794081</v>
      </c>
      <c r="AB121" s="21">
        <f>EXP(-LN(2)/2)*AB120+(1-EXP(-LN(2)/2))/(LN(2)/2)*V121*Y121*VLOOKUP('Données projet'!$B$9,Paramètres!$A$1:$I$89,3,0)*0.475*44/12</f>
        <v>3.7594749696370836E-10</v>
      </c>
      <c r="AC121" s="22">
        <f t="shared" si="57"/>
        <v>30.652671870323275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401.91115411247904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-1.7053025658242404E-13</v>
      </c>
      <c r="O122" s="13">
        <f>N122*VLOOKUP('Données projet'!$B$9,Paramètres!$A$1:$I$89,3,0)*VLOOKUP('Données projet'!$B$9,Paramètres!$A$1:$I$89,5,0)</f>
        <v>-1.0197709343628959E-13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222.094802682965</v>
      </c>
      <c r="T122" s="59">
        <f t="shared" si="88"/>
        <v>325.33996570337496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23.806778304837479</v>
      </c>
      <c r="AA122" s="21">
        <f>EXP(-LN(2)/25)*AA121+(1-EXP(-LN(2)/25))/(LN(2)/25)*Calculateur!V122*Calculateur!X122*VLOOKUP('Données projet'!$B$9,Paramètres!$A$1:$I$89,3,0)*0.475*44/12</f>
        <v>6.1955393641547261</v>
      </c>
      <c r="AB122" s="21">
        <f>EXP(-LN(2)/2)*AB121+(1-EXP(-LN(2)/2))/(LN(2)/2)*V122*Y122*VLOOKUP('Données projet'!$B$9,Paramètres!$A$1:$I$89,3,0)*0.475*44/12</f>
        <v>2.6583502447314716E-10</v>
      </c>
      <c r="AC122" s="22">
        <f t="shared" si="57"/>
        <v>30.002317669258041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403.10019938462972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-1.7053025658242404E-13</v>
      </c>
      <c r="O123" s="13">
        <f>N123*VLOOKUP('Données projet'!$B$9,Paramètres!$A$1:$I$89,3,0)*VLOOKUP('Données projet'!$B$9,Paramètres!$A$1:$I$89,5,0)</f>
        <v>-1.0197709343628959E-13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222.094802682965</v>
      </c>
      <c r="T123" s="59">
        <f t="shared" si="88"/>
        <v>325.33996570337496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23.339941902980581</v>
      </c>
      <c r="AA123" s="21">
        <f>EXP(-LN(2)/25)*AA122+(1-EXP(-LN(2)/25))/(LN(2)/25)*Calculateur!V123*Calculateur!X123*VLOOKUP('Données projet'!$B$9,Paramètres!$A$1:$I$89,3,0)*0.475*44/12</f>
        <v>6.0261220144326604</v>
      </c>
      <c r="AB123" s="21">
        <f>EXP(-LN(2)/2)*AB122+(1-EXP(-LN(2)/2))/(LN(2)/2)*V123*Y123*VLOOKUP('Données projet'!$B$9,Paramètres!$A$1:$I$89,3,0)*0.475*44/12</f>
        <v>1.8797374848185418E-10</v>
      </c>
      <c r="AC123" s="22">
        <f t="shared" si="57"/>
        <v>29.366063917601217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404.28901381351614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-1.7053025658242404E-13</v>
      </c>
      <c r="O124" s="13">
        <f>N124*VLOOKUP('Données projet'!$B$9,Paramètres!$A$1:$I$89,3,0)*VLOOKUP('Données projet'!$B$9,Paramètres!$A$1:$I$89,5,0)</f>
        <v>-1.0197709343628959E-13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222.094802682965</v>
      </c>
      <c r="T124" s="59">
        <f t="shared" si="88"/>
        <v>325.33996570337496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22.882259878222008</v>
      </c>
      <c r="AA124" s="21">
        <f>EXP(-LN(2)/25)*AA123+(1-EXP(-LN(2)/25))/(LN(2)/25)*Calculateur!V124*Calculateur!X124*VLOOKUP('Données projet'!$B$9,Paramètres!$A$1:$I$89,3,0)*0.475*44/12</f>
        <v>5.8613373910480151</v>
      </c>
      <c r="AB124" s="21">
        <f>EXP(-LN(2)/2)*AB123+(1-EXP(-LN(2)/2))/(LN(2)/2)*V124*Y124*VLOOKUP('Données projet'!$B$9,Paramètres!$A$1:$I$89,3,0)*0.475*44/12</f>
        <v>1.3291751223657358E-10</v>
      </c>
      <c r="AC124" s="22">
        <f t="shared" si="57"/>
        <v>28.74359726940294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405.47759952802585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-1.7053025658242404E-13</v>
      </c>
      <c r="O125" s="13">
        <f>N125*VLOOKUP('Données projet'!$B$9,Paramètres!$A$1:$I$89,3,0)*VLOOKUP('Données projet'!$B$9,Paramètres!$A$1:$I$89,5,0)</f>
        <v>-1.0197709343628959E-13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222.094802682965</v>
      </c>
      <c r="T125" s="59">
        <f t="shared" si="88"/>
        <v>325.33996570337496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22.433552718810482</v>
      </c>
      <c r="AA125" s="21">
        <f>EXP(-LN(2)/25)*AA124+(1-EXP(-LN(2)/25))/(LN(2)/25)*Calculateur!V125*Calculateur!X125*VLOOKUP('Données projet'!$B$9,Paramètres!$A$1:$I$89,3,0)*0.475*44/12</f>
        <v>5.7010588118554697</v>
      </c>
      <c r="AB125" s="21">
        <f>EXP(-LN(2)/2)*AB124+(1-EXP(-LN(2)/2))/(LN(2)/2)*V125*Y125*VLOOKUP('Données projet'!$B$9,Paramètres!$A$1:$I$89,3,0)*0.475*44/12</f>
        <v>9.3986874240927089E-11</v>
      </c>
      <c r="AC125" s="22">
        <f t="shared" si="57"/>
        <v>28.134611530759937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406.66595862013173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-1.7053025658242404E-13</v>
      </c>
      <c r="O126" s="13">
        <f>N126*VLOOKUP('Données projet'!$B$9,Paramètres!$A$1:$I$89,3,0)*VLOOKUP('Données projet'!$B$9,Paramètres!$A$1:$I$89,5,0)</f>
        <v>-1.0197709343628959E-13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222.094802682965</v>
      </c>
      <c r="T126" s="59">
        <f t="shared" si="88"/>
        <v>325.33996570337496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21.993644433110671</v>
      </c>
      <c r="AA126" s="21">
        <f>EXP(-LN(2)/25)*AA125+(1-EXP(-LN(2)/25))/(LN(2)/25)*Calculateur!V126*Calculateur!X126*VLOOKUP('Données projet'!$B$9,Paramètres!$A$1:$I$89,3,0)*0.475*44/12</f>
        <v>5.5451630588396288</v>
      </c>
      <c r="AB126" s="21">
        <f>EXP(-LN(2)/2)*AB125+(1-EXP(-LN(2)/2))/(LN(2)/2)*V126*Y126*VLOOKUP('Données projet'!$B$9,Paramètres!$A$1:$I$89,3,0)*0.475*44/12</f>
        <v>6.645875611828679E-11</v>
      </c>
      <c r="AC126" s="22">
        <f t="shared" si="57"/>
        <v>27.538807492016758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407.85409314582705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-1.7053025658242404E-13</v>
      </c>
      <c r="O127" s="13">
        <f>N127*VLOOKUP('Données projet'!$B$9,Paramètres!$A$1:$I$89,3,0)*VLOOKUP('Données projet'!$B$9,Paramètres!$A$1:$I$89,5,0)</f>
        <v>-1.0197709343628959E-13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222.094802682965</v>
      </c>
      <c r="T127" s="59">
        <f t="shared" si="88"/>
        <v>325.33996570337496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21.562362480575874</v>
      </c>
      <c r="AA127" s="21">
        <f>EXP(-LN(2)/25)*AA126+(1-EXP(-LN(2)/25))/(LN(2)/25)*Calculateur!V127*Calculateur!X127*VLOOKUP('Données projet'!$B$9,Paramètres!$A$1:$I$89,3,0)*0.475*44/12</f>
        <v>5.3935302833882073</v>
      </c>
      <c r="AB127" s="21">
        <f>EXP(-LN(2)/2)*AB126+(1-EXP(-LN(2)/2))/(LN(2)/2)*V127*Y127*VLOOKUP('Données projet'!$B$9,Paramètres!$A$1:$I$89,3,0)*0.475*44/12</f>
        <v>4.6993437120463545E-11</v>
      </c>
      <c r="AC127" s="22">
        <f t="shared" si="57"/>
        <v>26.955892764011072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409.04200512602915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-1.7053025658242404E-13</v>
      </c>
      <c r="O128" s="13">
        <f>N128*VLOOKUP('Données projet'!$B$9,Paramètres!$A$1:$I$89,3,0)*VLOOKUP('Données projet'!$B$9,Paramètres!$A$1:$I$89,5,0)</f>
        <v>-1.0197709343628959E-13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222.094802682965</v>
      </c>
      <c r="T128" s="59">
        <f t="shared" si="88"/>
        <v>325.33996570337496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21.139537704074268</v>
      </c>
      <c r="AA128" s="21">
        <f>EXP(-LN(2)/25)*AA127+(1-EXP(-LN(2)/25))/(LN(2)/25)*Calculateur!V128*Calculateur!X128*VLOOKUP('Données projet'!$B$9,Paramètres!$A$1:$I$89,3,0)*0.475*44/12</f>
        <v>5.2460439141555266</v>
      </c>
      <c r="AB128" s="21">
        <f>EXP(-LN(2)/2)*AB127+(1-EXP(-LN(2)/2))/(LN(2)/2)*V128*Y128*VLOOKUP('Données projet'!$B$9,Paramètres!$A$1:$I$89,3,0)*0.475*44/12</f>
        <v>3.3229378059143395E-11</v>
      </c>
      <c r="AC128" s="22">
        <f t="shared" si="57"/>
        <v>26.385581618263021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410.22969654745395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-1.7053025658242404E-13</v>
      </c>
      <c r="O129" s="13">
        <f>N129*VLOOKUP('Données projet'!$B$9,Paramètres!$A$1:$I$89,3,0)*VLOOKUP('Données projet'!$B$9,Paramètres!$A$1:$I$89,5,0)</f>
        <v>-1.0197709343628959E-13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222.094802682965</v>
      </c>
      <c r="T129" s="59">
        <f t="shared" si="88"/>
        <v>325.33996570337496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20.72500426354221</v>
      </c>
      <c r="AA129" s="21">
        <f>EXP(-LN(2)/25)*AA128+(1-EXP(-LN(2)/25))/(LN(2)/25)*Calculateur!V129*Calculateur!X129*VLOOKUP('Données projet'!$B$9,Paramètres!$A$1:$I$89,3,0)*0.475*44/12</f>
        <v>5.1025905674454846</v>
      </c>
      <c r="AB129" s="21">
        <f>EXP(-LN(2)/2)*AB128+(1-EXP(-LN(2)/2))/(LN(2)/2)*V129*Y129*VLOOKUP('Données projet'!$B$9,Paramètres!$A$1:$I$89,3,0)*0.475*44/12</f>
        <v>2.3496718560231772E-11</v>
      </c>
      <c r="AC129" s="22">
        <f t="shared" si="57"/>
        <v>25.827594831011194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411.41716936346074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-1.7053025658242404E-13</v>
      </c>
      <c r="O130" s="13">
        <f>N130*VLOOKUP('Données projet'!$B$9,Paramètres!$A$1:$I$89,3,0)*VLOOKUP('Données projet'!$B$9,Paramètres!$A$1:$I$89,5,0)</f>
        <v>-1.0197709343628959E-13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222.094802682965</v>
      </c>
      <c r="T130" s="59">
        <f t="shared" si="88"/>
        <v>325.33996570337496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20.318599570938552</v>
      </c>
      <c r="AA130" s="21">
        <f>EXP(-LN(2)/25)*AA129+(1-EXP(-LN(2)/25))/(LN(2)/25)*Calculateur!V130*Calculateur!X130*VLOOKUP('Données projet'!$B$9,Paramètres!$A$1:$I$89,3,0)*0.475*44/12</f>
        <v>4.9630599600451122</v>
      </c>
      <c r="AB130" s="21">
        <f>EXP(-LN(2)/2)*AB129+(1-EXP(-LN(2)/2))/(LN(2)/2)*V130*Y130*VLOOKUP('Données projet'!$B$9,Paramètres!$A$1:$I$89,3,0)*0.475*44/12</f>
        <v>1.6614689029571698E-11</v>
      </c>
      <c r="AC130" s="22">
        <f t="shared" si="57"/>
        <v>25.28165953100028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412.60442549487129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-1.7053025658242404E-13</v>
      </c>
      <c r="O131" s="13">
        <f>N131*VLOOKUP('Données projet'!$B$9,Paramètres!$A$1:$I$89,3,0)*VLOOKUP('Données projet'!$B$9,Paramètres!$A$1:$I$89,5,0)</f>
        <v>-1.0197709343628959E-13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222.094802682965</v>
      </c>
      <c r="T131" s="59">
        <f t="shared" si="88"/>
        <v>325.33996570337496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19.920164226474466</v>
      </c>
      <c r="AA131" s="21">
        <f>EXP(-LN(2)/25)*AA130+(1-EXP(-LN(2)/25))/(LN(2)/25)*Calculateur!V131*Calculateur!X131*VLOOKUP('Données projet'!$B$9,Paramètres!$A$1:$I$89,3,0)*0.475*44/12</f>
        <v>4.8273448244416981</v>
      </c>
      <c r="AB131" s="21">
        <f>EXP(-LN(2)/2)*AB130+(1-EXP(-LN(2)/2))/(LN(2)/2)*V131*Y131*VLOOKUP('Données projet'!$B$9,Paramètres!$A$1:$I$89,3,0)*0.475*44/12</f>
        <v>1.1748359280115886E-11</v>
      </c>
      <c r="AC131" s="22">
        <f t="shared" si="57"/>
        <v>24.747509050927913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413.79146683076101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-1.7053025658242404E-13</v>
      </c>
      <c r="O132" s="13">
        <f>N132*VLOOKUP('Données projet'!$B$9,Paramètres!$A$1:$I$89,3,0)*VLOOKUP('Données projet'!$B$9,Paramètres!$A$1:$I$89,5,0)</f>
        <v>-1.0197709343628959E-13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222.094802682965</v>
      </c>
      <c r="T132" s="59">
        <f t="shared" si="88"/>
        <v>325.33996570337496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19.529541956093755</v>
      </c>
      <c r="AA132" s="21">
        <f>EXP(-LN(2)/25)*AA131+(1-EXP(-LN(2)/25))/(LN(2)/25)*Calculateur!V132*Calculateur!X132*VLOOKUP('Données projet'!$B$9,Paramètres!$A$1:$I$89,3,0)*0.475*44/12</f>
        <v>4.6953408263583087</v>
      </c>
      <c r="AB132" s="21">
        <f>EXP(-LN(2)/2)*AB131+(1-EXP(-LN(2)/2))/(LN(2)/2)*V132*Y132*VLOOKUP('Données projet'!$B$9,Paramètres!$A$1:$I$89,3,0)*0.475*44/12</f>
        <v>8.3073445147858488E-12</v>
      </c>
      <c r="AC132" s="22">
        <f t="shared" ref="AC132:AC153" si="111">SUM(Z132:AB132)</f>
        <v>24.224882782460369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414.97829522922581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-1.7053025658242404E-13</v>
      </c>
      <c r="O133" s="13">
        <f>N133*VLOOKUP('Données projet'!$B$9,Paramètres!$A$1:$I$89,3,0)*VLOOKUP('Données projet'!$B$9,Paramètres!$A$1:$I$89,5,0)</f>
        <v>-1.0197709343628959E-13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222.094802682965</v>
      </c>
      <c r="T133" s="59">
        <f t="shared" ref="T133:T196" si="142">$T$3</f>
        <v>325.33996570337496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19.146579550179155</v>
      </c>
      <c r="AA133" s="21">
        <f>EXP(-LN(2)/25)*AA132+(1-EXP(-LN(2)/25))/(LN(2)/25)*Calculateur!V133*Calculateur!X133*VLOOKUP('Données projet'!$B$9,Paramètres!$A$1:$I$89,3,0)*0.475*44/12</f>
        <v>4.5669464845442977</v>
      </c>
      <c r="AB133" s="21">
        <f>EXP(-LN(2)/2)*AB132+(1-EXP(-LN(2)/2))/(LN(2)/2)*V133*Y133*VLOOKUP('Données projet'!$B$9,Paramètres!$A$1:$I$89,3,0)*0.475*44/12</f>
        <v>5.8741796400579431E-12</v>
      </c>
      <c r="AC133" s="22">
        <f t="shared" si="111"/>
        <v>23.713526034729323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416.16491251812465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-1.7053025658242404E-13</v>
      </c>
      <c r="O134" s="13">
        <f>N134*VLOOKUP('Données projet'!$B$9,Paramètres!$A$1:$I$89,3,0)*VLOOKUP('Données projet'!$B$9,Paramètres!$A$1:$I$89,5,0)</f>
        <v>-1.0197709343628959E-13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222.094802682965</v>
      </c>
      <c r="T134" s="59">
        <f t="shared" si="142"/>
        <v>325.33996570337496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18.771126803460536</v>
      </c>
      <c r="AA134" s="21">
        <f>EXP(-LN(2)/25)*AA133+(1-EXP(-LN(2)/25))/(LN(2)/25)*Calculateur!V134*Calculateur!X134*VLOOKUP('Données projet'!$B$9,Paramètres!$A$1:$I$89,3,0)*0.475*44/12</f>
        <v>4.442063092759156</v>
      </c>
      <c r="AB134" s="21">
        <f>EXP(-LN(2)/2)*AB133+(1-EXP(-LN(2)/2))/(LN(2)/2)*V134*Y134*VLOOKUP('Données projet'!$B$9,Paramètres!$A$1:$I$89,3,0)*0.475*44/12</f>
        <v>4.1536722573929244E-12</v>
      </c>
      <c r="AC134" s="22">
        <f t="shared" si="111"/>
        <v>23.213189896223845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417.35132049579823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-1.7053025658242404E-13</v>
      </c>
      <c r="O135" s="13">
        <f>N135*VLOOKUP('Données projet'!$B$9,Paramètres!$A$1:$I$89,3,0)*VLOOKUP('Données projet'!$B$9,Paramètres!$A$1:$I$89,5,0)</f>
        <v>-1.0197709343628959E-13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222.094802682965</v>
      </c>
      <c r="T135" s="59">
        <f t="shared" si="142"/>
        <v>325.33996570337496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18.403036456101503</v>
      </c>
      <c r="AA135" s="21">
        <f>EXP(-LN(2)/25)*AA134+(1-EXP(-LN(2)/25))/(LN(2)/25)*Calculateur!V135*Calculateur!X135*VLOOKUP('Données projet'!$B$9,Paramètres!$A$1:$I$89,3,0)*0.475*44/12</f>
        <v>4.3205946438897112</v>
      </c>
      <c r="AB135" s="21">
        <f>EXP(-LN(2)/2)*AB134+(1-EXP(-LN(2)/2))/(LN(2)/2)*V135*Y135*VLOOKUP('Données projet'!$B$9,Paramètres!$A$1:$I$89,3,0)*0.475*44/12</f>
        <v>2.9370898200289715E-12</v>
      </c>
      <c r="AC135" s="22">
        <f t="shared" si="111"/>
        <v>22.723631099994154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418.5375209317657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-1.7053025658242404E-13</v>
      </c>
      <c r="O136" s="13">
        <f>N136*VLOOKUP('Données projet'!$B$9,Paramètres!$A$1:$I$89,3,0)*VLOOKUP('Données projet'!$B$9,Paramètres!$A$1:$I$89,5,0)</f>
        <v>-1.0197709343628959E-13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222.094802682965</v>
      </c>
      <c r="T136" s="59">
        <f t="shared" si="142"/>
        <v>325.33996570337496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18.042164135941238</v>
      </c>
      <c r="AA136" s="21">
        <f>EXP(-LN(2)/25)*AA135+(1-EXP(-LN(2)/25))/(LN(2)/25)*Calculateur!V136*Calculateur!X136*VLOOKUP('Données projet'!$B$9,Paramètres!$A$1:$I$89,3,0)*0.475*44/12</f>
        <v>4.2024477561423499</v>
      </c>
      <c r="AB136" s="21">
        <f>EXP(-LN(2)/2)*AB135+(1-EXP(-LN(2)/2))/(LN(2)/2)*V136*Y136*VLOOKUP('Données projet'!$B$9,Paramètres!$A$1:$I$89,3,0)*0.475*44/12</f>
        <v>2.0768361286964622E-12</v>
      </c>
      <c r="AC136" s="22">
        <f t="shared" si="111"/>
        <v>22.244611892085668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419.72351556739994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-1.7053025658242404E-13</v>
      </c>
      <c r="O137" s="13">
        <f>N137*VLOOKUP('Données projet'!$B$9,Paramètres!$A$1:$I$89,3,0)*VLOOKUP('Données projet'!$B$9,Paramètres!$A$1:$I$89,5,0)</f>
        <v>-1.0197709343628959E-13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222.094802682965</v>
      </c>
      <c r="T137" s="59">
        <f t="shared" si="142"/>
        <v>325.33996570337496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17.688368301868937</v>
      </c>
      <c r="AA137" s="21">
        <f>EXP(-LN(2)/25)*AA136+(1-EXP(-LN(2)/25))/(LN(2)/25)*Calculateur!V137*Calculateur!X137*VLOOKUP('Données projet'!$B$9,Paramètres!$A$1:$I$89,3,0)*0.475*44/12</f>
        <v>4.0875316012535148</v>
      </c>
      <c r="AB137" s="21">
        <f>EXP(-LN(2)/2)*AB136+(1-EXP(-LN(2)/2))/(LN(2)/2)*V137*Y137*VLOOKUP('Données projet'!$B$9,Paramètres!$A$1:$I$89,3,0)*0.475*44/12</f>
        <v>1.4685449100144858E-12</v>
      </c>
      <c r="AC137" s="22">
        <f t="shared" si="111"/>
        <v>21.775899903123918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420.90930611658149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-1.7053025658242404E-13</v>
      </c>
      <c r="O138" s="13">
        <f>N138*VLOOKUP('Données projet'!$B$9,Paramètres!$A$1:$I$89,3,0)*VLOOKUP('Données projet'!$B$9,Paramètres!$A$1:$I$89,5,0)</f>
        <v>-1.0197709343628959E-13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222.094802682965</v>
      </c>
      <c r="T138" s="59">
        <f t="shared" si="142"/>
        <v>325.33996570337496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17.341510188308643</v>
      </c>
      <c r="AA138" s="21">
        <f>EXP(-LN(2)/25)*AA137+(1-EXP(-LN(2)/25))/(LN(2)/25)*Calculateur!V138*Calculateur!X138*VLOOKUP('Données projet'!$B$9,Paramètres!$A$1:$I$89,3,0)*0.475*44/12</f>
        <v>3.9757578346632925</v>
      </c>
      <c r="AB138" s="21">
        <f>EXP(-LN(2)/2)*AB137+(1-EXP(-LN(2)/2))/(LN(2)/2)*V138*Y138*VLOOKUP('Données projet'!$B$9,Paramètres!$A$1:$I$89,3,0)*0.475*44/12</f>
        <v>1.0384180643482311E-12</v>
      </c>
      <c r="AC138" s="22">
        <f t="shared" si="111"/>
        <v>21.317268022972971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422.09489426633343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-1.7053025658242404E-13</v>
      </c>
      <c r="O139" s="13">
        <f>N139*VLOOKUP('Données projet'!$B$9,Paramètres!$A$1:$I$89,3,0)*VLOOKUP('Données projet'!$B$9,Paramètres!$A$1:$I$89,5,0)</f>
        <v>-1.0197709343628959E-13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222.094802682965</v>
      </c>
      <c r="T139" s="59">
        <f t="shared" si="142"/>
        <v>325.33996570337496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17.001453750792706</v>
      </c>
      <c r="AA139" s="21">
        <f>EXP(-LN(2)/25)*AA138+(1-EXP(-LN(2)/25))/(LN(2)/25)*Calculateur!V139*Calculateur!X139*VLOOKUP('Données projet'!$B$9,Paramètres!$A$1:$I$89,3,0)*0.475*44/12</f>
        <v>3.867040527598407</v>
      </c>
      <c r="AB139" s="21">
        <f>EXP(-LN(2)/2)*AB138+(1-EXP(-LN(2)/2))/(LN(2)/2)*V139*Y139*VLOOKUP('Données projet'!$B$9,Paramètres!$A$1:$I$89,3,0)*0.475*44/12</f>
        <v>7.3427245500724288E-13</v>
      </c>
      <c r="AC139" s="22">
        <f t="shared" si="111"/>
        <v>20.868494278391847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423.28028167743605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-1.7053025658242404E-13</v>
      </c>
      <c r="O140" s="13">
        <f>N140*VLOOKUP('Données projet'!$B$9,Paramètres!$A$1:$I$89,3,0)*VLOOKUP('Données projet'!$B$9,Paramètres!$A$1:$I$89,5,0)</f>
        <v>-1.0197709343628959E-13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222.094802682965</v>
      </c>
      <c r="T140" s="59">
        <f t="shared" si="142"/>
        <v>325.33996570337496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16.668065612602511</v>
      </c>
      <c r="AA140" s="21">
        <f>EXP(-LN(2)/25)*AA139+(1-EXP(-LN(2)/25))/(LN(2)/25)*Calculateur!V140*Calculateur!X140*VLOOKUP('Données projet'!$B$9,Paramètres!$A$1:$I$89,3,0)*0.475*44/12</f>
        <v>3.7612961010124053</v>
      </c>
      <c r="AB140" s="21">
        <f>EXP(-LN(2)/2)*AB139+(1-EXP(-LN(2)/2))/(LN(2)/2)*V140*Y140*VLOOKUP('Données projet'!$B$9,Paramètres!$A$1:$I$89,3,0)*0.475*44/12</f>
        <v>5.1920903217411555E-13</v>
      </c>
      <c r="AC140" s="22">
        <f t="shared" si="111"/>
        <v>20.429361713615435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424.46546998502401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-1.7053025658242404E-13</v>
      </c>
      <c r="O141" s="13">
        <f>N141*VLOOKUP('Données projet'!$B$9,Paramètres!$A$1:$I$89,3,0)*VLOOKUP('Données projet'!$B$9,Paramètres!$A$1:$I$89,5,0)</f>
        <v>-1.0197709343628959E-13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222.094802682965</v>
      </c>
      <c r="T141" s="59">
        <f t="shared" si="142"/>
        <v>325.33996570337496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16.341215012455539</v>
      </c>
      <c r="AA141" s="21">
        <f>EXP(-LN(2)/25)*AA140+(1-EXP(-LN(2)/25))/(LN(2)/25)*Calculateur!V141*Calculateur!X141*VLOOKUP('Données projet'!$B$9,Paramètres!$A$1:$I$89,3,0)*0.475*44/12</f>
        <v>3.6584432613322555</v>
      </c>
      <c r="AB141" s="21">
        <f>EXP(-LN(2)/2)*AB140+(1-EXP(-LN(2)/2))/(LN(2)/2)*V141*Y141*VLOOKUP('Données projet'!$B$9,Paramètres!$A$1:$I$89,3,0)*0.475*44/12</f>
        <v>3.6713622750362144E-13</v>
      </c>
      <c r="AC141" s="22">
        <f t="shared" si="111"/>
        <v>19.99965827378816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425.6504607991651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-1.7053025658242404E-13</v>
      </c>
      <c r="O142" s="13">
        <f>N142*VLOOKUP('Données projet'!$B$9,Paramètres!$A$1:$I$89,3,0)*VLOOKUP('Données projet'!$B$9,Paramètres!$A$1:$I$89,5,0)</f>
        <v>-1.0197709343628959E-13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222.094802682965</v>
      </c>
      <c r="T142" s="59">
        <f t="shared" si="142"/>
        <v>325.33996570337496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16.020773753218268</v>
      </c>
      <c r="AA142" s="21">
        <f>EXP(-LN(2)/25)*AA141+(1-EXP(-LN(2)/25))/(LN(2)/25)*Calculateur!V142*Calculateur!X142*VLOOKUP('Données projet'!$B$9,Paramètres!$A$1:$I$89,3,0)*0.475*44/12</f>
        <v>3.5584029379619553</v>
      </c>
      <c r="AB142" s="21">
        <f>EXP(-LN(2)/2)*AB141+(1-EXP(-LN(2)/2))/(LN(2)/2)*V142*Y142*VLOOKUP('Données projet'!$B$9,Paramètres!$A$1:$I$89,3,0)*0.475*44/12</f>
        <v>2.5960451608705777E-13</v>
      </c>
      <c r="AC142" s="22">
        <f t="shared" si="111"/>
        <v>19.579176691180482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426.8352557054219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-1.7053025658242404E-13</v>
      </c>
      <c r="O143" s="13">
        <f>N143*VLOOKUP('Données projet'!$B$9,Paramètres!$A$1:$I$89,3,0)*VLOOKUP('Données projet'!$B$9,Paramètres!$A$1:$I$89,5,0)</f>
        <v>-1.0197709343628959E-13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222.094802682965</v>
      </c>
      <c r="T143" s="59">
        <f t="shared" si="142"/>
        <v>325.33996570337496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15.706616151624772</v>
      </c>
      <c r="AA143" s="21">
        <f>EXP(-LN(2)/25)*AA142+(1-EXP(-LN(2)/25))/(LN(2)/25)*Calculateur!V143*Calculateur!X143*VLOOKUP('Données projet'!$B$9,Paramètres!$A$1:$I$89,3,0)*0.475*44/12</f>
        <v>3.4610982224951079</v>
      </c>
      <c r="AB143" s="21">
        <f>EXP(-LN(2)/2)*AB142+(1-EXP(-LN(2)/2))/(LN(2)/2)*V143*Y143*VLOOKUP('Données projet'!$B$9,Paramètres!$A$1:$I$89,3,0)*0.475*44/12</f>
        <v>1.8356811375181072E-13</v>
      </c>
      <c r="AC143" s="22">
        <f t="shared" si="111"/>
        <v>19.167714374120063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428.01985626539732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-1.7053025658242404E-13</v>
      </c>
      <c r="O144" s="13">
        <f>N144*VLOOKUP('Données projet'!$B$9,Paramètres!$A$1:$I$89,3,0)*VLOOKUP('Données projet'!$B$9,Paramètres!$A$1:$I$89,5,0)</f>
        <v>-1.0197709343628959E-13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222.094802682965</v>
      </c>
      <c r="T144" s="59">
        <f t="shared" si="142"/>
        <v>325.33996570337496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15.398618988981307</v>
      </c>
      <c r="AA144" s="21">
        <f>EXP(-LN(2)/25)*AA143+(1-EXP(-LN(2)/25))/(LN(2)/25)*Calculateur!V144*Calculateur!X144*VLOOKUP('Données projet'!$B$9,Paramètres!$A$1:$I$89,3,0)*0.475*44/12</f>
        <v>3.3664543095897339</v>
      </c>
      <c r="AB144" s="21">
        <f>EXP(-LN(2)/2)*AB143+(1-EXP(-LN(2)/2))/(LN(2)/2)*V144*Y144*VLOOKUP('Données projet'!$B$9,Paramètres!$A$1:$I$89,3,0)*0.475*44/12</f>
        <v>1.2980225804352889E-13</v>
      </c>
      <c r="AC144" s="22">
        <f t="shared" si="111"/>
        <v>18.765073298571171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429.20426401726365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-1.7053025658242404E-13</v>
      </c>
      <c r="O145" s="13">
        <f>N145*VLOOKUP('Données projet'!$B$9,Paramètres!$A$1:$I$89,3,0)*VLOOKUP('Données projet'!$B$9,Paramètres!$A$1:$I$89,5,0)</f>
        <v>-1.0197709343628959E-13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222.094802682965</v>
      </c>
      <c r="T145" s="59">
        <f t="shared" si="142"/>
        <v>325.33996570337496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15.096661462837561</v>
      </c>
      <c r="AA145" s="21">
        <f>EXP(-LN(2)/25)*AA144+(1-EXP(-LN(2)/25))/(LN(2)/25)*Calculateur!V145*Calculateur!X145*VLOOKUP('Données projet'!$B$9,Paramètres!$A$1:$I$89,3,0)*0.475*44/12</f>
        <v>3.2743984394598646</v>
      </c>
      <c r="AB145" s="21">
        <f>EXP(-LN(2)/2)*AB144+(1-EXP(-LN(2)/2))/(LN(2)/2)*V145*Y145*VLOOKUP('Données projet'!$B$9,Paramètres!$A$1:$I$89,3,0)*0.475*44/12</f>
        <v>9.178405687590536E-14</v>
      </c>
      <c r="AC145" s="22">
        <f t="shared" si="111"/>
        <v>18.371059902297517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430.38848047627687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-1.7053025658242404E-13</v>
      </c>
      <c r="O146" s="13">
        <f>N146*VLOOKUP('Données projet'!$B$9,Paramètres!$A$1:$I$89,3,0)*VLOOKUP('Données projet'!$B$9,Paramètres!$A$1:$I$89,5,0)</f>
        <v>-1.0197709343628959E-13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222.094802682965</v>
      </c>
      <c r="T146" s="59">
        <f t="shared" si="142"/>
        <v>325.33996570337496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14.800625139605589</v>
      </c>
      <c r="AA146" s="21">
        <f>EXP(-LN(2)/25)*AA145+(1-EXP(-LN(2)/25))/(LN(2)/25)*Calculateur!V146*Calculateur!X146*VLOOKUP('Données projet'!$B$9,Paramètres!$A$1:$I$89,3,0)*0.475*44/12</f>
        <v>3.1848598419397045</v>
      </c>
      <c r="AB146" s="21">
        <f>EXP(-LN(2)/2)*AB145+(1-EXP(-LN(2)/2))/(LN(2)/2)*V146*Y146*VLOOKUP('Données projet'!$B$9,Paramètres!$A$1:$I$89,3,0)*0.475*44/12</f>
        <v>6.4901129021764444E-14</v>
      </c>
      <c r="AC146" s="22">
        <f t="shared" si="111"/>
        <v>17.985484981545358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431.57250713527566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-1.7053025658242404E-13</v>
      </c>
      <c r="O147" s="13">
        <f>N147*VLOOKUP('Données projet'!$B$9,Paramètres!$A$1:$I$89,3,0)*VLOOKUP('Données projet'!$B$9,Paramètres!$A$1:$I$89,5,0)</f>
        <v>-1.0197709343628959E-13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222.094802682965</v>
      </c>
      <c r="T147" s="59">
        <f t="shared" si="142"/>
        <v>325.33996570337496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14.510393908107869</v>
      </c>
      <c r="AA147" s="21">
        <f>EXP(-LN(2)/25)*AA146+(1-EXP(-LN(2)/25))/(LN(2)/25)*Calculateur!V147*Calculateur!X147*VLOOKUP('Données projet'!$B$9,Paramètres!$A$1:$I$89,3,0)*0.475*44/12</f>
        <v>3.0977696820773635</v>
      </c>
      <c r="AB147" s="21">
        <f>EXP(-LN(2)/2)*AB146+(1-EXP(-LN(2)/2))/(LN(2)/2)*V147*Y147*VLOOKUP('Données projet'!$B$9,Paramètres!$A$1:$I$89,3,0)*0.475*44/12</f>
        <v>4.589202843795268E-14</v>
      </c>
      <c r="AC147" s="22">
        <f t="shared" si="111"/>
        <v>17.608163590185278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432.75634546516653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-1.7053025658242404E-13</v>
      </c>
      <c r="O148" s="13">
        <f>N148*VLOOKUP('Données projet'!$B$9,Paramètres!$A$1:$I$89,3,0)*VLOOKUP('Données projet'!$B$9,Paramètres!$A$1:$I$89,5,0)</f>
        <v>-1.0197709343628959E-13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222.094802682965</v>
      </c>
      <c r="T148" s="59">
        <f t="shared" si="142"/>
        <v>325.33996570337496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14.225853934036246</v>
      </c>
      <c r="AA148" s="21">
        <f>EXP(-LN(2)/25)*AA147+(1-EXP(-LN(2)/25))/(LN(2)/25)*Calculateur!V148*Calculateur!X148*VLOOKUP('Données projet'!$B$9,Paramètres!$A$1:$I$89,3,0)*0.475*44/12</f>
        <v>3.0130610072163306</v>
      </c>
      <c r="AB148" s="21">
        <f>EXP(-LN(2)/2)*AB147+(1-EXP(-LN(2)/2))/(LN(2)/2)*V148*Y148*VLOOKUP('Données projet'!$B$9,Paramètres!$A$1:$I$89,3,0)*0.475*44/12</f>
        <v>3.2450564510882222E-14</v>
      </c>
      <c r="AC148" s="22">
        <f t="shared" si="111"/>
        <v>17.238914941252609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433.939996915395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-1.7053025658242404E-13</v>
      </c>
      <c r="O149" s="13">
        <f>N149*VLOOKUP('Données projet'!$B$9,Paramètres!$A$1:$I$89,3,0)*VLOOKUP('Données projet'!$B$9,Paramètres!$A$1:$I$89,5,0)</f>
        <v>-1.0197709343628959E-13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222.094802682965</v>
      </c>
      <c r="T149" s="59">
        <f t="shared" si="142"/>
        <v>325.33996570337496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13.946893615303921</v>
      </c>
      <c r="AA149" s="21">
        <f>EXP(-LN(2)/25)*AA148+(1-EXP(-LN(2)/25))/(LN(2)/25)*Calculateur!V149*Calculateur!X149*VLOOKUP('Données projet'!$B$9,Paramètres!$A$1:$I$89,3,0)*0.475*44/12</f>
        <v>2.930668695524008</v>
      </c>
      <c r="AB149" s="21">
        <f>EXP(-LN(2)/2)*AB148+(1-EXP(-LN(2)/2))/(LN(2)/2)*V149*Y149*VLOOKUP('Données projet'!$B$9,Paramètres!$A$1:$I$89,3,0)*0.475*44/12</f>
        <v>2.294601421897634E-14</v>
      </c>
      <c r="AC149" s="22">
        <f t="shared" si="111"/>
        <v>16.877562310827951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435.12346291440332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-1.7053025658242404E-13</v>
      </c>
      <c r="O150" s="13">
        <f>N150*VLOOKUP('Données projet'!$B$9,Paramètres!$A$1:$I$89,3,0)*VLOOKUP('Données projet'!$B$9,Paramètres!$A$1:$I$89,5,0)</f>
        <v>-1.0197709343628959E-13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222.094802682965</v>
      </c>
      <c r="T150" s="59">
        <f t="shared" si="142"/>
        <v>325.33996570337496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13.673403538272943</v>
      </c>
      <c r="AA150" s="21">
        <f>EXP(-LN(2)/25)*AA149+(1-EXP(-LN(2)/25))/(LN(2)/25)*Calculateur!V150*Calculateur!X150*VLOOKUP('Données projet'!$B$9,Paramètres!$A$1:$I$89,3,0)*0.475*44/12</f>
        <v>2.8505294059277353</v>
      </c>
      <c r="AB150" s="21">
        <f>EXP(-LN(2)/2)*AB149+(1-EXP(-LN(2)/2))/(LN(2)/2)*V150*Y150*VLOOKUP('Données projet'!$B$9,Paramètres!$A$1:$I$89,3,0)*0.475*44/12</f>
        <v>1.6225282255441111E-14</v>
      </c>
      <c r="AC150" s="22">
        <f t="shared" si="111"/>
        <v>16.523932944200695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436.30674487007587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-1.7053025658242404E-13</v>
      </c>
      <c r="O151" s="13">
        <f>N151*VLOOKUP('Données projet'!$B$9,Paramètres!$A$1:$I$89,3,0)*VLOOKUP('Données projet'!$B$9,Paramètres!$A$1:$I$89,5,0)</f>
        <v>-1.0197709343628959E-13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222.094802682965</v>
      </c>
      <c r="T151" s="59">
        <f t="shared" si="142"/>
        <v>325.33996570337496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13.405276434840067</v>
      </c>
      <c r="AA151" s="21">
        <f>EXP(-LN(2)/25)*AA150+(1-EXP(-LN(2)/25))/(LN(2)/25)*Calculateur!V151*Calculateur!X151*VLOOKUP('Données projet'!$B$9,Paramètres!$A$1:$I$89,3,0)*0.475*44/12</f>
        <v>2.7725815294198148</v>
      </c>
      <c r="AB151" s="21">
        <f>EXP(-LN(2)/2)*AB150+(1-EXP(-LN(2)/2))/(LN(2)/2)*V151*Y151*VLOOKUP('Données projet'!$B$9,Paramètres!$A$1:$I$89,3,0)*0.475*44/12</f>
        <v>1.147300710948817E-14</v>
      </c>
      <c r="AC151" s="22">
        <f t="shared" si="111"/>
        <v>16.177857964259893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437.48984417017164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-1.7053025658242404E-13</v>
      </c>
      <c r="O152" s="13">
        <f>N152*VLOOKUP('Données projet'!$B$9,Paramètres!$A$1:$I$89,3,0)*VLOOKUP('Données projet'!$B$9,Paramètres!$A$1:$I$89,5,0)</f>
        <v>-1.0197709343628959E-13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222.094802682965</v>
      </c>
      <c r="T152" s="59">
        <f t="shared" si="142"/>
        <v>325.33996570337496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13.142407140364124</v>
      </c>
      <c r="AA152" s="21">
        <f>EXP(-LN(2)/25)*AA151+(1-EXP(-LN(2)/25))/(LN(2)/25)*Calculateur!V152*Calculateur!X152*VLOOKUP('Données projet'!$B$9,Paramètres!$A$1:$I$89,3,0)*0.475*44/12</f>
        <v>2.6967651416941041</v>
      </c>
      <c r="AB152" s="21">
        <f>EXP(-LN(2)/2)*AB151+(1-EXP(-LN(2)/2))/(LN(2)/2)*V152*Y152*VLOOKUP('Données projet'!$B$9,Paramètres!$A$1:$I$89,3,0)*0.475*44/12</f>
        <v>8.1126411277205555E-15</v>
      </c>
      <c r="AC152" s="22">
        <f t="shared" si="111"/>
        <v>15.839172282058238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438.6727621827452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-1.7053025658242404E-13</v>
      </c>
      <c r="O153" s="13">
        <f>N153*VLOOKUP('Données projet'!$B$9,Paramètres!$A$1:$I$89,3,0)*VLOOKUP('Données projet'!$B$9,Paramètres!$A$1:$I$89,5,0)</f>
        <v>-1.0197709343628959E-13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222.094802682965</v>
      </c>
      <c r="T153" s="59">
        <f t="shared" si="142"/>
        <v>325.33996570337496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12.884692552418418</v>
      </c>
      <c r="AA153" s="21">
        <f>EXP(-LN(2)/25)*AA152+(1-EXP(-LN(2)/25))/(LN(2)/25)*Calculateur!V153*Calculateur!X153*VLOOKUP('Données projet'!$B$9,Paramètres!$A$1:$I$89,3,0)*0.475*44/12</f>
        <v>2.6230219570777638</v>
      </c>
      <c r="AB153" s="21">
        <f>EXP(-LN(2)/2)*AB152+(1-EXP(-LN(2)/2))/(LN(2)/2)*V153*Y153*VLOOKUP('Données projet'!$B$9,Paramètres!$A$1:$I$89,3,0)*0.475*44/12</f>
        <v>5.736503554744085E-15</v>
      </c>
      <c r="AC153" s="22">
        <f t="shared" si="111"/>
        <v>15.507714509496187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439.85550025655579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-1.7053025658242404E-13</v>
      </c>
      <c r="O154" s="13">
        <f>N154*VLOOKUP('Données projet'!$B$9,Paramètres!$A$1:$I$89,3,0)*VLOOKUP('Données projet'!$B$9,Paramètres!$A$1:$I$89,5,0)</f>
        <v>-1.0197709343628959E-13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222.094802682965</v>
      </c>
      <c r="T154" s="59">
        <f t="shared" si="142"/>
        <v>325.33996570337496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12.63203159035195</v>
      </c>
      <c r="AA154" s="21">
        <f>EXP(-LN(2)/25)*AA153+(1-EXP(-LN(2)/25))/(LN(2)/25)*Calculateur!V154*Calculateur!X154*VLOOKUP('Données projet'!$B$9,Paramètres!$A$1:$I$89,3,0)*0.475*44/12</f>
        <v>2.5512952837227427</v>
      </c>
      <c r="AB154" s="21">
        <f>EXP(-LN(2)/2)*AB153+(1-EXP(-LN(2)/2))/(LN(2)/2)*V154*Y154*VLOOKUP('Données projet'!$B$9,Paramètres!$A$1:$I$89,3,0)*0.475*44/12</f>
        <v>4.0563205638602777E-15</v>
      </c>
      <c r="AC154" s="22">
        <f t="shared" ref="AC154:AC203" si="163">SUM(Z154:AB154)</f>
        <v>15.183326874074696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441.03805972146552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-1.7053025658242404E-13</v>
      </c>
      <c r="O155" s="13">
        <f>N155*VLOOKUP('Données projet'!$B$9,Paramètres!$A$1:$I$89,3,0)*VLOOKUP('Données projet'!$B$9,Paramètres!$A$1:$I$89,5,0)</f>
        <v>-1.0197709343628959E-13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222.094802682965</v>
      </c>
      <c r="T155" s="59">
        <f t="shared" si="142"/>
        <v>325.33996570337496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12.384325155643635</v>
      </c>
      <c r="AA155" s="21">
        <f>EXP(-LN(2)/25)*AA154+(1-EXP(-LN(2)/25))/(LN(2)/25)*Calculateur!V155*Calculateur!X155*VLOOKUP('Données projet'!$B$9,Paramètres!$A$1:$I$89,3,0)*0.475*44/12</f>
        <v>2.4815299800225565</v>
      </c>
      <c r="AB155" s="21">
        <f>EXP(-LN(2)/2)*AB154+(1-EXP(-LN(2)/2))/(LN(2)/2)*V155*Y155*VLOOKUP('Données projet'!$B$9,Paramètres!$A$1:$I$89,3,0)*0.475*44/12</f>
        <v>2.8682517773720425E-15</v>
      </c>
      <c r="AC155" s="22">
        <f t="shared" si="163"/>
        <v>14.865855135666195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442.22044188882654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-1.7053025658242404E-13</v>
      </c>
      <c r="O156" s="13">
        <f>N156*VLOOKUP('Données projet'!$B$9,Paramètres!$A$1:$I$89,3,0)*VLOOKUP('Données projet'!$B$9,Paramètres!$A$1:$I$89,5,0)</f>
        <v>-1.0197709343628959E-13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222.094802682965</v>
      </c>
      <c r="T156" s="59">
        <f t="shared" si="142"/>
        <v>325.33996570337496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12.141476093033944</v>
      </c>
      <c r="AA156" s="21">
        <f>EXP(-LN(2)/25)*AA155+(1-EXP(-LN(2)/25))/(LN(2)/25)*Calculateur!V156*Calculateur!X156*VLOOKUP('Données projet'!$B$9,Paramètres!$A$1:$I$89,3,0)*0.475*44/12</f>
        <v>2.4136724122208495</v>
      </c>
      <c r="AB156" s="21">
        <f>EXP(-LN(2)/2)*AB155+(1-EXP(-LN(2)/2))/(LN(2)/2)*V156*Y156*VLOOKUP('Données projet'!$B$9,Paramètres!$A$1:$I$89,3,0)*0.475*44/12</f>
        <v>2.0281602819301389E-15</v>
      </c>
      <c r="AC156" s="22">
        <f t="shared" si="163"/>
        <v>14.555148505254795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443.40264805185802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-1.7053025658242404E-13</v>
      </c>
      <c r="O157" s="13">
        <f>N157*VLOOKUP('Données projet'!$B$9,Paramètres!$A$1:$I$89,3,0)*VLOOKUP('Données projet'!$B$9,Paramètres!$A$1:$I$89,5,0)</f>
        <v>-1.0197709343628959E-13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222.094802682965</v>
      </c>
      <c r="T157" s="59">
        <f t="shared" si="142"/>
        <v>325.33996570337496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11.903389152418725</v>
      </c>
      <c r="AA157" s="21">
        <f>EXP(-LN(2)/25)*AA156+(1-EXP(-LN(2)/25))/(LN(2)/25)*Calculateur!V157*Calculateur!X157*VLOOKUP('Données projet'!$B$9,Paramètres!$A$1:$I$89,3,0)*0.475*44/12</f>
        <v>2.3476704131791548</v>
      </c>
      <c r="AB157" s="21">
        <f>EXP(-LN(2)/2)*AB156+(1-EXP(-LN(2)/2))/(LN(2)/2)*V157*Y157*VLOOKUP('Données projet'!$B$9,Paramètres!$A$1:$I$89,3,0)*0.475*44/12</f>
        <v>1.4341258886860213E-15</v>
      </c>
      <c r="AC157" s="22">
        <f t="shared" si="163"/>
        <v>14.251059565597883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444.58467948601304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-1.7053025658242404E-13</v>
      </c>
      <c r="O158" s="13">
        <f>N158*VLOOKUP('Données projet'!$B$9,Paramètres!$A$1:$I$89,3,0)*VLOOKUP('Données projet'!$B$9,Paramètres!$A$1:$I$89,5,0)</f>
        <v>-1.0197709343628959E-13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222.094802682965</v>
      </c>
      <c r="T158" s="59">
        <f t="shared" si="142"/>
        <v>325.33996570337496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11.669970951490278</v>
      </c>
      <c r="AA158" s="21">
        <f>EXP(-LN(2)/25)*AA157+(1-EXP(-LN(2)/25))/(LN(2)/25)*Calculateur!V158*Calculateur!X158*VLOOKUP('Données projet'!$B$9,Paramètres!$A$1:$I$89,3,0)*0.475*44/12</f>
        <v>2.2834732422721493</v>
      </c>
      <c r="AB158" s="21">
        <f>EXP(-LN(2)/2)*AB157+(1-EXP(-LN(2)/2))/(LN(2)/2)*V158*Y158*VLOOKUP('Données projet'!$B$9,Paramètres!$A$1:$I$89,3,0)*0.475*44/12</f>
        <v>1.0140801409650694E-15</v>
      </c>
      <c r="AC158" s="22">
        <f t="shared" si="163"/>
        <v>13.953444193762429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445.76653744933537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-1.7053025658242404E-13</v>
      </c>
      <c r="O159" s="13">
        <f>N159*VLOOKUP('Données projet'!$B$9,Paramètres!$A$1:$I$89,3,0)*VLOOKUP('Données projet'!$B$9,Paramètres!$A$1:$I$89,5,0)</f>
        <v>-1.0197709343628959E-13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222.094802682965</v>
      </c>
      <c r="T159" s="59">
        <f t="shared" si="142"/>
        <v>325.33996570337496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11.441129939110992</v>
      </c>
      <c r="AA159" s="21">
        <f>EXP(-LN(2)/25)*AA158+(1-EXP(-LN(2)/25))/(LN(2)/25)*Calculateur!V159*Calculateur!X159*VLOOKUP('Données projet'!$B$9,Paramètres!$A$1:$I$89,3,0)*0.475*44/12</f>
        <v>2.2210315463795784</v>
      </c>
      <c r="AB159" s="21">
        <f>EXP(-LN(2)/2)*AB158+(1-EXP(-LN(2)/2))/(LN(2)/2)*V159*Y159*VLOOKUP('Données projet'!$B$9,Paramètres!$A$1:$I$89,3,0)*0.475*44/12</f>
        <v>7.1706294434301063E-16</v>
      </c>
      <c r="AC159" s="22">
        <f t="shared" si="163"/>
        <v>13.66216148549057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446.94822318280762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-1.7053025658242404E-13</v>
      </c>
      <c r="O160" s="13">
        <f>N160*VLOOKUP('Données projet'!$B$9,Paramètres!$A$1:$I$89,3,0)*VLOOKUP('Données projet'!$B$9,Paramètres!$A$1:$I$89,5,0)</f>
        <v>-1.0197709343628959E-13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222.094802682965</v>
      </c>
      <c r="T160" s="59">
        <f t="shared" si="142"/>
        <v>325.33996570337496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11.216776359405229</v>
      </c>
      <c r="AA160" s="21">
        <f>EXP(-LN(2)/25)*AA159+(1-EXP(-LN(2)/25))/(LN(2)/25)*Calculateur!V160*Calculateur!X160*VLOOKUP('Données projet'!$B$9,Paramètres!$A$1:$I$89,3,0)*0.475*44/12</f>
        <v>2.160297321944856</v>
      </c>
      <c r="AB160" s="21">
        <f>EXP(-LN(2)/2)*AB159+(1-EXP(-LN(2)/2))/(LN(2)/2)*V160*Y160*VLOOKUP('Données projet'!$B$9,Paramètres!$A$1:$I$89,3,0)*0.475*44/12</f>
        <v>5.0704007048253472E-16</v>
      </c>
      <c r="AC160" s="22">
        <f t="shared" si="163"/>
        <v>13.377073681350085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448.12973791068919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-1.7053025658242404E-13</v>
      </c>
      <c r="O161" s="13">
        <f>N161*VLOOKUP('Données projet'!$B$9,Paramètres!$A$1:$I$89,3,0)*VLOOKUP('Données projet'!$B$9,Paramètres!$A$1:$I$89,5,0)</f>
        <v>-1.0197709343628959E-13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222.094802682965</v>
      </c>
      <c r="T161" s="59">
        <f t="shared" si="142"/>
        <v>325.33996570337496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10.996822216555323</v>
      </c>
      <c r="AA161" s="21">
        <f>EXP(-LN(2)/25)*AA160+(1-EXP(-LN(2)/25))/(LN(2)/25)*Calculateur!V161*Calculateur!X161*VLOOKUP('Données projet'!$B$9,Paramètres!$A$1:$I$89,3,0)*0.475*44/12</f>
        <v>2.1012238780711754</v>
      </c>
      <c r="AB161" s="21">
        <f>EXP(-LN(2)/2)*AB160+(1-EXP(-LN(2)/2))/(LN(2)/2)*V161*Y161*VLOOKUP('Données projet'!$B$9,Paramètres!$A$1:$I$89,3,0)*0.475*44/12</f>
        <v>3.5853147217150531E-16</v>
      </c>
      <c r="AC161" s="22">
        <f t="shared" si="163"/>
        <v>13.098046094626499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449.31108284084667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-1.7053025658242404E-13</v>
      </c>
      <c r="O162" s="13">
        <f>N162*VLOOKUP('Données projet'!$B$9,Paramètres!$A$1:$I$89,3,0)*VLOOKUP('Données projet'!$B$9,Paramètres!$A$1:$I$89,5,0)</f>
        <v>-1.0197709343628959E-13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222.094802682965</v>
      </c>
      <c r="T162" s="59">
        <f t="shared" si="142"/>
        <v>325.33996570337496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10.781181240287925</v>
      </c>
      <c r="AA162" s="21">
        <f>EXP(-LN(2)/25)*AA161+(1-EXP(-LN(2)/25))/(LN(2)/25)*Calculateur!V162*Calculateur!X162*VLOOKUP('Données projet'!$B$9,Paramètres!$A$1:$I$89,3,0)*0.475*44/12</f>
        <v>2.0437658006267578</v>
      </c>
      <c r="AB162" s="21">
        <f>EXP(-LN(2)/2)*AB161+(1-EXP(-LN(2)/2))/(LN(2)/2)*V162*Y162*VLOOKUP('Données projet'!$B$9,Paramètres!$A$1:$I$89,3,0)*0.475*44/12</f>
        <v>2.5352003524126736E-16</v>
      </c>
      <c r="AC162" s="22">
        <f t="shared" si="163"/>
        <v>12.824947040914683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450.4922591650743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-1.7053025658242404E-13</v>
      </c>
      <c r="O163" s="13">
        <f>N163*VLOOKUP('Données projet'!$B$9,Paramètres!$A$1:$I$89,3,0)*VLOOKUP('Données projet'!$B$9,Paramètres!$A$1:$I$89,5,0)</f>
        <v>-1.0197709343628959E-13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222.094802682965</v>
      </c>
      <c r="T163" s="59">
        <f t="shared" si="142"/>
        <v>325.33996570337496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10.569768852037122</v>
      </c>
      <c r="AA163" s="21">
        <f>EXP(-LN(2)/25)*AA162+(1-EXP(-LN(2)/25))/(LN(2)/25)*Calculateur!V163*Calculateur!X163*VLOOKUP('Données projet'!$B$9,Paramètres!$A$1:$I$89,3,0)*0.475*44/12</f>
        <v>1.9878789173316467</v>
      </c>
      <c r="AB163" s="21">
        <f>EXP(-LN(2)/2)*AB162+(1-EXP(-LN(2)/2))/(LN(2)/2)*V163*Y163*VLOOKUP('Données projet'!$B$9,Paramètres!$A$1:$I$89,3,0)*0.475*44/12</f>
        <v>1.7926573608575266E-16</v>
      </c>
      <c r="AC163" s="22">
        <f t="shared" si="163"/>
        <v>12.557647769368769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451.67326805940763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-1.7053025658242404E-13</v>
      </c>
      <c r="O164" s="13">
        <f>N164*VLOOKUP('Données projet'!$B$9,Paramètres!$A$1:$I$89,3,0)*VLOOKUP('Données projet'!$B$9,Paramètres!$A$1:$I$89,5,0)</f>
        <v>-1.0197709343628959E-13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222.094802682965</v>
      </c>
      <c r="T164" s="59">
        <f t="shared" si="142"/>
        <v>325.33996570337496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10.362502131771093</v>
      </c>
      <c r="AA164" s="21">
        <f>EXP(-LN(2)/25)*AA163+(1-EXP(-LN(2)/25))/(LN(2)/25)*Calculateur!V164*Calculateur!X164*VLOOKUP('Données projet'!$B$9,Paramètres!$A$1:$I$89,3,0)*0.475*44/12</f>
        <v>1.9335202637992039</v>
      </c>
      <c r="AB164" s="21">
        <f>EXP(-LN(2)/2)*AB163+(1-EXP(-LN(2)/2))/(LN(2)/2)*V164*Y164*VLOOKUP('Données projet'!$B$9,Paramètres!$A$1:$I$89,3,0)*0.475*44/12</f>
        <v>1.2676001762063368E-16</v>
      </c>
      <c r="AC164" s="22">
        <f t="shared" si="163"/>
        <v>12.296022395570297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452.85411068442789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-1.7053025658242404E-13</v>
      </c>
      <c r="O165" s="13">
        <f>N165*VLOOKUP('Données projet'!$B$9,Paramètres!$A$1:$I$89,3,0)*VLOOKUP('Données projet'!$B$9,Paramètres!$A$1:$I$89,5,0)</f>
        <v>-1.0197709343628959E-13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222.094802682965</v>
      </c>
      <c r="T165" s="59">
        <f t="shared" si="142"/>
        <v>325.33996570337496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10.159299785469264</v>
      </c>
      <c r="AA165" s="21">
        <f>EXP(-LN(2)/25)*AA164+(1-EXP(-LN(2)/25))/(LN(2)/25)*Calculateur!V165*Calculateur!X165*VLOOKUP('Données projet'!$B$9,Paramètres!$A$1:$I$89,3,0)*0.475*44/12</f>
        <v>1.8806480505062031</v>
      </c>
      <c r="AB165" s="21">
        <f>EXP(-LN(2)/2)*AB164+(1-EXP(-LN(2)/2))/(LN(2)/2)*V165*Y165*VLOOKUP('Données projet'!$B$9,Paramètres!$A$1:$I$89,3,0)*0.475*44/12</f>
        <v>8.9632868042876328E-17</v>
      </c>
      <c r="AC165" s="22">
        <f t="shared" si="163"/>
        <v>12.039947835975466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454.03478818555948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-1.7053025658242404E-13</v>
      </c>
      <c r="O166" s="13">
        <f>N166*VLOOKUP('Données projet'!$B$9,Paramètres!$A$1:$I$89,3,0)*VLOOKUP('Données projet'!$B$9,Paramètres!$A$1:$I$89,5,0)</f>
        <v>-1.0197709343628959E-13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222.094802682965</v>
      </c>
      <c r="T166" s="59">
        <f t="shared" si="142"/>
        <v>325.33996570337496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9.9600821132372204</v>
      </c>
      <c r="AA166" s="21">
        <f>EXP(-LN(2)/25)*AA165+(1-EXP(-LN(2)/25))/(LN(2)/25)*Calculateur!V166*Calculateur!X166*VLOOKUP('Données projet'!$B$9,Paramètres!$A$1:$I$89,3,0)*0.475*44/12</f>
        <v>1.8292216306661282</v>
      </c>
      <c r="AB166" s="21">
        <f>EXP(-LN(2)/2)*AB165+(1-EXP(-LN(2)/2))/(LN(2)/2)*V166*Y166*VLOOKUP('Données projet'!$B$9,Paramètres!$A$1:$I$89,3,0)*0.475*44/12</f>
        <v>6.338000881031684E-17</v>
      </c>
      <c r="AC166" s="22">
        <f t="shared" si="163"/>
        <v>11.789303743903348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455.21530169335966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-1.7053025658242404E-13</v>
      </c>
      <c r="O167" s="13">
        <f>N167*VLOOKUP('Données projet'!$B$9,Paramètres!$A$1:$I$89,3,0)*VLOOKUP('Données projet'!$B$9,Paramètres!$A$1:$I$89,5,0)</f>
        <v>-1.0197709343628959E-13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222.094802682965</v>
      </c>
      <c r="T167" s="59">
        <f t="shared" si="142"/>
        <v>325.33996570337496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9.764770978046867</v>
      </c>
      <c r="AA167" s="21">
        <f>EXP(-LN(2)/25)*AA166+(1-EXP(-LN(2)/25))/(LN(2)/25)*Calculateur!V167*Calculateur!X167*VLOOKUP('Données projet'!$B$9,Paramètres!$A$1:$I$89,3,0)*0.475*44/12</f>
        <v>1.7792014689809781</v>
      </c>
      <c r="AB167" s="21">
        <f>EXP(-LN(2)/2)*AB166+(1-EXP(-LN(2)/2))/(LN(2)/2)*V167*Y167*VLOOKUP('Données projet'!$B$9,Paramètres!$A$1:$I$89,3,0)*0.475*44/12</f>
        <v>4.4816434021438164E-17</v>
      </c>
      <c r="AC167" s="22">
        <f t="shared" si="163"/>
        <v>11.543972447027844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456.39565232380079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-1.7053025658242404E-13</v>
      </c>
      <c r="O168" s="13">
        <f>N168*VLOOKUP('Données projet'!$B$9,Paramètres!$A$1:$I$89,3,0)*VLOOKUP('Données projet'!$B$9,Paramètres!$A$1:$I$89,5,0)</f>
        <v>-1.0197709343628959E-13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222.094802682965</v>
      </c>
      <c r="T168" s="59">
        <f t="shared" si="142"/>
        <v>325.33996570337496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9.5732897750895667</v>
      </c>
      <c r="AA168" s="21">
        <f>EXP(-LN(2)/25)*AA167+(1-EXP(-LN(2)/25))/(LN(2)/25)*Calculateur!V168*Calculateur!X168*VLOOKUP('Données projet'!$B$9,Paramètres!$A$1:$I$89,3,0)*0.475*44/12</f>
        <v>1.7305491112475544</v>
      </c>
      <c r="AB168" s="21">
        <f>EXP(-LN(2)/2)*AB167+(1-EXP(-LN(2)/2))/(LN(2)/2)*V168*Y168*VLOOKUP('Données projet'!$B$9,Paramètres!$A$1:$I$89,3,0)*0.475*44/12</f>
        <v>3.169000440515842E-17</v>
      </c>
      <c r="AC168" s="22">
        <f t="shared" si="163"/>
        <v>11.303838886337122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457.57584117854583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-1.7053025658242404E-13</v>
      </c>
      <c r="O169" s="13">
        <f>N169*VLOOKUP('Données projet'!$B$9,Paramètres!$A$1:$I$89,3,0)*VLOOKUP('Données projet'!$B$9,Paramètres!$A$1:$I$89,5,0)</f>
        <v>-1.0197709343628959E-13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222.094802682965</v>
      </c>
      <c r="T169" s="59">
        <f t="shared" si="142"/>
        <v>325.33996570337496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9.3855634017302574</v>
      </c>
      <c r="AA169" s="21">
        <f>EXP(-LN(2)/25)*AA168+(1-EXP(-LN(2)/25))/(LN(2)/25)*Calculateur!V169*Calculateur!X169*VLOOKUP('Données projet'!$B$9,Paramètres!$A$1:$I$89,3,0)*0.475*44/12</f>
        <v>1.6832271547948674</v>
      </c>
      <c r="AB169" s="21">
        <f>EXP(-LN(2)/2)*AB168+(1-EXP(-LN(2)/2))/(LN(2)/2)*V169*Y169*VLOOKUP('Données projet'!$B$9,Paramètres!$A$1:$I$89,3,0)*0.475*44/12</f>
        <v>2.2408217010719082E-17</v>
      </c>
      <c r="AC169" s="22">
        <f t="shared" si="163"/>
        <v>11.068790556525125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458.75586934521687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-1.7053025658242404E-13</v>
      </c>
      <c r="O170" s="13">
        <f>N170*VLOOKUP('Données projet'!$B$9,Paramètres!$A$1:$I$89,3,0)*VLOOKUP('Données projet'!$B$9,Paramètres!$A$1:$I$89,5,0)</f>
        <v>-1.0197709343628959E-13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222.094802682965</v>
      </c>
      <c r="T170" s="59">
        <f t="shared" si="142"/>
        <v>325.33996570337496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9.2015182280507428</v>
      </c>
      <c r="AA170" s="21">
        <f>EXP(-LN(2)/25)*AA169+(1-EXP(-LN(2)/25))/(LN(2)/25)*Calculateur!V170*Calculateur!X170*VLOOKUP('Données projet'!$B$9,Paramètres!$A$1:$I$89,3,0)*0.475*44/12</f>
        <v>1.6371992197299328</v>
      </c>
      <c r="AB170" s="21">
        <f>EXP(-LN(2)/2)*AB169+(1-EXP(-LN(2)/2))/(LN(2)/2)*V170*Y170*VLOOKUP('Données projet'!$B$9,Paramètres!$A$1:$I$89,3,0)*0.475*44/12</f>
        <v>1.584500220257921E-17</v>
      </c>
      <c r="AC170" s="22">
        <f t="shared" si="163"/>
        <v>10.838717447780676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459.93573789765719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-1.7053025658242404E-13</v>
      </c>
      <c r="O171" s="13">
        <f>N171*VLOOKUP('Données projet'!$B$9,Paramètres!$A$1:$I$89,3,0)*VLOOKUP('Données projet'!$B$9,Paramètres!$A$1:$I$89,5,0)</f>
        <v>-1.0197709343628959E-13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222.094802682965</v>
      </c>
      <c r="T171" s="59">
        <f t="shared" si="142"/>
        <v>325.33996570337496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9.0210820679706103</v>
      </c>
      <c r="AA171" s="21">
        <f>EXP(-LN(2)/25)*AA170+(1-EXP(-LN(2)/25))/(LN(2)/25)*Calculateur!V171*Calculateur!X171*VLOOKUP('Données projet'!$B$9,Paramètres!$A$1:$I$89,3,0)*0.475*44/12</f>
        <v>1.5924299209698527</v>
      </c>
      <c r="AB171" s="21">
        <f>EXP(-LN(2)/2)*AB170+(1-EXP(-LN(2)/2))/(LN(2)/2)*V171*Y171*VLOOKUP('Données projet'!$B$9,Paramètres!$A$1:$I$89,3,0)*0.475*44/12</f>
        <v>1.1204108505359541E-17</v>
      </c>
      <c r="AC171" s="22">
        <f t="shared" si="163"/>
        <v>10.613511988940463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461.11544789618642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-1.7053025658242404E-13</v>
      </c>
      <c r="O172" s="13">
        <f>N172*VLOOKUP('Données projet'!$B$9,Paramètres!$A$1:$I$89,3,0)*VLOOKUP('Données projet'!$B$9,Paramètres!$A$1:$I$89,5,0)</f>
        <v>-1.0197709343628959E-13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222.094802682965</v>
      </c>
      <c r="T172" s="59">
        <f t="shared" si="142"/>
        <v>325.33996570337496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8.8441841509344599</v>
      </c>
      <c r="AA172" s="21">
        <f>EXP(-LN(2)/25)*AA171+(1-EXP(-LN(2)/25))/(LN(2)/25)*Calculateur!V172*Calculateur!X172*VLOOKUP('Données projet'!$B$9,Paramètres!$A$1:$I$89,3,0)*0.475*44/12</f>
        <v>1.5488848410386822</v>
      </c>
      <c r="AB172" s="21">
        <f>EXP(-LN(2)/2)*AB171+(1-EXP(-LN(2)/2))/(LN(2)/2)*V172*Y172*VLOOKUP('Données projet'!$B$9,Paramètres!$A$1:$I$89,3,0)*0.475*44/12</f>
        <v>7.9225011012896049E-18</v>
      </c>
      <c r="AC172" s="22">
        <f t="shared" si="163"/>
        <v>10.393068991973141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462.29500038785034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-1.7053025658242404E-13</v>
      </c>
      <c r="O173" s="13">
        <f>N173*VLOOKUP('Données projet'!$B$9,Paramètres!$A$1:$I$89,3,0)*VLOOKUP('Données projet'!$B$9,Paramètres!$A$1:$I$89,5,0)</f>
        <v>-1.0197709343628959E-13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222.094802682965</v>
      </c>
      <c r="T173" s="59">
        <f t="shared" si="142"/>
        <v>325.33996570337496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8.6707550941543126</v>
      </c>
      <c r="AA173" s="21">
        <f>EXP(-LN(2)/25)*AA172+(1-EXP(-LN(2)/25))/(LN(2)/25)*Calculateur!V173*Calculateur!X173*VLOOKUP('Données projet'!$B$9,Paramètres!$A$1:$I$89,3,0)*0.475*44/12</f>
        <v>1.5065305036081658</v>
      </c>
      <c r="AB173" s="21">
        <f>EXP(-LN(2)/2)*AB172+(1-EXP(-LN(2)/2))/(LN(2)/2)*V173*Y173*VLOOKUP('Données projet'!$B$9,Paramètres!$A$1:$I$89,3,0)*0.475*44/12</f>
        <v>5.6020542526797705E-18</v>
      </c>
      <c r="AC173" s="22">
        <f t="shared" si="163"/>
        <v>10.177285597762479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463.47439640666357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-1.7053025658242404E-13</v>
      </c>
      <c r="O174" s="13">
        <f>N174*VLOOKUP('Données projet'!$B$9,Paramètres!$A$1:$I$89,3,0)*VLOOKUP('Données projet'!$B$9,Paramètres!$A$1:$I$89,5,0)</f>
        <v>-1.0197709343628959E-13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222.094802682965</v>
      </c>
      <c r="T174" s="59">
        <f t="shared" si="142"/>
        <v>325.33996570337496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8.5007268753963441</v>
      </c>
      <c r="AA174" s="21">
        <f>EXP(-LN(2)/25)*AA173+(1-EXP(-LN(2)/25))/(LN(2)/25)*Calculateur!V174*Calculateur!X174*VLOOKUP('Données projet'!$B$9,Paramètres!$A$1:$I$89,3,0)*0.475*44/12</f>
        <v>1.4653343477620044</v>
      </c>
      <c r="AB174" s="21">
        <f>EXP(-LN(2)/2)*AB173+(1-EXP(-LN(2)/2))/(LN(2)/2)*V174*Y174*VLOOKUP('Données projet'!$B$9,Paramètres!$A$1:$I$89,3,0)*0.475*44/12</f>
        <v>3.9612505506448025E-18</v>
      </c>
      <c r="AC174" s="22">
        <f t="shared" si="163"/>
        <v>9.9660612231583485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464.65363697384748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-1.7053025658242404E-13</v>
      </c>
      <c r="O175" s="13">
        <f>N175*VLOOKUP('Données projet'!$B$9,Paramètres!$A$1:$I$89,3,0)*VLOOKUP('Données projet'!$B$9,Paramètres!$A$1:$I$89,5,0)</f>
        <v>-1.0197709343628959E-13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222.094802682965</v>
      </c>
      <c r="T175" s="59">
        <f t="shared" si="142"/>
        <v>325.33996570337496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8.3340328063012468</v>
      </c>
      <c r="AA175" s="21">
        <f>EXP(-LN(2)/25)*AA174+(1-EXP(-LN(2)/25))/(LN(2)/25)*Calculateur!V175*Calculateur!X175*VLOOKUP('Données projet'!$B$9,Paramètres!$A$1:$I$89,3,0)*0.475*44/12</f>
        <v>1.4252647029638681</v>
      </c>
      <c r="AB175" s="21">
        <f>EXP(-LN(2)/2)*AB174+(1-EXP(-LN(2)/2))/(LN(2)/2)*V175*Y175*VLOOKUP('Données projet'!$B$9,Paramètres!$A$1:$I$89,3,0)*0.475*44/12</f>
        <v>2.8010271263398853E-18</v>
      </c>
      <c r="AC175" s="22">
        <f t="shared" si="163"/>
        <v>9.7592975092651155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465.83272309806171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-1.7053025658242404E-13</v>
      </c>
      <c r="O176" s="13">
        <f>N176*VLOOKUP('Données projet'!$B$9,Paramètres!$A$1:$I$89,3,0)*VLOOKUP('Données projet'!$B$9,Paramètres!$A$1:$I$89,5,0)</f>
        <v>-1.0197709343628959E-13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222.094802682965</v>
      </c>
      <c r="T176" s="59">
        <f t="shared" si="142"/>
        <v>325.33996570337496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8.1706075062277606</v>
      </c>
      <c r="AA176" s="21">
        <f>EXP(-LN(2)/25)*AA175+(1-EXP(-LN(2)/25))/(LN(2)/25)*Calculateur!V176*Calculateur!X176*VLOOKUP('Données projet'!$B$9,Paramètres!$A$1:$I$89,3,0)*0.475*44/12</f>
        <v>1.3862907647099079</v>
      </c>
      <c r="AB176" s="21">
        <f>EXP(-LN(2)/2)*AB175+(1-EXP(-LN(2)/2))/(LN(2)/2)*V176*Y176*VLOOKUP('Données projet'!$B$9,Paramètres!$A$1:$I$89,3,0)*0.475*44/12</f>
        <v>1.9806252753224012E-18</v>
      </c>
      <c r="AC176" s="22">
        <f t="shared" si="163"/>
        <v>9.5568982709376691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467.01165577563029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-1.7053025658242404E-13</v>
      </c>
      <c r="O177" s="13">
        <f>N177*VLOOKUP('Données projet'!$B$9,Paramètres!$A$1:$I$89,3,0)*VLOOKUP('Données projet'!$B$9,Paramètres!$A$1:$I$89,5,0)</f>
        <v>-1.0197709343628959E-13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222.094802682965</v>
      </c>
      <c r="T177" s="59">
        <f t="shared" si="142"/>
        <v>325.33996570337496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8.0103868766091253</v>
      </c>
      <c r="AA177" s="21">
        <f>EXP(-LN(2)/25)*AA176+(1-EXP(-LN(2)/25))/(LN(2)/25)*Calculateur!V177*Calculateur!X177*VLOOKUP('Données projet'!$B$9,Paramètres!$A$1:$I$89,3,0)*0.475*44/12</f>
        <v>1.3483825708470525</v>
      </c>
      <c r="AB177" s="21">
        <f>EXP(-LN(2)/2)*AB176+(1-EXP(-LN(2)/2))/(LN(2)/2)*V177*Y177*VLOOKUP('Données projet'!$B$9,Paramètres!$A$1:$I$89,3,0)*0.475*44/12</f>
        <v>1.4005135631699426E-18</v>
      </c>
      <c r="AC177" s="22">
        <f t="shared" si="163"/>
        <v>9.3587694474561776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468.19043599076269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-1.7053025658242404E-13</v>
      </c>
      <c r="O178" s="13">
        <f>N178*VLOOKUP('Données projet'!$B$9,Paramètres!$A$1:$I$89,3,0)*VLOOKUP('Données projet'!$B$9,Paramètres!$A$1:$I$89,5,0)</f>
        <v>-1.0197709343628959E-13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222.094802682965</v>
      </c>
      <c r="T178" s="59">
        <f t="shared" si="142"/>
        <v>325.33996570337496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7.853308075812377</v>
      </c>
      <c r="AA178" s="21">
        <f>EXP(-LN(2)/25)*AA177+(1-EXP(-LN(2)/25))/(LN(2)/25)*Calculateur!V178*Calculateur!X178*VLOOKUP('Données projet'!$B$9,Paramètres!$A$1:$I$89,3,0)*0.475*44/12</f>
        <v>1.3115109785388821</v>
      </c>
      <c r="AB178" s="21">
        <f>EXP(-LN(2)/2)*AB177+(1-EXP(-LN(2)/2))/(LN(2)/2)*V178*Y178*VLOOKUP('Données projet'!$B$9,Paramètres!$A$1:$I$89,3,0)*0.475*44/12</f>
        <v>9.9031263766120062E-19</v>
      </c>
      <c r="AC178" s="22">
        <f t="shared" si="163"/>
        <v>9.1648190543512591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469.3690647157693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-1.7053025658242404E-13</v>
      </c>
      <c r="O179" s="13">
        <f>N179*VLOOKUP('Données projet'!$B$9,Paramètres!$A$1:$I$89,3,0)*VLOOKUP('Données projet'!$B$9,Paramètres!$A$1:$I$89,5,0)</f>
        <v>-1.0197709343628959E-13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222.094802682965</v>
      </c>
      <c r="T179" s="59">
        <f t="shared" si="142"/>
        <v>325.33996570337496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7.6993094944906453</v>
      </c>
      <c r="AA179" s="21">
        <f>EXP(-LN(2)/25)*AA178+(1-EXP(-LN(2)/25))/(LN(2)/25)*Calculateur!V179*Calculateur!X179*VLOOKUP('Données projet'!$B$9,Paramètres!$A$1:$I$89,3,0)*0.475*44/12</f>
        <v>1.2756476418613716</v>
      </c>
      <c r="AB179" s="21">
        <f>EXP(-LN(2)/2)*AB178+(1-EXP(-LN(2)/2))/(LN(2)/2)*V179*Y179*VLOOKUP('Données projet'!$B$9,Paramètres!$A$1:$I$89,3,0)*0.475*44/12</f>
        <v>7.0025678158497132E-19</v>
      </c>
      <c r="AC179" s="22">
        <f t="shared" si="163"/>
        <v>8.9749571363520175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470.54754291127216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-1.7053025658242404E-13</v>
      </c>
      <c r="O180" s="13">
        <f>N180*VLOOKUP('Données projet'!$B$9,Paramètres!$A$1:$I$89,3,0)*VLOOKUP('Données projet'!$B$9,Paramètres!$A$1:$I$89,5,0)</f>
        <v>-1.0197709343628959E-13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222.094802682965</v>
      </c>
      <c r="T180" s="59">
        <f t="shared" si="142"/>
        <v>325.33996570337496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7.5483307314187726</v>
      </c>
      <c r="AA180" s="21">
        <f>EXP(-LN(2)/25)*AA179+(1-EXP(-LN(2)/25))/(LN(2)/25)*Calculateur!V180*Calculateur!X180*VLOOKUP('Données projet'!$B$9,Paramètres!$A$1:$I$89,3,0)*0.475*44/12</f>
        <v>1.2407649900112785</v>
      </c>
      <c r="AB180" s="21">
        <f>EXP(-LN(2)/2)*AB179+(1-EXP(-LN(2)/2))/(LN(2)/2)*V180*Y180*VLOOKUP('Données projet'!$B$9,Paramètres!$A$1:$I$89,3,0)*0.475*44/12</f>
        <v>4.9515631883060031E-19</v>
      </c>
      <c r="AC180" s="22">
        <f t="shared" si="163"/>
        <v>8.7890957214300514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471.7258715264108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-1.7053025658242404E-13</v>
      </c>
      <c r="O181" s="13">
        <f>N181*VLOOKUP('Données projet'!$B$9,Paramètres!$A$1:$I$89,3,0)*VLOOKUP('Données projet'!$B$9,Paramètres!$A$1:$I$89,5,0)</f>
        <v>-1.0197709343628959E-13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222.094802682965</v>
      </c>
      <c r="T181" s="59">
        <f t="shared" si="142"/>
        <v>325.33996570337496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7.4003125698027867</v>
      </c>
      <c r="AA181" s="21">
        <f>EXP(-LN(2)/25)*AA180+(1-EXP(-LN(2)/25))/(LN(2)/25)*Calculateur!V181*Calculateur!X181*VLOOKUP('Données projet'!$B$9,Paramètres!$A$1:$I$89,3,0)*0.475*44/12</f>
        <v>1.206836206110425</v>
      </c>
      <c r="AB181" s="21">
        <f>EXP(-LN(2)/2)*AB180+(1-EXP(-LN(2)/2))/(LN(2)/2)*V181*Y181*VLOOKUP('Données projet'!$B$9,Paramètres!$A$1:$I$89,3,0)*0.475*44/12</f>
        <v>3.5012839079248566E-19</v>
      </c>
      <c r="AC181" s="22">
        <f t="shared" si="163"/>
        <v>8.6071487759132115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472.90405149904302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-1.7053025658242404E-13</v>
      </c>
      <c r="O182" s="13">
        <f>N182*VLOOKUP('Données projet'!$B$9,Paramètres!$A$1:$I$89,3,0)*VLOOKUP('Données projet'!$B$9,Paramètres!$A$1:$I$89,5,0)</f>
        <v>-1.0197709343628959E-13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222.094802682965</v>
      </c>
      <c r="T182" s="59">
        <f t="shared" si="142"/>
        <v>325.33996570337496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7.2551969540539263</v>
      </c>
      <c r="AA182" s="21">
        <f>EXP(-LN(2)/25)*AA181+(1-EXP(-LN(2)/25))/(LN(2)/25)*Calculateur!V182*Calculateur!X182*VLOOKUP('Données projet'!$B$9,Paramètres!$A$1:$I$89,3,0)*0.475*44/12</f>
        <v>1.1738352065895776</v>
      </c>
      <c r="AB182" s="21">
        <f>EXP(-LN(2)/2)*AB181+(1-EXP(-LN(2)/2))/(LN(2)/2)*V182*Y182*VLOOKUP('Données projet'!$B$9,Paramètres!$A$1:$I$89,3,0)*0.475*44/12</f>
        <v>2.4757815941530015E-19</v>
      </c>
      <c r="AC182" s="22">
        <f t="shared" si="163"/>
        <v>8.4290321606435032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474.08208375594126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-1.7053025658242404E-13</v>
      </c>
      <c r="O183" s="13">
        <f>N183*VLOOKUP('Données projet'!$B$9,Paramètres!$A$1:$I$89,3,0)*VLOOKUP('Données projet'!$B$9,Paramètres!$A$1:$I$89,5,0)</f>
        <v>-1.0197709343628959E-13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222.094802682965</v>
      </c>
      <c r="T183" s="59">
        <f t="shared" si="142"/>
        <v>325.33996570337496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7.1129269670181152</v>
      </c>
      <c r="AA183" s="21">
        <f>EXP(-LN(2)/25)*AA182+(1-EXP(-LN(2)/25))/(LN(2)/25)*Calculateur!V183*Calculateur!X183*VLOOKUP('Données projet'!$B$9,Paramètres!$A$1:$I$89,3,0)*0.475*44/12</f>
        <v>1.1417366211360749</v>
      </c>
      <c r="AB183" s="21">
        <f>EXP(-LN(2)/2)*AB182+(1-EXP(-LN(2)/2))/(LN(2)/2)*V183*Y183*VLOOKUP('Données projet'!$B$9,Paramètres!$A$1:$I$89,3,0)*0.475*44/12</f>
        <v>1.7506419539624283E-19</v>
      </c>
      <c r="AC183" s="22">
        <f t="shared" si="163"/>
        <v>8.254663588154191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475.25996921298474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-1.7053025658242404E-13</v>
      </c>
      <c r="O184" s="13">
        <f>N184*VLOOKUP('Données projet'!$B$9,Paramètres!$A$1:$I$89,3,0)*VLOOKUP('Données projet'!$B$9,Paramètres!$A$1:$I$89,5,0)</f>
        <v>-1.0197709343628959E-13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222.094802682965</v>
      </c>
      <c r="T184" s="59">
        <f t="shared" si="142"/>
        <v>325.33996570337496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6.9734468076519525</v>
      </c>
      <c r="AA184" s="21">
        <f>EXP(-LN(2)/25)*AA183+(1-EXP(-LN(2)/25))/(LN(2)/25)*Calculateur!V184*Calculateur!X184*VLOOKUP('Données projet'!$B$9,Paramètres!$A$1:$I$89,3,0)*0.475*44/12</f>
        <v>1.1105157731897894</v>
      </c>
      <c r="AB184" s="21">
        <f>EXP(-LN(2)/2)*AB183+(1-EXP(-LN(2)/2))/(LN(2)/2)*V184*Y184*VLOOKUP('Données projet'!$B$9,Paramètres!$A$1:$I$89,3,0)*0.475*44/12</f>
        <v>1.2378907970765008E-19</v>
      </c>
      <c r="AC184" s="22">
        <f t="shared" si="163"/>
        <v>8.0839625808417424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476.43770877534655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-1.7053025658242404E-13</v>
      </c>
      <c r="O185" s="13">
        <f>N185*VLOOKUP('Données projet'!$B$9,Paramètres!$A$1:$I$89,3,0)*VLOOKUP('Données projet'!$B$9,Paramètres!$A$1:$I$89,5,0)</f>
        <v>-1.0197709343628959E-13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222.094802682965</v>
      </c>
      <c r="T185" s="59">
        <f t="shared" si="142"/>
        <v>325.33996570337496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6.8367017691364635</v>
      </c>
      <c r="AA185" s="21">
        <f>EXP(-LN(2)/25)*AA184+(1-EXP(-LN(2)/25))/(LN(2)/25)*Calculateur!V185*Calculateur!X185*VLOOKUP('Données projet'!$B$9,Paramètres!$A$1:$I$89,3,0)*0.475*44/12</f>
        <v>1.0801486609724282</v>
      </c>
      <c r="AB185" s="21">
        <f>EXP(-LN(2)/2)*AB184+(1-EXP(-LN(2)/2))/(LN(2)/2)*V185*Y185*VLOOKUP('Données projet'!$B$9,Paramètres!$A$1:$I$89,3,0)*0.475*44/12</f>
        <v>8.7532097698121415E-20</v>
      </c>
      <c r="AC185" s="22">
        <f t="shared" si="163"/>
        <v>7.9168504301088918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477.61530333767718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-1.7053025658242404E-13</v>
      </c>
      <c r="O186" s="13">
        <f>N186*VLOOKUP('Données projet'!$B$9,Paramètres!$A$1:$I$89,3,0)*VLOOKUP('Données projet'!$B$9,Paramètres!$A$1:$I$89,5,0)</f>
        <v>-1.0197709343628959E-13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222.094802682965</v>
      </c>
      <c r="T186" s="59">
        <f t="shared" si="142"/>
        <v>325.33996570337496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6.7026382174200254</v>
      </c>
      <c r="AA186" s="21">
        <f>EXP(-LN(2)/25)*AA185+(1-EXP(-LN(2)/25))/(LN(2)/25)*Calculateur!V186*Calculateur!X186*VLOOKUP('Données projet'!$B$9,Paramètres!$A$1:$I$89,3,0)*0.475*44/12</f>
        <v>1.0506119390355879</v>
      </c>
      <c r="AB186" s="21">
        <f>EXP(-LN(2)/2)*AB185+(1-EXP(-LN(2)/2))/(LN(2)/2)*V186*Y186*VLOOKUP('Données projet'!$B$9,Paramètres!$A$1:$I$89,3,0)*0.475*44/12</f>
        <v>6.1894539853825039E-20</v>
      </c>
      <c r="AC186" s="22">
        <f t="shared" si="163"/>
        <v>7.7532501564556133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478.79275378428366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-1.7053025658242404E-13</v>
      </c>
      <c r="O187" s="13">
        <f>N187*VLOOKUP('Données projet'!$B$9,Paramètres!$A$1:$I$89,3,0)*VLOOKUP('Données projet'!$B$9,Paramètres!$A$1:$I$89,5,0)</f>
        <v>-1.0197709343628959E-13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222.094802682965</v>
      </c>
      <c r="T187" s="59">
        <f t="shared" si="142"/>
        <v>325.33996570337496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6.5712035701820541</v>
      </c>
      <c r="AA187" s="21">
        <f>EXP(-LN(2)/25)*AA186+(1-EXP(-LN(2)/25))/(LN(2)/25)*Calculateur!V187*Calculateur!X187*VLOOKUP('Données projet'!$B$9,Paramètres!$A$1:$I$89,3,0)*0.475*44/12</f>
        <v>1.0218829003133791</v>
      </c>
      <c r="AB187" s="21">
        <f>EXP(-LN(2)/2)*AB186+(1-EXP(-LN(2)/2))/(LN(2)/2)*V187*Y187*VLOOKUP('Données projet'!$B$9,Paramètres!$A$1:$I$89,3,0)*0.475*44/12</f>
        <v>4.3766048849060707E-20</v>
      </c>
      <c r="AC187" s="22">
        <f t="shared" si="163"/>
        <v>7.5930864704954333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479.97006098930456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-1.7053025658242404E-13</v>
      </c>
      <c r="O188" s="13">
        <f>N188*VLOOKUP('Données projet'!$B$9,Paramètres!$A$1:$I$89,3,0)*VLOOKUP('Données projet'!$B$9,Paramètres!$A$1:$I$89,5,0)</f>
        <v>-1.0197709343628959E-13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222.094802682965</v>
      </c>
      <c r="T188" s="59">
        <f t="shared" si="142"/>
        <v>325.33996570337496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6.442346276209201</v>
      </c>
      <c r="AA188" s="21">
        <f>EXP(-LN(2)/25)*AA187+(1-EXP(-LN(2)/25))/(LN(2)/25)*Calculateur!V188*Calculateur!X188*VLOOKUP('Données projet'!$B$9,Paramètres!$A$1:$I$89,3,0)*0.475*44/12</f>
        <v>0.99393945866582356</v>
      </c>
      <c r="AB188" s="21">
        <f>EXP(-LN(2)/2)*AB187+(1-EXP(-LN(2)/2))/(LN(2)/2)*V188*Y188*VLOOKUP('Données projet'!$B$9,Paramètres!$A$1:$I$89,3,0)*0.475*44/12</f>
        <v>3.0947269926912519E-20</v>
      </c>
      <c r="AC188" s="22">
        <f t="shared" si="163"/>
        <v>7.4362857348750246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481.1472258168813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-1.7053025658242404E-13</v>
      </c>
      <c r="O189" s="13">
        <f>N189*VLOOKUP('Données projet'!$B$9,Paramètres!$A$1:$I$89,3,0)*VLOOKUP('Données projet'!$B$9,Paramètres!$A$1:$I$89,5,0)</f>
        <v>-1.0197709343628959E-13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222.094802682965</v>
      </c>
      <c r="T189" s="59">
        <f t="shared" si="142"/>
        <v>325.33996570337496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6.316015795175967</v>
      </c>
      <c r="AA189" s="21">
        <f>EXP(-LN(2)/25)*AA188+(1-EXP(-LN(2)/25))/(LN(2)/25)*Calculateur!V189*Calculateur!X189*VLOOKUP('Données projet'!$B$9,Paramètres!$A$1:$I$89,3,0)*0.475*44/12</f>
        <v>0.96676013189960219</v>
      </c>
      <c r="AB189" s="21">
        <f>EXP(-LN(2)/2)*AB188+(1-EXP(-LN(2)/2))/(LN(2)/2)*V189*Y189*VLOOKUP('Données projet'!$B$9,Paramètres!$A$1:$I$89,3,0)*0.475*44/12</f>
        <v>2.1883024424530354E-20</v>
      </c>
      <c r="AC189" s="22">
        <f t="shared" si="163"/>
        <v>7.2827759270755692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482.32424912132575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-1.7053025658242404E-13</v>
      </c>
      <c r="O190" s="13">
        <f>N190*VLOOKUP('Données projet'!$B$9,Paramètres!$A$1:$I$89,3,0)*VLOOKUP('Données projet'!$B$9,Paramètres!$A$1:$I$89,5,0)</f>
        <v>-1.0197709343628959E-13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222.094802682965</v>
      </c>
      <c r="T190" s="59">
        <f t="shared" si="142"/>
        <v>325.33996570337496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6.1921625778218097</v>
      </c>
      <c r="AA190" s="21">
        <f>EXP(-LN(2)/25)*AA189+(1-EXP(-LN(2)/25))/(LN(2)/25)*Calculateur!V190*Calculateur!X190*VLOOKUP('Données projet'!$B$9,Paramètres!$A$1:$I$89,3,0)*0.475*44/12</f>
        <v>0.94032402525310177</v>
      </c>
      <c r="AB190" s="21">
        <f>EXP(-LN(2)/2)*AB189+(1-EXP(-LN(2)/2))/(LN(2)/2)*V190*Y190*VLOOKUP('Données projet'!$B$9,Paramètres!$A$1:$I$89,3,0)*0.475*44/12</f>
        <v>1.547363496345626E-20</v>
      </c>
      <c r="AC190" s="22">
        <f t="shared" si="163"/>
        <v>7.132486603074911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483.50113174728358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-1.7053025658242404E-13</v>
      </c>
      <c r="O191" s="13">
        <f>N191*VLOOKUP('Données projet'!$B$9,Paramètres!$A$1:$I$89,3,0)*VLOOKUP('Données projet'!$B$9,Paramètres!$A$1:$I$89,5,0)</f>
        <v>-1.0197709343628959E-13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222.094802682965</v>
      </c>
      <c r="T191" s="59">
        <f t="shared" si="142"/>
        <v>325.33996570337496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6.070738046516964</v>
      </c>
      <c r="AA191" s="21">
        <f>EXP(-LN(2)/25)*AA190+(1-EXP(-LN(2)/25))/(LN(2)/25)*Calculateur!V191*Calculateur!X191*VLOOKUP('Données projet'!$B$9,Paramètres!$A$1:$I$89,3,0)*0.475*44/12</f>
        <v>0.91461081533306432</v>
      </c>
      <c r="AB191" s="21">
        <f>EXP(-LN(2)/2)*AB190+(1-EXP(-LN(2)/2))/(LN(2)/2)*V191*Y191*VLOOKUP('Données projet'!$B$9,Paramètres!$A$1:$I$89,3,0)*0.475*44/12</f>
        <v>1.0941512212265177E-20</v>
      </c>
      <c r="AC191" s="22">
        <f t="shared" si="163"/>
        <v>6.9853488618500279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484.67787452989506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-1.7053025658242404E-13</v>
      </c>
      <c r="O192" s="13">
        <f>N192*VLOOKUP('Données projet'!$B$9,Paramètres!$A$1:$I$89,3,0)*VLOOKUP('Données projet'!$B$9,Paramètres!$A$1:$I$89,5,0)</f>
        <v>-1.0197709343628959E-13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222.094802682965</v>
      </c>
      <c r="T192" s="59">
        <f t="shared" si="142"/>
        <v>325.33996570337496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5.9516945762093547</v>
      </c>
      <c r="AA192" s="21">
        <f>EXP(-LN(2)/25)*AA191+(1-EXP(-LN(2)/25))/(LN(2)/25)*Calculateur!V192*Calculateur!X192*VLOOKUP('Données projet'!$B$9,Paramètres!$A$1:$I$89,3,0)*0.475*44/12</f>
        <v>0.88960073449048926</v>
      </c>
      <c r="AB192" s="21">
        <f>EXP(-LN(2)/2)*AB191+(1-EXP(-LN(2)/2))/(LN(2)/2)*V192*Y192*VLOOKUP('Données projet'!$B$9,Paramètres!$A$1:$I$89,3,0)*0.475*44/12</f>
        <v>7.7368174817281298E-21</v>
      </c>
      <c r="AC192" s="22">
        <f t="shared" si="163"/>
        <v>6.8412953106998442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485.85447829495109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-1.7053025658242404E-13</v>
      </c>
      <c r="O193" s="13">
        <f>N193*VLOOKUP('Données projet'!$B$9,Paramètres!$A$1:$I$89,3,0)*VLOOKUP('Données projet'!$B$9,Paramètres!$A$1:$I$89,5,0)</f>
        <v>-1.0197709343628959E-13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222.094802682965</v>
      </c>
      <c r="T193" s="59">
        <f t="shared" si="142"/>
        <v>325.33996570337496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5.8349854757451309</v>
      </c>
      <c r="AA193" s="21">
        <f>EXP(-LN(2)/25)*AA192+(1-EXP(-LN(2)/25))/(LN(2)/25)*Calculateur!V193*Calculateur!X193*VLOOKUP('Données projet'!$B$9,Paramètres!$A$1:$I$89,3,0)*0.475*44/12</f>
        <v>0.86527455562377742</v>
      </c>
      <c r="AB193" s="21">
        <f>EXP(-LN(2)/2)*AB192+(1-EXP(-LN(2)/2))/(LN(2)/2)*V193*Y193*VLOOKUP('Données projet'!$B$9,Paramètres!$A$1:$I$89,3,0)*0.475*44/12</f>
        <v>5.4707561061325884E-21</v>
      </c>
      <c r="AC193" s="22">
        <f t="shared" si="163"/>
        <v>6.7002600313689085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487.03094385904706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-1.7053025658242404E-13</v>
      </c>
      <c r="O194" s="13">
        <f>N194*VLOOKUP('Données projet'!$B$9,Paramètres!$A$1:$I$89,3,0)*VLOOKUP('Données projet'!$B$9,Paramètres!$A$1:$I$89,5,0)</f>
        <v>-1.0197709343628959E-13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222.094802682965</v>
      </c>
      <c r="T194" s="59">
        <f t="shared" si="142"/>
        <v>325.33996570337496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5.7205649695554879</v>
      </c>
      <c r="AA194" s="21">
        <f>EXP(-LN(2)/25)*AA193+(1-EXP(-LN(2)/25))/(LN(2)/25)*Calculateur!V194*Calculateur!X194*VLOOKUP('Données projet'!$B$9,Paramètres!$A$1:$I$89,3,0)*0.475*44/12</f>
        <v>0.84161357739743392</v>
      </c>
      <c r="AB194" s="21">
        <f>EXP(-LN(2)/2)*AB193+(1-EXP(-LN(2)/2))/(LN(2)/2)*V194*Y194*VLOOKUP('Données projet'!$B$9,Paramètres!$A$1:$I$89,3,0)*0.475*44/12</f>
        <v>3.8684087408640649E-21</v>
      </c>
      <c r="AC194" s="22">
        <f t="shared" si="163"/>
        <v>6.5621785469529215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488.20727202973239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-1.7053025658242404E-13</v>
      </c>
      <c r="O195" s="13">
        <f>N195*VLOOKUP('Données projet'!$B$9,Paramètres!$A$1:$I$89,3,0)*VLOOKUP('Données projet'!$B$9,Paramètres!$A$1:$I$89,5,0)</f>
        <v>-1.0197709343628959E-13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222.094802682965</v>
      </c>
      <c r="T195" s="59">
        <f t="shared" si="142"/>
        <v>325.33996570337496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5.6083881797026063</v>
      </c>
      <c r="AA195" s="21">
        <f>EXP(-LN(2)/25)*AA194+(1-EXP(-LN(2)/25))/(LN(2)/25)*Calculateur!V195*Calculateur!X195*VLOOKUP('Données projet'!$B$9,Paramètres!$A$1:$I$89,3,0)*0.475*44/12</f>
        <v>0.8185996098649666</v>
      </c>
      <c r="AB195" s="21">
        <f>EXP(-LN(2)/2)*AB194+(1-EXP(-LN(2)/2))/(LN(2)/2)*V195*Y195*VLOOKUP('Données projet'!$B$9,Paramètres!$A$1:$I$89,3,0)*0.475*44/12</f>
        <v>2.7353780530662942E-21</v>
      </c>
      <c r="AC195" s="22">
        <f t="shared" si="163"/>
        <v>6.4269877895675727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489.38346360565777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-1.7053025658242404E-13</v>
      </c>
      <c r="O196" s="13">
        <f>N196*VLOOKUP('Données projet'!$B$9,Paramètres!$A$1:$I$89,3,0)*VLOOKUP('Données projet'!$B$9,Paramètres!$A$1:$I$89,5,0)</f>
        <v>-1.0197709343628959E-13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222.094802682965</v>
      </c>
      <c r="T196" s="59">
        <f t="shared" si="142"/>
        <v>325.33996570337496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5.4984111082776543</v>
      </c>
      <c r="AA196" s="21">
        <f>EXP(-LN(2)/25)*AA195+(1-EXP(-LN(2)/25))/(LN(2)/25)*Calculateur!V196*Calculateur!X196*VLOOKUP('Données projet'!$B$9,Paramètres!$A$1:$I$89,3,0)*0.475*44/12</f>
        <v>0.79621496048492657</v>
      </c>
      <c r="AB196" s="21">
        <f>EXP(-LN(2)/2)*AB195+(1-EXP(-LN(2)/2))/(LN(2)/2)*V196*Y196*VLOOKUP('Données projet'!$B$9,Paramètres!$A$1:$I$89,3,0)*0.475*44/12</f>
        <v>1.9342043704320325E-21</v>
      </c>
      <c r="AC196" s="22">
        <f t="shared" si="163"/>
        <v>6.2946260687625806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490.55951937671841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-1.7053025658242404E-13</v>
      </c>
      <c r="O197" s="13">
        <f>N197*VLOOKUP('Données projet'!$B$9,Paramètres!$A$1:$I$89,3,0)*VLOOKUP('Données projet'!$B$9,Paramètres!$A$1:$I$89,5,0)</f>
        <v>-1.0197709343628959E-13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222.094802682965</v>
      </c>
      <c r="T197" s="59">
        <f t="shared" ref="T197:T203" si="204">$T$3</f>
        <v>325.33996570337496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5.3905906201439553</v>
      </c>
      <c r="AA197" s="21">
        <f>EXP(-LN(2)/25)*AA196+(1-EXP(-LN(2)/25))/(LN(2)/25)*Calculateur!V197*Calculateur!X197*VLOOKUP('Données projet'!$B$9,Paramètres!$A$1:$I$89,3,0)*0.475*44/12</f>
        <v>0.7744424205193412</v>
      </c>
      <c r="AB197" s="21">
        <f>EXP(-LN(2)/2)*AB196+(1-EXP(-LN(2)/2))/(LN(2)/2)*V197*Y197*VLOOKUP('Données projet'!$B$9,Paramètres!$A$1:$I$89,3,0)*0.475*44/12</f>
        <v>1.3676890265331471E-21</v>
      </c>
      <c r="AC197" s="22">
        <f t="shared" si="163"/>
        <v>6.165033040663296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491.73544012419472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-1.7053025658242404E-13</v>
      </c>
      <c r="O198" s="13">
        <f>N198*VLOOKUP('Données projet'!$B$9,Paramètres!$A$1:$I$89,3,0)*VLOOKUP('Données projet'!$B$9,Paramètres!$A$1:$I$89,5,0)</f>
        <v>-1.0197709343628959E-13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222.094802682965</v>
      </c>
      <c r="T198" s="59">
        <f t="shared" si="204"/>
        <v>325.33996570337496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5.2848844260185537</v>
      </c>
      <c r="AA198" s="21">
        <f>EXP(-LN(2)/25)*AA197+(1-EXP(-LN(2)/25))/(LN(2)/25)*Calculateur!V198*Calculateur!X198*VLOOKUP('Données projet'!$B$9,Paramètres!$A$1:$I$89,3,0)*0.475*44/12</f>
        <v>0.75326525180408288</v>
      </c>
      <c r="AB198" s="21">
        <f>EXP(-LN(2)/2)*AB197+(1-EXP(-LN(2)/2))/(LN(2)/2)*V198*Y198*VLOOKUP('Données projet'!$B$9,Paramètres!$A$1:$I$89,3,0)*0.475*44/12</f>
        <v>9.6710218521601623E-22</v>
      </c>
      <c r="AC198" s="22">
        <f t="shared" si="163"/>
        <v>6.0381496778226369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492.91122662089026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-1.7053025658242404E-13</v>
      </c>
      <c r="O199" s="13">
        <f>N199*VLOOKUP('Données projet'!$B$9,Paramètres!$A$1:$I$89,3,0)*VLOOKUP('Données projet'!$B$9,Paramètres!$A$1:$I$89,5,0)</f>
        <v>-1.0197709343628959E-13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222.094802682965</v>
      </c>
      <c r="T199" s="59">
        <f t="shared" si="204"/>
        <v>325.33996570337496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5.1812510658855393</v>
      </c>
      <c r="AA199" s="21">
        <f>EXP(-LN(2)/25)*AA198+(1-EXP(-LN(2)/25))/(LN(2)/25)*Calculateur!V199*Calculateur!X199*VLOOKUP('Données projet'!$B$9,Paramètres!$A$1:$I$89,3,0)*0.475*44/12</f>
        <v>0.73266717388100222</v>
      </c>
      <c r="AB199" s="21">
        <f>EXP(-LN(2)/2)*AB198+(1-EXP(-LN(2)/2))/(LN(2)/2)*V199*Y199*VLOOKUP('Données projet'!$B$9,Paramètres!$A$1:$I$89,3,0)*0.475*44/12</f>
        <v>6.8384451326657355E-22</v>
      </c>
      <c r="AC199" s="22">
        <f t="shared" si="163"/>
        <v>5.9139182397665415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494.08687963126607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-1.7053025658242404E-13</v>
      </c>
      <c r="O200" s="13">
        <f>N200*VLOOKUP('Données projet'!$B$9,Paramètres!$A$1:$I$89,3,0)*VLOOKUP('Données projet'!$B$9,Paramètres!$A$1:$I$89,5,0)</f>
        <v>-1.0197709343628959E-13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222.094802682965</v>
      </c>
      <c r="T200" s="59">
        <f t="shared" si="204"/>
        <v>325.33996570337496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5.0796498927346247</v>
      </c>
      <c r="AA200" s="21">
        <f>EXP(-LN(2)/25)*AA199+(1-EXP(-LN(2)/25))/(LN(2)/25)*Calculateur!V200*Calculateur!X200*VLOOKUP('Données projet'!$B$9,Paramètres!$A$1:$I$89,3,0)*0.475*44/12</f>
        <v>0.71263235148193405</v>
      </c>
      <c r="AB200" s="21">
        <f>EXP(-LN(2)/2)*AB199+(1-EXP(-LN(2)/2))/(LN(2)/2)*V200*Y200*VLOOKUP('Données projet'!$B$9,Paramètres!$A$1:$I$89,3,0)*0.475*44/12</f>
        <v>4.8355109260800811E-22</v>
      </c>
      <c r="AC200" s="22">
        <f t="shared" si="163"/>
        <v>5.7922822442165591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495.26239991157297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-1.7053025658242404E-13</v>
      </c>
      <c r="O201" s="13">
        <f>N201*VLOOKUP('Données projet'!$B$9,Paramètres!$A$1:$I$89,3,0)*VLOOKUP('Données projet'!$B$9,Paramètres!$A$1:$I$89,5,0)</f>
        <v>-1.0197709343628959E-13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222.094802682965</v>
      </c>
      <c r="T201" s="59">
        <f t="shared" si="204"/>
        <v>325.33996570337496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4.980041056618604</v>
      </c>
      <c r="AA201" s="21">
        <f>EXP(-LN(2)/25)*AA200+(1-EXP(-LN(2)/25))/(LN(2)/25)*Calculateur!V201*Calculateur!X201*VLOOKUP('Données projet'!$B$9,Paramètres!$A$1:$I$89,3,0)*0.475*44/12</f>
        <v>0.69314538235495393</v>
      </c>
      <c r="AB201" s="21">
        <f>EXP(-LN(2)/2)*AB200+(1-EXP(-LN(2)/2))/(LN(2)/2)*V201*Y201*VLOOKUP('Données projet'!$B$9,Paramètres!$A$1:$I$89,3,0)*0.475*44/12</f>
        <v>3.4192225663328678E-22</v>
      </c>
      <c r="AC201" s="22">
        <f t="shared" si="163"/>
        <v>5.6731864389735582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496.43778820998034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-1.7053025658242404E-13</v>
      </c>
      <c r="O202" s="13">
        <f>N202*VLOOKUP('Données projet'!$B$9,Paramètres!$A$1:$I$89,3,0)*VLOOKUP('Données projet'!$B$9,Paramètres!$A$1:$I$89,5,0)</f>
        <v>-1.0197709343628959E-13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222.094802682965</v>
      </c>
      <c r="T202" s="59">
        <f t="shared" si="204"/>
        <v>325.33996570337496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4.8823854890234273</v>
      </c>
      <c r="AA202" s="21">
        <f>EXP(-LN(2)/25)*AA201+(1-EXP(-LN(2)/25))/(LN(2)/25)*Calculateur!V202*Calculateur!X202*VLOOKUP('Données projet'!$B$9,Paramètres!$A$1:$I$89,3,0)*0.475*44/12</f>
        <v>0.67419128542352624</v>
      </c>
      <c r="AB202" s="21">
        <f>EXP(-LN(2)/2)*AB201+(1-EXP(-LN(2)/2))/(LN(2)/2)*V202*Y202*VLOOKUP('Données projet'!$B$9,Paramètres!$A$1:$I$89,3,0)*0.475*44/12</f>
        <v>2.4177554630400406E-22</v>
      </c>
      <c r="AC202" s="22">
        <f t="shared" si="163"/>
        <v>5.5565767744469534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497.61304526670318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-1.7053025658242404E-13</v>
      </c>
      <c r="O203" s="13">
        <f>N203*VLOOKUP('Données projet'!$B$9,Paramètres!$A$1:$I$89,3,0)*VLOOKUP('Données projet'!$B$9,Paramètres!$A$1:$I$89,5,0)</f>
        <v>-1.0197709343628959E-13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222.094802682965</v>
      </c>
      <c r="T203" s="59">
        <f t="shared" si="204"/>
        <v>325.33996570337496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4.7866448875447771</v>
      </c>
      <c r="AA203" s="21">
        <f>EXP(-LN(2)/25)*AA202+(1-EXP(-LN(2)/25))/(LN(2)/25)*Calculateur!V203*Calculateur!X203*VLOOKUP('Données projet'!$B$9,Paramètres!$A$1:$I$89,3,0)*0.475*44/12</f>
        <v>0.65575548926944105</v>
      </c>
      <c r="AB203" s="21">
        <f>EXP(-LN(2)/2)*AB202+(1-EXP(-LN(2)/2))/(LN(2)/2)*V203*Y203*VLOOKUP('Données projet'!$B$9,Paramètres!$A$1:$I$89,3,0)*0.475*44/12</f>
        <v>1.7096112831664339E-22</v>
      </c>
      <c r="AC203" s="22">
        <f t="shared" si="163"/>
        <v>5.4424003768142182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1.4019441341630408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3" zoomScale="90" zoomScaleNormal="90" workbookViewId="0">
      <selection activeCell="I8" sqref="I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maritime</v>
      </c>
      <c r="B6" s="146">
        <f>'Données projet'!D9</f>
        <v>24</v>
      </c>
      <c r="C6" s="147">
        <f ca="1">IF(OR('Données projet'!B9="",'Données projet'!C9="",'Données projet'!C9=0%),0,Calculateur!S3)</f>
        <v>222.094802682965</v>
      </c>
      <c r="D6" s="147">
        <f>IF(OR('Données projet'!B9="",'Données projet'!C9="",'Données projet'!C9=0%),0,Calculateur!T3)</f>
        <v>325.33996570337496</v>
      </c>
      <c r="E6" s="147">
        <f ca="1">MIN(C6,D6)</f>
        <v>222.094802682965</v>
      </c>
      <c r="F6" s="147">
        <f ca="1">E6*B6</f>
        <v>5330.2752643911599</v>
      </c>
      <c r="G6" s="147">
        <f ca="1">F6*(100%-'Données projet'!$C$24)*(100%-'Données projet'!$C$25)*(100%-'Données projet'!$C$26)*(100%-'Données projet'!$C$27)</f>
        <v>4077.6605772592375</v>
      </c>
      <c r="H6" s="148">
        <f>IF(OR('Données projet'!B9="",'Données projet'!C9="",'Données projet'!C9=0%),0,AVERAGE(Calculateur!$AC$3:$AC$33)*B6)</f>
        <v>316.85152857860658</v>
      </c>
      <c r="I6" s="149">
        <f>H6*(100%-'Données projet'!$C$24)*(100%-'Données projet'!$C$25)*(100%-'Données projet'!$C$26)*(100%-'Données projet'!$C$27)</f>
        <v>242.39141936263402</v>
      </c>
      <c r="J6" s="150">
        <f>IF(OR('Données projet'!B9="",'Données projet'!C9="",'Données projet'!C9=0%),0,SUM(Calculateur!$V$3:$V$33)*VLOOKUP('Données projet'!$B$9,Paramètres!$A$1:$I$89,9,0)*B6)</f>
        <v>2036.2080000000001</v>
      </c>
      <c r="K6" s="151">
        <f>J6*(100%-'Données projet'!$C$24)*(100%-'Données projet'!$C$25)*(100%-'Données projet'!$C$26)*(100%-'Données projet'!$C$27)</f>
        <v>1557.69912</v>
      </c>
      <c r="L6" s="152">
        <f ca="1">G6+I6+K6</f>
        <v>5877.7511166218719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5330.2752643911599</v>
      </c>
      <c r="G16" s="166">
        <f t="shared" ca="1" si="3"/>
        <v>4077.6605772592375</v>
      </c>
      <c r="H16" s="167">
        <f t="shared" si="3"/>
        <v>316.85152857860658</v>
      </c>
      <c r="I16" s="167">
        <f t="shared" si="3"/>
        <v>242.39141936263402</v>
      </c>
      <c r="J16" s="168">
        <f t="shared" si="3"/>
        <v>2036.2080000000001</v>
      </c>
      <c r="K16" s="168">
        <f t="shared" si="3"/>
        <v>1557.69912</v>
      </c>
      <c r="L16" s="169">
        <f t="shared" ca="1" si="3"/>
        <v>5877.7511166218719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I17" zoomScale="80" zoomScaleNormal="80" workbookViewId="0">
      <selection activeCell="N18" sqref="N18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2938.5235582453374</v>
      </c>
      <c r="U10" s="178">
        <f>'Données projet'!D9</f>
        <v>24</v>
      </c>
      <c r="V10" s="177">
        <f>U10*T10</f>
        <v>70524.565397888102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30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29.999999999999993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899.99999999999977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v>6150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14</v>
      </c>
      <c r="B23" s="181">
        <f>'Données projet'!D36</f>
        <v>36</v>
      </c>
      <c r="C23" s="193">
        <v>10</v>
      </c>
      <c r="D23" s="182">
        <f>B23*C23</f>
        <v>360</v>
      </c>
      <c r="E23" s="193">
        <v>300</v>
      </c>
      <c r="F23" s="230"/>
      <c r="H23" s="190"/>
      <c r="I23" s="191"/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-70719.453740867873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19</v>
      </c>
      <c r="B24" s="181">
        <f>'Données projet'!D37</f>
        <v>54.9</v>
      </c>
      <c r="C24" s="193">
        <v>18</v>
      </c>
      <c r="D24" s="182">
        <f t="shared" ref="D24:D42" si="2">B24*C24</f>
        <v>988.19999999999993</v>
      </c>
      <c r="E24" s="193">
        <v>300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5767.2003349512634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25</v>
      </c>
      <c r="B25" s="181">
        <f>'Données projet'!D38</f>
        <v>52.9</v>
      </c>
      <c r="C25" s="193">
        <v>25</v>
      </c>
      <c r="D25" s="182">
        <f t="shared" si="2"/>
        <v>1322.5</v>
      </c>
      <c r="E25" s="193">
        <v>300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-76486.65407581914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32</v>
      </c>
      <c r="B26" s="181">
        <f>'Données projet'!D39</f>
        <v>63.9</v>
      </c>
      <c r="C26" s="193">
        <v>25</v>
      </c>
      <c r="D26" s="182">
        <f t="shared" si="2"/>
        <v>1597.5</v>
      </c>
      <c r="E26" s="193">
        <v>300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45</v>
      </c>
      <c r="B27" s="181">
        <f>'Données projet'!D40</f>
        <v>412.5</v>
      </c>
      <c r="C27" s="193">
        <v>35</v>
      </c>
      <c r="D27" s="182">
        <f t="shared" si="2"/>
        <v>14437.5</v>
      </c>
      <c r="E27" s="193">
        <v>300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Props1.xml><?xml version="1.0" encoding="utf-8"?>
<ds:datastoreItem xmlns:ds="http://schemas.openxmlformats.org/officeDocument/2006/customXml" ds:itemID="{63B1333A-3625-4043-9FB2-7BEF46F2AA83}"/>
</file>

<file path=customXml/itemProps2.xml><?xml version="1.0" encoding="utf-8"?>
<ds:datastoreItem xmlns:ds="http://schemas.openxmlformats.org/officeDocument/2006/customXml" ds:itemID="{C69B5EDD-881C-4BE3-A9EC-6E56728D9848}"/>
</file>

<file path=customXml/itemProps3.xml><?xml version="1.0" encoding="utf-8"?>
<ds:datastoreItem xmlns:ds="http://schemas.openxmlformats.org/officeDocument/2006/customXml" ds:itemID="{7C5AF137-2727-4DFE-8D33-53861E0F8A8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Alexia Link</cp:lastModifiedBy>
  <dcterms:created xsi:type="dcterms:W3CDTF">2021-02-01T08:22:39Z</dcterms:created>
  <dcterms:modified xsi:type="dcterms:W3CDTF">2024-05-13T12:27:46Z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</Properties>
</file>